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 autoCompressPictures="0"/>
  <mc:AlternateContent xmlns:mc="http://schemas.openxmlformats.org/markup-compatibility/2006">
    <mc:Choice Requires="x15">
      <x15ac:absPath xmlns:x15ac="http://schemas.microsoft.com/office/spreadsheetml/2010/11/ac" url="D:\INEKO\_SlovakAid MD\Firmy\Data\"/>
    </mc:Choice>
  </mc:AlternateContent>
  <bookViews>
    <workbookView xWindow="0" yWindow="0" windowWidth="15360" windowHeight="6855" tabRatio="814" activeTab="14"/>
  </bookViews>
  <sheets>
    <sheet name="MD-info" sheetId="3" r:id="rId1"/>
    <sheet name="MD-data" sheetId="1" r:id="rId2"/>
    <sheet name="MD-ratios" sheetId="2" r:id="rId3"/>
    <sheet name="MD-ratings-year" sheetId="4" r:id="rId4"/>
    <sheet name="MD-ratings-final" sheetId="6" r:id="rId5"/>
    <sheet name="MD-ranking" sheetId="18" r:id="rId6"/>
    <sheet name="MD-correl" sheetId="15" r:id="rId7"/>
    <sheet name="Texts" sheetId="8" r:id="rId8"/>
    <sheet name="SK-NACE" sheetId="10" r:id="rId9"/>
    <sheet name="SK-info" sheetId="9" r:id="rId10"/>
    <sheet name="SK-data" sheetId="11" r:id="rId11"/>
    <sheet name="SK-ratios" sheetId="12" r:id="rId12"/>
    <sheet name="SK-ratings-year" sheetId="13" r:id="rId13"/>
    <sheet name="SK-ratings-final" sheetId="14" r:id="rId14"/>
    <sheet name="SK-ranking" sheetId="19" r:id="rId15"/>
  </sheets>
  <definedNames>
    <definedName name="_xlnm._FilterDatabase" localSheetId="0" hidden="1">'MD-info'!$A$1:$F$51</definedName>
    <definedName name="_xlnm._FilterDatabase" localSheetId="8" hidden="1">'SK-NACE'!$A$1:$C$110</definedName>
    <definedName name="_xlnm._FilterDatabase" localSheetId="14" hidden="1">'SK-ranking'!$A$11:$AM$91</definedName>
    <definedName name="solver_adj" localSheetId="2" hidden="1">'MD-ratios'!$U$7:$U$19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0</definedName>
    <definedName name="solver_nwt" localSheetId="2" hidden="1">1</definedName>
    <definedName name="solver_opt" localSheetId="2" hidden="1">'MD-ratios'!$R$21</definedName>
    <definedName name="solver_pre" localSheetId="2" hidden="1">0.000001</definedName>
    <definedName name="solver_rbv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52511"/>
</workbook>
</file>

<file path=xl/calcChain.xml><?xml version="1.0" encoding="utf-8"?>
<calcChain xmlns="http://schemas.openxmlformats.org/spreadsheetml/2006/main">
  <c r="DA21" i="13" l="1" a="1"/>
  <c r="DA21" i="13" s="1"/>
  <c r="DB21" i="13" a="1"/>
  <c r="DB21" i="13" s="1"/>
  <c r="DC21" i="13" a="1"/>
  <c r="DC21" i="13" s="1"/>
  <c r="DD21" i="13" a="1"/>
  <c r="DD21" i="13" s="1"/>
  <c r="DE21" i="13" a="1"/>
  <c r="DE21" i="13" s="1"/>
  <c r="DF21" i="13" a="1"/>
  <c r="DF21" i="13" s="1"/>
  <c r="DG21" i="13" a="1"/>
  <c r="DG21" i="13" s="1"/>
  <c r="DH21" i="13" a="1"/>
  <c r="DH21" i="13" s="1"/>
  <c r="DI21" i="13" a="1"/>
  <c r="DI21" i="13" s="1"/>
  <c r="DJ21" i="13" a="1"/>
  <c r="DJ21" i="13" s="1"/>
  <c r="DK21" i="13" a="1"/>
  <c r="DK21" i="13" s="1"/>
  <c r="DL21" i="13" a="1"/>
  <c r="DL21" i="13" s="1"/>
  <c r="DM21" i="13" a="1"/>
  <c r="DM21" i="13" s="1"/>
  <c r="DN21" i="13" a="1"/>
  <c r="DN21" i="13" s="1"/>
  <c r="DO21" i="13" a="1"/>
  <c r="DO21" i="13" s="1"/>
  <c r="DP21" i="13" a="1"/>
  <c r="DP21" i="13" s="1"/>
  <c r="DA22" i="13" a="1"/>
  <c r="DA22" i="13" s="1"/>
  <c r="DB22" i="13" a="1"/>
  <c r="DB22" i="13" s="1"/>
  <c r="DC22" i="13" a="1"/>
  <c r="DC22" i="13" s="1"/>
  <c r="DD22" i="13" a="1"/>
  <c r="DD22" i="13" s="1"/>
  <c r="DE22" i="13" a="1"/>
  <c r="DE22" i="13" s="1"/>
  <c r="DF22" i="13" a="1"/>
  <c r="DF22" i="13" s="1"/>
  <c r="DG22" i="13" a="1"/>
  <c r="DG22" i="13" s="1"/>
  <c r="DH22" i="13" a="1"/>
  <c r="DH22" i="13" s="1"/>
  <c r="DI22" i="13" a="1"/>
  <c r="DI22" i="13" s="1"/>
  <c r="DJ22" i="13" a="1"/>
  <c r="DJ22" i="13" s="1"/>
  <c r="DK22" i="13" a="1"/>
  <c r="DK22" i="13" s="1"/>
  <c r="DL22" i="13" a="1"/>
  <c r="DL22" i="13" s="1"/>
  <c r="DM22" i="13" a="1"/>
  <c r="DM22" i="13" s="1"/>
  <c r="DN22" i="13" a="1"/>
  <c r="DN22" i="13" s="1"/>
  <c r="DO22" i="13" a="1"/>
  <c r="DO22" i="13" s="1"/>
  <c r="DP22" i="13" a="1"/>
  <c r="DP22" i="13" s="1"/>
  <c r="DA23" i="13" a="1"/>
  <c r="DA23" i="13" s="1"/>
  <c r="DB23" i="13" a="1"/>
  <c r="DB23" i="13" s="1"/>
  <c r="DC23" i="13" a="1"/>
  <c r="DC23" i="13" s="1"/>
  <c r="DD23" i="13" a="1"/>
  <c r="DD23" i="13" s="1"/>
  <c r="DE23" i="13" a="1"/>
  <c r="DE23" i="13" s="1"/>
  <c r="DF23" i="13" a="1"/>
  <c r="DF23" i="13" s="1"/>
  <c r="DG23" i="13" a="1"/>
  <c r="DG23" i="13" s="1"/>
  <c r="DH23" i="13" a="1"/>
  <c r="DH23" i="13" s="1"/>
  <c r="DI23" i="13" a="1"/>
  <c r="DI23" i="13" s="1"/>
  <c r="DJ23" i="13" a="1"/>
  <c r="DJ23" i="13" s="1"/>
  <c r="DK23" i="13" a="1"/>
  <c r="DK23" i="13" s="1"/>
  <c r="DL23" i="13" a="1"/>
  <c r="DL23" i="13" s="1"/>
  <c r="DM23" i="13" a="1"/>
  <c r="DM23" i="13" s="1"/>
  <c r="DN23" i="13" a="1"/>
  <c r="DN23" i="13" s="1"/>
  <c r="DO23" i="13" a="1"/>
  <c r="DO23" i="13" s="1"/>
  <c r="DP23" i="13" a="1"/>
  <c r="DP23" i="13" s="1"/>
  <c r="DA24" i="13" a="1"/>
  <c r="DA24" i="13" s="1"/>
  <c r="DB24" i="13" a="1"/>
  <c r="DB24" i="13" s="1"/>
  <c r="DC24" i="13" a="1"/>
  <c r="DC24" i="13" s="1"/>
  <c r="DD24" i="13" a="1"/>
  <c r="DD24" i="13" s="1"/>
  <c r="DE24" i="13" a="1"/>
  <c r="DE24" i="13" s="1"/>
  <c r="DF24" i="13" a="1"/>
  <c r="DF24" i="13" s="1"/>
  <c r="DG24" i="13" a="1"/>
  <c r="DG24" i="13" s="1"/>
  <c r="DH24" i="13" a="1"/>
  <c r="DH24" i="13" s="1"/>
  <c r="DI24" i="13" a="1"/>
  <c r="DI24" i="13" s="1"/>
  <c r="DJ24" i="13" a="1"/>
  <c r="DJ24" i="13" s="1"/>
  <c r="DK24" i="13" a="1"/>
  <c r="DK24" i="13" s="1"/>
  <c r="DL24" i="13" a="1"/>
  <c r="DL24" i="13" s="1"/>
  <c r="DM24" i="13" a="1"/>
  <c r="DM24" i="13" s="1"/>
  <c r="DN24" i="13" a="1"/>
  <c r="DN24" i="13" s="1"/>
  <c r="DO24" i="13" a="1"/>
  <c r="DO24" i="13" s="1"/>
  <c r="DP24" i="13" a="1"/>
  <c r="DP24" i="13" s="1"/>
  <c r="DA25" i="13" a="1"/>
  <c r="DA25" i="13" s="1"/>
  <c r="DB25" i="13" a="1"/>
  <c r="DB25" i="13" s="1"/>
  <c r="DC25" i="13" a="1"/>
  <c r="DC25" i="13" s="1"/>
  <c r="DD25" i="13" a="1"/>
  <c r="DD25" i="13" s="1"/>
  <c r="DE25" i="13" a="1"/>
  <c r="DE25" i="13" s="1"/>
  <c r="DF25" i="13" a="1"/>
  <c r="DF25" i="13" s="1"/>
  <c r="DG25" i="13" a="1"/>
  <c r="DG25" i="13" s="1"/>
  <c r="DH25" i="13" a="1"/>
  <c r="DH25" i="13" s="1"/>
  <c r="DI25" i="13" a="1"/>
  <c r="DI25" i="13" s="1"/>
  <c r="DJ25" i="13" a="1"/>
  <c r="DJ25" i="13" s="1"/>
  <c r="DK25" i="13" a="1"/>
  <c r="DK25" i="13" s="1"/>
  <c r="DL25" i="13" a="1"/>
  <c r="DL25" i="13" s="1"/>
  <c r="DM25" i="13" a="1"/>
  <c r="DM25" i="13" s="1"/>
  <c r="DN25" i="13" a="1"/>
  <c r="DN25" i="13" s="1"/>
  <c r="DO25" i="13" a="1"/>
  <c r="DO25" i="13" s="1"/>
  <c r="DP25" i="13" a="1"/>
  <c r="DP25" i="13" s="1"/>
  <c r="DA26" i="13" a="1"/>
  <c r="DA26" i="13" s="1"/>
  <c r="DB26" i="13" a="1"/>
  <c r="DB26" i="13" s="1"/>
  <c r="DC26" i="13" a="1"/>
  <c r="DC26" i="13" s="1"/>
  <c r="DD26" i="13" a="1"/>
  <c r="DD26" i="13" s="1"/>
  <c r="DE26" i="13" a="1"/>
  <c r="DE26" i="13" s="1"/>
  <c r="DF26" i="13" a="1"/>
  <c r="DF26" i="13" s="1"/>
  <c r="DG26" i="13" a="1"/>
  <c r="DG26" i="13" s="1"/>
  <c r="DH26" i="13" a="1"/>
  <c r="DH26" i="13" s="1"/>
  <c r="DI26" i="13" a="1"/>
  <c r="DI26" i="13" s="1"/>
  <c r="DJ26" i="13" a="1"/>
  <c r="DJ26" i="13" s="1"/>
  <c r="DK26" i="13" a="1"/>
  <c r="DK26" i="13" s="1"/>
  <c r="DL26" i="13" a="1"/>
  <c r="DL26" i="13" s="1"/>
  <c r="DM26" i="13" a="1"/>
  <c r="DM26" i="13" s="1"/>
  <c r="DN26" i="13" a="1"/>
  <c r="DN26" i="13" s="1"/>
  <c r="DO26" i="13" a="1"/>
  <c r="DO26" i="13" s="1"/>
  <c r="DP26" i="13" a="1"/>
  <c r="DP26" i="13" s="1"/>
  <c r="DA27" i="13" a="1"/>
  <c r="DA27" i="13" s="1"/>
  <c r="DB27" i="13" a="1"/>
  <c r="DB27" i="13" s="1"/>
  <c r="DC27" i="13" a="1"/>
  <c r="DC27" i="13" s="1"/>
  <c r="DD27" i="13" a="1"/>
  <c r="DD27" i="13" s="1"/>
  <c r="DE27" i="13" a="1"/>
  <c r="DE27" i="13" s="1"/>
  <c r="DF27" i="13" a="1"/>
  <c r="DF27" i="13" s="1"/>
  <c r="DG27" i="13" a="1"/>
  <c r="DG27" i="13" s="1"/>
  <c r="DH27" i="13" a="1"/>
  <c r="DH27" i="13" s="1"/>
  <c r="DI27" i="13" a="1"/>
  <c r="DI27" i="13" s="1"/>
  <c r="DJ27" i="13" a="1"/>
  <c r="DJ27" i="13" s="1"/>
  <c r="DK27" i="13" a="1"/>
  <c r="DK27" i="13" s="1"/>
  <c r="DL27" i="13" a="1"/>
  <c r="DL27" i="13" s="1"/>
  <c r="DM27" i="13" a="1"/>
  <c r="DM27" i="13" s="1"/>
  <c r="DN27" i="13" a="1"/>
  <c r="DN27" i="13" s="1"/>
  <c r="DO27" i="13" a="1"/>
  <c r="DO27" i="13" s="1"/>
  <c r="DP27" i="13" a="1"/>
  <c r="DP27" i="13" s="1"/>
  <c r="DA28" i="13" a="1"/>
  <c r="DA28" i="13" s="1"/>
  <c r="DB28" i="13" a="1"/>
  <c r="DB28" i="13" s="1"/>
  <c r="DC28" i="13" a="1"/>
  <c r="DC28" i="13" s="1"/>
  <c r="DD28" i="13" a="1"/>
  <c r="DD28" i="13" s="1"/>
  <c r="DE28" i="13" a="1"/>
  <c r="DE28" i="13" s="1"/>
  <c r="DF28" i="13" a="1"/>
  <c r="DF28" i="13" s="1"/>
  <c r="DG28" i="13" a="1"/>
  <c r="DG28" i="13" s="1"/>
  <c r="DH28" i="13" a="1"/>
  <c r="DH28" i="13" s="1"/>
  <c r="DI28" i="13" a="1"/>
  <c r="DI28" i="13" s="1"/>
  <c r="DJ28" i="13" a="1"/>
  <c r="DJ28" i="13" s="1"/>
  <c r="DK28" i="13" a="1"/>
  <c r="DK28" i="13" s="1"/>
  <c r="DL28" i="13" a="1"/>
  <c r="DL28" i="13" s="1"/>
  <c r="DM28" i="13" a="1"/>
  <c r="DM28" i="13" s="1"/>
  <c r="DN28" i="13" a="1"/>
  <c r="DN28" i="13" s="1"/>
  <c r="DO28" i="13" a="1"/>
  <c r="DO28" i="13" s="1"/>
  <c r="DP28" i="13" a="1"/>
  <c r="DP28" i="13" s="1"/>
  <c r="DA29" i="13" a="1"/>
  <c r="DA29" i="13" s="1"/>
  <c r="DB29" i="13" a="1"/>
  <c r="DB29" i="13" s="1"/>
  <c r="DC29" i="13" a="1"/>
  <c r="DC29" i="13" s="1"/>
  <c r="DD29" i="13" a="1"/>
  <c r="DD29" i="13" s="1"/>
  <c r="DE29" i="13" a="1"/>
  <c r="DE29" i="13" s="1"/>
  <c r="DF29" i="13" a="1"/>
  <c r="DF29" i="13" s="1"/>
  <c r="DG29" i="13" a="1"/>
  <c r="DG29" i="13" s="1"/>
  <c r="DH29" i="13" a="1"/>
  <c r="DH29" i="13" s="1"/>
  <c r="DI29" i="13" a="1"/>
  <c r="DI29" i="13" s="1"/>
  <c r="DJ29" i="13" a="1"/>
  <c r="DJ29" i="13" s="1"/>
  <c r="DK29" i="13" a="1"/>
  <c r="DK29" i="13" s="1"/>
  <c r="DL29" i="13" a="1"/>
  <c r="DL29" i="13" s="1"/>
  <c r="DM29" i="13" a="1"/>
  <c r="DM29" i="13" s="1"/>
  <c r="DN29" i="13" a="1"/>
  <c r="DN29" i="13" s="1"/>
  <c r="DO29" i="13" a="1"/>
  <c r="DO29" i="13" s="1"/>
  <c r="DP29" i="13" a="1"/>
  <c r="DP29" i="13" s="1"/>
  <c r="DA30" i="13" a="1"/>
  <c r="DA30" i="13" s="1"/>
  <c r="DB30" i="13" a="1"/>
  <c r="DB30" i="13" s="1"/>
  <c r="DC30" i="13" a="1"/>
  <c r="DC30" i="13" s="1"/>
  <c r="DD30" i="13" a="1"/>
  <c r="DD30" i="13" s="1"/>
  <c r="DE30" i="13" a="1"/>
  <c r="DE30" i="13" s="1"/>
  <c r="DF30" i="13" a="1"/>
  <c r="DF30" i="13" s="1"/>
  <c r="DG30" i="13" a="1"/>
  <c r="DG30" i="13" s="1"/>
  <c r="DH30" i="13" a="1"/>
  <c r="DH30" i="13" s="1"/>
  <c r="DI30" i="13" a="1"/>
  <c r="DI30" i="13" s="1"/>
  <c r="DJ30" i="13" a="1"/>
  <c r="DJ30" i="13" s="1"/>
  <c r="DK30" i="13" a="1"/>
  <c r="DK30" i="13" s="1"/>
  <c r="DL30" i="13" a="1"/>
  <c r="DL30" i="13" s="1"/>
  <c r="DM30" i="13" a="1"/>
  <c r="DM30" i="13" s="1"/>
  <c r="DN30" i="13" a="1"/>
  <c r="DN30" i="13" s="1"/>
  <c r="DO30" i="13" a="1"/>
  <c r="DO30" i="13" s="1"/>
  <c r="DP30" i="13" a="1"/>
  <c r="DP30" i="13" s="1"/>
  <c r="DA31" i="13" a="1"/>
  <c r="DA31" i="13" s="1"/>
  <c r="DB31" i="13" a="1"/>
  <c r="DB31" i="13" s="1"/>
  <c r="DC31" i="13" a="1"/>
  <c r="DC31" i="13" s="1"/>
  <c r="DD31" i="13" a="1"/>
  <c r="DD31" i="13" s="1"/>
  <c r="DE31" i="13" a="1"/>
  <c r="DE31" i="13" s="1"/>
  <c r="DF31" i="13" a="1"/>
  <c r="DF31" i="13" s="1"/>
  <c r="DG31" i="13" a="1"/>
  <c r="DG31" i="13" s="1"/>
  <c r="DH31" i="13" a="1"/>
  <c r="DH31" i="13" s="1"/>
  <c r="DI31" i="13" a="1"/>
  <c r="DI31" i="13" s="1"/>
  <c r="DJ31" i="13" a="1"/>
  <c r="DJ31" i="13" s="1"/>
  <c r="DK31" i="13" a="1"/>
  <c r="DK31" i="13" s="1"/>
  <c r="DL31" i="13" a="1"/>
  <c r="DL31" i="13" s="1"/>
  <c r="DM31" i="13" a="1"/>
  <c r="DM31" i="13" s="1"/>
  <c r="DN31" i="13" a="1"/>
  <c r="DN31" i="13" s="1"/>
  <c r="DO31" i="13" a="1"/>
  <c r="DO31" i="13" s="1"/>
  <c r="DP31" i="13" a="1"/>
  <c r="DP31" i="13" s="1"/>
  <c r="DA32" i="13" a="1"/>
  <c r="DA32" i="13" s="1"/>
  <c r="DB32" i="13" a="1"/>
  <c r="DB32" i="13" s="1"/>
  <c r="DC32" i="13" a="1"/>
  <c r="DC32" i="13" s="1"/>
  <c r="DD32" i="13" a="1"/>
  <c r="DD32" i="13" s="1"/>
  <c r="DE32" i="13" a="1"/>
  <c r="DE32" i="13" s="1"/>
  <c r="DF32" i="13" a="1"/>
  <c r="DF32" i="13" s="1"/>
  <c r="DG32" i="13" a="1"/>
  <c r="DG32" i="13" s="1"/>
  <c r="DH32" i="13" a="1"/>
  <c r="DH32" i="13" s="1"/>
  <c r="DI32" i="13" a="1"/>
  <c r="DI32" i="13" s="1"/>
  <c r="DJ32" i="13" a="1"/>
  <c r="DJ32" i="13" s="1"/>
  <c r="DK32" i="13" a="1"/>
  <c r="DK32" i="13" s="1"/>
  <c r="DL32" i="13" a="1"/>
  <c r="DL32" i="13" s="1"/>
  <c r="DM32" i="13" a="1"/>
  <c r="DM32" i="13" s="1"/>
  <c r="DN32" i="13" a="1"/>
  <c r="DN32" i="13" s="1"/>
  <c r="DO32" i="13" a="1"/>
  <c r="DO32" i="13" s="1"/>
  <c r="DP32" i="13" a="1"/>
  <c r="DP32" i="13" s="1"/>
  <c r="DA33" i="13" a="1"/>
  <c r="DA33" i="13" s="1"/>
  <c r="DB33" i="13" a="1"/>
  <c r="DB33" i="13" s="1"/>
  <c r="DC33" i="13" a="1"/>
  <c r="DC33" i="13" s="1"/>
  <c r="DD33" i="13" a="1"/>
  <c r="DD33" i="13" s="1"/>
  <c r="DE33" i="13" a="1"/>
  <c r="DE33" i="13" s="1"/>
  <c r="DF33" i="13" a="1"/>
  <c r="DF33" i="13" s="1"/>
  <c r="DG33" i="13" a="1"/>
  <c r="DG33" i="13" s="1"/>
  <c r="DH33" i="13" a="1"/>
  <c r="DH33" i="13" s="1"/>
  <c r="DI33" i="13" a="1"/>
  <c r="DI33" i="13" s="1"/>
  <c r="DJ33" i="13" a="1"/>
  <c r="DJ33" i="13" s="1"/>
  <c r="DK33" i="13" a="1"/>
  <c r="DK33" i="13" s="1"/>
  <c r="DL33" i="13" a="1"/>
  <c r="DL33" i="13" s="1"/>
  <c r="DM33" i="13" a="1"/>
  <c r="DM33" i="13" s="1"/>
  <c r="DN33" i="13" a="1"/>
  <c r="DN33" i="13" s="1"/>
  <c r="DO33" i="13" a="1"/>
  <c r="DO33" i="13" s="1"/>
  <c r="DP33" i="13" a="1"/>
  <c r="DP33" i="13" s="1"/>
  <c r="DA34" i="13" a="1"/>
  <c r="DA34" i="13" s="1"/>
  <c r="DB34" i="13" a="1"/>
  <c r="DB34" i="13" s="1"/>
  <c r="DC34" i="13" a="1"/>
  <c r="DC34" i="13" s="1"/>
  <c r="DD34" i="13" a="1"/>
  <c r="DD34" i="13" s="1"/>
  <c r="DE34" i="13" a="1"/>
  <c r="DE34" i="13" s="1"/>
  <c r="DF34" i="13" a="1"/>
  <c r="DF34" i="13" s="1"/>
  <c r="DG34" i="13" a="1"/>
  <c r="DG34" i="13" s="1"/>
  <c r="DH34" i="13" a="1"/>
  <c r="DH34" i="13" s="1"/>
  <c r="DI34" i="13" a="1"/>
  <c r="DI34" i="13" s="1"/>
  <c r="DJ34" i="13" a="1"/>
  <c r="DJ34" i="13" s="1"/>
  <c r="DK34" i="13" a="1"/>
  <c r="DK34" i="13" s="1"/>
  <c r="DL34" i="13" a="1"/>
  <c r="DL34" i="13" s="1"/>
  <c r="DM34" i="13" a="1"/>
  <c r="DM34" i="13" s="1"/>
  <c r="DN34" i="13" a="1"/>
  <c r="DN34" i="13" s="1"/>
  <c r="DO34" i="13" a="1"/>
  <c r="DO34" i="13" s="1"/>
  <c r="DP34" i="13" a="1"/>
  <c r="DP34" i="13" s="1"/>
  <c r="DA35" i="13" a="1"/>
  <c r="DA35" i="13" s="1"/>
  <c r="DB35" i="13" a="1"/>
  <c r="DB35" i="13" s="1"/>
  <c r="DC35" i="13" a="1"/>
  <c r="DC35" i="13" s="1"/>
  <c r="DD35" i="13" a="1"/>
  <c r="DD35" i="13" s="1"/>
  <c r="DE35" i="13" a="1"/>
  <c r="DE35" i="13" s="1"/>
  <c r="DF35" i="13" a="1"/>
  <c r="DF35" i="13" s="1"/>
  <c r="DG35" i="13" a="1"/>
  <c r="DG35" i="13" s="1"/>
  <c r="DH35" i="13" a="1"/>
  <c r="DH35" i="13" s="1"/>
  <c r="DI35" i="13" a="1"/>
  <c r="DI35" i="13" s="1"/>
  <c r="DJ35" i="13" a="1"/>
  <c r="DJ35" i="13" s="1"/>
  <c r="DK35" i="13" a="1"/>
  <c r="DK35" i="13" s="1"/>
  <c r="DL35" i="13" a="1"/>
  <c r="DL35" i="13" s="1"/>
  <c r="DM35" i="13" a="1"/>
  <c r="DM35" i="13" s="1"/>
  <c r="DN35" i="13" a="1"/>
  <c r="DN35" i="13" s="1"/>
  <c r="DO35" i="13" a="1"/>
  <c r="DO35" i="13" s="1"/>
  <c r="DP35" i="13" a="1"/>
  <c r="DP35" i="13" s="1"/>
  <c r="CX36" i="13"/>
  <c r="CW36" i="13"/>
  <c r="CV36" i="13"/>
  <c r="CU36" i="13"/>
  <c r="CT36" i="13"/>
  <c r="CS36" i="13"/>
  <c r="CR36" i="13"/>
  <c r="CQ36" i="13"/>
  <c r="CP36" i="13"/>
  <c r="CO36" i="13"/>
  <c r="CN36" i="13"/>
  <c r="CM36" i="13"/>
  <c r="CL36" i="13"/>
  <c r="CK36" i="13"/>
  <c r="CJ36" i="13"/>
  <c r="CI36" i="13"/>
  <c r="CH36" i="13"/>
  <c r="CG36" i="13"/>
  <c r="CF36" i="13"/>
  <c r="CE36" i="13"/>
  <c r="CD36" i="13"/>
  <c r="CC36" i="13"/>
  <c r="CB36" i="13"/>
  <c r="CA36" i="13"/>
  <c r="BZ36" i="13"/>
  <c r="BY36" i="13"/>
  <c r="BX36" i="13"/>
  <c r="BW36" i="13"/>
  <c r="BV36" i="13"/>
  <c r="BU36" i="13"/>
  <c r="BT36" i="13"/>
  <c r="BS36" i="13"/>
  <c r="BR36" i="13"/>
  <c r="BQ36" i="13"/>
  <c r="BP36" i="13"/>
  <c r="BO36" i="13"/>
  <c r="BN36" i="13"/>
  <c r="BM36" i="13"/>
  <c r="BL36" i="13"/>
  <c r="BK36" i="13"/>
  <c r="BJ36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AS36" i="13"/>
  <c r="AR36" i="13"/>
  <c r="AQ36" i="13"/>
  <c r="AP36" i="13"/>
  <c r="AO36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CW34" i="13"/>
  <c r="CG34" i="13"/>
  <c r="BA34" i="13"/>
  <c r="CX33" i="13" a="1"/>
  <c r="CX33" i="13" s="1"/>
  <c r="CW33" i="13" a="1"/>
  <c r="CW33" i="13" s="1"/>
  <c r="CV33" i="13" a="1"/>
  <c r="CV33" i="13" s="1"/>
  <c r="CU33" i="13" a="1"/>
  <c r="CU33" i="13" s="1"/>
  <c r="CT33" i="13" a="1"/>
  <c r="CT33" i="13" s="1"/>
  <c r="CS33" i="13" a="1"/>
  <c r="CS33" i="13" s="1"/>
  <c r="CR33" i="13" a="1"/>
  <c r="CR33" i="13" s="1"/>
  <c r="CQ33" i="13" a="1"/>
  <c r="CQ33" i="13" s="1"/>
  <c r="CP33" i="13" a="1"/>
  <c r="CP33" i="13" s="1"/>
  <c r="CO33" i="13" a="1"/>
  <c r="CO33" i="13" s="1"/>
  <c r="CO34" i="13" s="1"/>
  <c r="CN33" i="13" a="1"/>
  <c r="CN33" i="13" s="1"/>
  <c r="CM33" i="13" a="1"/>
  <c r="CM33" i="13" s="1"/>
  <c r="CL33" i="13" a="1"/>
  <c r="CL33" i="13" s="1"/>
  <c r="CK33" i="13" a="1"/>
  <c r="CK33" i="13" s="1"/>
  <c r="CJ33" i="13" a="1"/>
  <c r="CJ33" i="13" s="1"/>
  <c r="CI33" i="13" a="1"/>
  <c r="CI33" i="13" s="1"/>
  <c r="CH33" i="13" a="1"/>
  <c r="CH33" i="13" s="1"/>
  <c r="CG33" i="13" a="1"/>
  <c r="CG33" i="13" s="1"/>
  <c r="CF33" i="13" a="1"/>
  <c r="CF33" i="13" s="1"/>
  <c r="CE33" i="13" a="1"/>
  <c r="CE33" i="13" s="1"/>
  <c r="CD33" i="13" a="1"/>
  <c r="CD33" i="13" s="1"/>
  <c r="CC33" i="13" a="1"/>
  <c r="CC33" i="13" s="1"/>
  <c r="CB33" i="13" a="1"/>
  <c r="CB33" i="13" s="1"/>
  <c r="CA33" i="13" a="1"/>
  <c r="CA33" i="13" s="1"/>
  <c r="BZ33" i="13" a="1"/>
  <c r="BZ33" i="13" s="1"/>
  <c r="BY33" i="13" a="1"/>
  <c r="BY33" i="13" s="1"/>
  <c r="BY34" i="13" s="1"/>
  <c r="BX33" i="13" a="1"/>
  <c r="BX33" i="13" s="1"/>
  <c r="BW33" i="13" a="1"/>
  <c r="BW33" i="13" s="1"/>
  <c r="BV33" i="13" a="1"/>
  <c r="BV33" i="13" s="1"/>
  <c r="BU33" i="13" a="1"/>
  <c r="BU33" i="13" s="1"/>
  <c r="BT33" i="13" a="1"/>
  <c r="BT33" i="13" s="1"/>
  <c r="BS33" i="13" a="1"/>
  <c r="BS33" i="13" s="1"/>
  <c r="BR33" i="13" a="1"/>
  <c r="BR33" i="13" s="1"/>
  <c r="BQ33" i="13" a="1"/>
  <c r="BQ33" i="13" s="1"/>
  <c r="BQ34" i="13" s="1"/>
  <c r="BP33" i="13" a="1"/>
  <c r="BP33" i="13" s="1"/>
  <c r="BO33" i="13" a="1"/>
  <c r="BO33" i="13" s="1"/>
  <c r="BN33" i="13" a="1"/>
  <c r="BN33" i="13" s="1"/>
  <c r="BM33" i="13" a="1"/>
  <c r="BM33" i="13" s="1"/>
  <c r="BL33" i="13" a="1"/>
  <c r="BL33" i="13" s="1"/>
  <c r="BK33" i="13" a="1"/>
  <c r="BK33" i="13" s="1"/>
  <c r="BJ33" i="13" a="1"/>
  <c r="BJ33" i="13" s="1"/>
  <c r="BI33" i="13" a="1"/>
  <c r="BI33" i="13" s="1"/>
  <c r="BI34" i="13" s="1"/>
  <c r="BH33" i="13" a="1"/>
  <c r="BH33" i="13" s="1"/>
  <c r="BG33" i="13" a="1"/>
  <c r="BG33" i="13" s="1"/>
  <c r="BF33" i="13" a="1"/>
  <c r="BF33" i="13" s="1"/>
  <c r="BE33" i="13" a="1"/>
  <c r="BE33" i="13" s="1"/>
  <c r="BD33" i="13" a="1"/>
  <c r="BD33" i="13" s="1"/>
  <c r="BC33" i="13" a="1"/>
  <c r="BC33" i="13" s="1"/>
  <c r="BB33" i="13" a="1"/>
  <c r="BB33" i="13" s="1"/>
  <c r="BA33" i="13" a="1"/>
  <c r="BA33" i="13" s="1"/>
  <c r="AZ33" i="13" a="1"/>
  <c r="AZ33" i="13" s="1"/>
  <c r="AY33" i="13" a="1"/>
  <c r="AY33" i="13" s="1"/>
  <c r="AX33" i="13" a="1"/>
  <c r="AX33" i="13" s="1"/>
  <c r="AW33" i="13" a="1"/>
  <c r="AW33" i="13" s="1"/>
  <c r="AV33" i="13" a="1"/>
  <c r="AV33" i="13" s="1"/>
  <c r="AU33" i="13" a="1"/>
  <c r="AU33" i="13" s="1"/>
  <c r="AT33" i="13" a="1"/>
  <c r="AT33" i="13" s="1"/>
  <c r="AS33" i="13" a="1"/>
  <c r="AS33" i="13" s="1"/>
  <c r="AS34" i="13" s="1"/>
  <c r="AR33" i="13" a="1"/>
  <c r="AR33" i="13" s="1"/>
  <c r="AQ33" i="13" a="1"/>
  <c r="AQ33" i="13" s="1"/>
  <c r="AP33" i="13" a="1"/>
  <c r="AP33" i="13" s="1"/>
  <c r="AO33" i="13" a="1"/>
  <c r="AO33" i="13" s="1"/>
  <c r="AN33" i="13" a="1"/>
  <c r="AN33" i="13" s="1"/>
  <c r="AM33" i="13" a="1"/>
  <c r="AM33" i="13" s="1"/>
  <c r="AL33" i="13" a="1"/>
  <c r="AL33" i="13" s="1"/>
  <c r="AK33" i="13" a="1"/>
  <c r="AK33" i="13" s="1"/>
  <c r="AK34" i="13" s="1"/>
  <c r="AJ33" i="13" a="1"/>
  <c r="AJ33" i="13" s="1"/>
  <c r="AI33" i="13" a="1"/>
  <c r="AI33" i="13" s="1"/>
  <c r="AH33" i="13" a="1"/>
  <c r="AH33" i="13" s="1"/>
  <c r="AG33" i="13" a="1"/>
  <c r="AG33" i="13" s="1"/>
  <c r="AF33" i="13" a="1"/>
  <c r="AF33" i="13" s="1"/>
  <c r="AE33" i="13" a="1"/>
  <c r="AE33" i="13" s="1"/>
  <c r="AD33" i="13" a="1"/>
  <c r="AD33" i="13" s="1"/>
  <c r="AC33" i="13" a="1"/>
  <c r="AC33" i="13" s="1"/>
  <c r="AC34" i="13" s="1"/>
  <c r="AB33" i="13" a="1"/>
  <c r="AB33" i="13" s="1"/>
  <c r="AA33" i="13" a="1"/>
  <c r="AA33" i="13" s="1"/>
  <c r="Z33" i="13" a="1"/>
  <c r="Z33" i="13" s="1"/>
  <c r="Y33" i="13" a="1"/>
  <c r="Y33" i="13" s="1"/>
  <c r="X33" i="13" a="1"/>
  <c r="X33" i="13" s="1"/>
  <c r="CX32" i="13"/>
  <c r="CW32" i="13"/>
  <c r="CV32" i="13"/>
  <c r="CV34" i="13" s="1"/>
  <c r="CU32" i="13"/>
  <c r="CU34" i="13" s="1"/>
  <c r="CT32" i="13"/>
  <c r="CS32" i="13"/>
  <c r="CS34" i="13" s="1"/>
  <c r="CR32" i="13"/>
  <c r="CQ32" i="13"/>
  <c r="CQ34" i="13" s="1"/>
  <c r="CP32" i="13"/>
  <c r="CO32" i="13"/>
  <c r="CN32" i="13"/>
  <c r="CN34" i="13" s="1"/>
  <c r="CM32" i="13"/>
  <c r="CM34" i="13" s="1"/>
  <c r="CL32" i="13"/>
  <c r="CK32" i="13"/>
  <c r="CK34" i="13" s="1"/>
  <c r="CJ32" i="13"/>
  <c r="CJ34" i="13" s="1"/>
  <c r="CI32" i="13"/>
  <c r="CI34" i="13" s="1"/>
  <c r="CH32" i="13"/>
  <c r="CG32" i="13"/>
  <c r="CF32" i="13"/>
  <c r="CF34" i="13" s="1"/>
  <c r="CE32" i="13"/>
  <c r="CE34" i="13" s="1"/>
  <c r="CD32" i="13"/>
  <c r="CC32" i="13"/>
  <c r="CC34" i="13" s="1"/>
  <c r="CB32" i="13"/>
  <c r="CB34" i="13" s="1"/>
  <c r="CA32" i="13"/>
  <c r="CA34" i="13" s="1"/>
  <c r="BZ32" i="13"/>
  <c r="BY32" i="13"/>
  <c r="BX32" i="13"/>
  <c r="BX34" i="13" s="1"/>
  <c r="BW32" i="13"/>
  <c r="BW34" i="13" s="1"/>
  <c r="BV32" i="13"/>
  <c r="BU32" i="13"/>
  <c r="BU34" i="13" s="1"/>
  <c r="BT32" i="13"/>
  <c r="BT34" i="13" s="1"/>
  <c r="BS32" i="13"/>
  <c r="BS34" i="13" s="1"/>
  <c r="BR32" i="13"/>
  <c r="BQ32" i="13"/>
  <c r="BP32" i="13"/>
  <c r="BP34" i="13" s="1"/>
  <c r="BO32" i="13"/>
  <c r="BO34" i="13" s="1"/>
  <c r="BN32" i="13"/>
  <c r="BM32" i="13"/>
  <c r="BM34" i="13" s="1"/>
  <c r="BL32" i="13"/>
  <c r="BL34" i="13" s="1"/>
  <c r="BK32" i="13"/>
  <c r="BK34" i="13" s="1"/>
  <c r="BJ32" i="13"/>
  <c r="BI32" i="13"/>
  <c r="BH32" i="13"/>
  <c r="BH34" i="13" s="1"/>
  <c r="BG32" i="13"/>
  <c r="BG34" i="13" s="1"/>
  <c r="BF32" i="13"/>
  <c r="BE32" i="13"/>
  <c r="BE34" i="13" s="1"/>
  <c r="BD32" i="13"/>
  <c r="BD34" i="13" s="1"/>
  <c r="BC32" i="13"/>
  <c r="BC34" i="13" s="1"/>
  <c r="BB32" i="13"/>
  <c r="BA32" i="13"/>
  <c r="AZ32" i="13"/>
  <c r="AZ34" i="13" s="1"/>
  <c r="AY32" i="13"/>
  <c r="AY34" i="13" s="1"/>
  <c r="AX32" i="13"/>
  <c r="AW32" i="13"/>
  <c r="AW34" i="13" s="1"/>
  <c r="AV32" i="13"/>
  <c r="AV34" i="13" s="1"/>
  <c r="AU32" i="13"/>
  <c r="AU34" i="13" s="1"/>
  <c r="AT32" i="13"/>
  <c r="AS32" i="13"/>
  <c r="AR32" i="13"/>
  <c r="AR34" i="13" s="1"/>
  <c r="AQ32" i="13"/>
  <c r="AQ34" i="13" s="1"/>
  <c r="AP32" i="13"/>
  <c r="AO32" i="13"/>
  <c r="AO34" i="13" s="1"/>
  <c r="AN32" i="13"/>
  <c r="AN34" i="13" s="1"/>
  <c r="AM32" i="13"/>
  <c r="AM34" i="13" s="1"/>
  <c r="AL32" i="13"/>
  <c r="AL34" i="13" s="1"/>
  <c r="AK32" i="13"/>
  <c r="AJ32" i="13"/>
  <c r="AJ34" i="13" s="1"/>
  <c r="AI32" i="13"/>
  <c r="AI34" i="13" s="1"/>
  <c r="AH32" i="13"/>
  <c r="AG32" i="13"/>
  <c r="AG34" i="13" s="1"/>
  <c r="AF32" i="13"/>
  <c r="AF34" i="13" s="1"/>
  <c r="AE32" i="13"/>
  <c r="AE34" i="13" s="1"/>
  <c r="AD32" i="13"/>
  <c r="AD34" i="13" s="1"/>
  <c r="AC32" i="13"/>
  <c r="AB32" i="13"/>
  <c r="AB34" i="13" s="1"/>
  <c r="AA32" i="13"/>
  <c r="AA34" i="13" s="1"/>
  <c r="Z32" i="13"/>
  <c r="Y32" i="13"/>
  <c r="Y34" i="13" s="1"/>
  <c r="X32" i="13"/>
  <c r="X34" i="13" s="1"/>
  <c r="CS31" i="13"/>
  <c r="CK31" i="13"/>
  <c r="CC31" i="13"/>
  <c r="BU31" i="13"/>
  <c r="BM31" i="13"/>
  <c r="BE31" i="13"/>
  <c r="AW31" i="13"/>
  <c r="AO31" i="13"/>
  <c r="AG31" i="13"/>
  <c r="Y31" i="13"/>
  <c r="CX30" i="13"/>
  <c r="CW30" i="13"/>
  <c r="CV30" i="13"/>
  <c r="CU30" i="13"/>
  <c r="CT30" i="13"/>
  <c r="CS30" i="13"/>
  <c r="CR30" i="13"/>
  <c r="CQ30" i="13"/>
  <c r="CP30" i="13"/>
  <c r="CO30" i="13"/>
  <c r="CN30" i="13"/>
  <c r="CM30" i="13"/>
  <c r="CL30" i="13"/>
  <c r="CK30" i="13"/>
  <c r="CJ30" i="13"/>
  <c r="CI30" i="13"/>
  <c r="CH30" i="13"/>
  <c r="CG30" i="13"/>
  <c r="CF30" i="13"/>
  <c r="CE30" i="13"/>
  <c r="CD30" i="13"/>
  <c r="CC30" i="13"/>
  <c r="CB30" i="13"/>
  <c r="CA30" i="13"/>
  <c r="BZ30" i="13"/>
  <c r="BY30" i="13"/>
  <c r="BX30" i="13"/>
  <c r="BW30" i="13"/>
  <c r="BV30" i="13"/>
  <c r="BU30" i="13"/>
  <c r="BT30" i="13"/>
  <c r="BS30" i="13"/>
  <c r="BR30" i="13"/>
  <c r="BQ30" i="13"/>
  <c r="BP30" i="13"/>
  <c r="BO30" i="13"/>
  <c r="BN30" i="13"/>
  <c r="BM30" i="13"/>
  <c r="BL30" i="13"/>
  <c r="BK30" i="13"/>
  <c r="BJ30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AS30" i="13"/>
  <c r="AR30" i="13"/>
  <c r="AQ30" i="13"/>
  <c r="AP30" i="13"/>
  <c r="AO30" i="13"/>
  <c r="AN30" i="13"/>
  <c r="AM30" i="13"/>
  <c r="AL30" i="13"/>
  <c r="AK30" i="13"/>
  <c r="AJ30" i="13"/>
  <c r="AI30" i="13"/>
  <c r="AH30" i="13"/>
  <c r="AG30" i="13"/>
  <c r="AF30" i="13"/>
  <c r="AE30" i="13"/>
  <c r="AD30" i="13"/>
  <c r="AC30" i="13"/>
  <c r="AB30" i="13"/>
  <c r="AA30" i="13"/>
  <c r="Z30" i="13"/>
  <c r="Y30" i="13"/>
  <c r="X30" i="13"/>
  <c r="CX29" i="13"/>
  <c r="CX31" i="13" s="1"/>
  <c r="CW29" i="13"/>
  <c r="CW31" i="13" s="1"/>
  <c r="CV29" i="13"/>
  <c r="CV31" i="13" s="1"/>
  <c r="CU29" i="13"/>
  <c r="CU31" i="13" s="1"/>
  <c r="CT29" i="13"/>
  <c r="CT31" i="13" s="1"/>
  <c r="CS29" i="13"/>
  <c r="CR29" i="13"/>
  <c r="CQ29" i="13"/>
  <c r="CQ31" i="13" s="1"/>
  <c r="CP29" i="13"/>
  <c r="CP31" i="13" s="1"/>
  <c r="CO29" i="13"/>
  <c r="CO31" i="13" s="1"/>
  <c r="CN29" i="13"/>
  <c r="CN31" i="13" s="1"/>
  <c r="CM29" i="13"/>
  <c r="CM31" i="13" s="1"/>
  <c r="CL29" i="13"/>
  <c r="CL31" i="13" s="1"/>
  <c r="CK29" i="13"/>
  <c r="CJ29" i="13"/>
  <c r="CI29" i="13"/>
  <c r="CI31" i="13" s="1"/>
  <c r="CH29" i="13"/>
  <c r="CH31" i="13" s="1"/>
  <c r="CG29" i="13"/>
  <c r="CG31" i="13" s="1"/>
  <c r="CF29" i="13"/>
  <c r="CF31" i="13" s="1"/>
  <c r="CE29" i="13"/>
  <c r="CE31" i="13" s="1"/>
  <c r="CD29" i="13"/>
  <c r="CD31" i="13" s="1"/>
  <c r="CC29" i="13"/>
  <c r="CB29" i="13"/>
  <c r="CA29" i="13"/>
  <c r="CA31" i="13" s="1"/>
  <c r="BZ29" i="13"/>
  <c r="BZ31" i="13" s="1"/>
  <c r="BY29" i="13"/>
  <c r="BY31" i="13" s="1"/>
  <c r="BX29" i="13"/>
  <c r="BX31" i="13" s="1"/>
  <c r="BW29" i="13"/>
  <c r="BW31" i="13" s="1"/>
  <c r="BV29" i="13"/>
  <c r="BV31" i="13" s="1"/>
  <c r="BU29" i="13"/>
  <c r="BT29" i="13"/>
  <c r="BS29" i="13"/>
  <c r="BS31" i="13" s="1"/>
  <c r="BR29" i="13"/>
  <c r="BR31" i="13" s="1"/>
  <c r="BQ29" i="13"/>
  <c r="BQ31" i="13" s="1"/>
  <c r="BP29" i="13"/>
  <c r="BP31" i="13" s="1"/>
  <c r="BO29" i="13"/>
  <c r="BO31" i="13" s="1"/>
  <c r="BN29" i="13"/>
  <c r="BN31" i="13" s="1"/>
  <c r="BM29" i="13"/>
  <c r="BL29" i="13"/>
  <c r="BK29" i="13"/>
  <c r="BK31" i="13" s="1"/>
  <c r="BJ29" i="13"/>
  <c r="BJ31" i="13" s="1"/>
  <c r="BI29" i="13"/>
  <c r="BI31" i="13" s="1"/>
  <c r="BH29" i="13"/>
  <c r="BH31" i="13" s="1"/>
  <c r="BG29" i="13"/>
  <c r="BG31" i="13" s="1"/>
  <c r="BF29" i="13"/>
  <c r="BF31" i="13" s="1"/>
  <c r="BE29" i="13"/>
  <c r="BD29" i="13"/>
  <c r="BC29" i="13"/>
  <c r="BC31" i="13" s="1"/>
  <c r="BB29" i="13"/>
  <c r="BB31" i="13" s="1"/>
  <c r="BA29" i="13"/>
  <c r="BA31" i="13" s="1"/>
  <c r="AZ29" i="13"/>
  <c r="AZ31" i="13" s="1"/>
  <c r="AY29" i="13"/>
  <c r="AY31" i="13" s="1"/>
  <c r="AX29" i="13"/>
  <c r="AX31" i="13" s="1"/>
  <c r="AW29" i="13"/>
  <c r="AV29" i="13"/>
  <c r="AU29" i="13"/>
  <c r="AU31" i="13" s="1"/>
  <c r="AT29" i="13"/>
  <c r="AT31" i="13" s="1"/>
  <c r="AS29" i="13"/>
  <c r="AS31" i="13" s="1"/>
  <c r="AR29" i="13"/>
  <c r="AR31" i="13" s="1"/>
  <c r="AQ29" i="13"/>
  <c r="AQ31" i="13" s="1"/>
  <c r="AP29" i="13"/>
  <c r="AP31" i="13" s="1"/>
  <c r="AO29" i="13"/>
  <c r="AN29" i="13"/>
  <c r="AM29" i="13"/>
  <c r="AM31" i="13" s="1"/>
  <c r="AL29" i="13"/>
  <c r="AL31" i="13" s="1"/>
  <c r="AK29" i="13"/>
  <c r="AK31" i="13" s="1"/>
  <c r="AJ29" i="13"/>
  <c r="AJ31" i="13" s="1"/>
  <c r="AI29" i="13"/>
  <c r="AI31" i="13" s="1"/>
  <c r="AH29" i="13"/>
  <c r="AH31" i="13" s="1"/>
  <c r="AG29" i="13"/>
  <c r="AF29" i="13"/>
  <c r="AE29" i="13"/>
  <c r="AE31" i="13" s="1"/>
  <c r="AD29" i="13"/>
  <c r="AD31" i="13" s="1"/>
  <c r="AC29" i="13"/>
  <c r="AC31" i="13" s="1"/>
  <c r="AB29" i="13"/>
  <c r="AB31" i="13" s="1"/>
  <c r="AA29" i="13"/>
  <c r="AA31" i="13" s="1"/>
  <c r="Z29" i="13"/>
  <c r="Z31" i="13" s="1"/>
  <c r="Y29" i="13"/>
  <c r="X29" i="13"/>
  <c r="CX28" i="13"/>
  <c r="CX27" i="13" a="1"/>
  <c r="CX27" i="13"/>
  <c r="CW27" i="13" a="1"/>
  <c r="CW27" i="13"/>
  <c r="CV27" i="13" a="1"/>
  <c r="CV27" i="13"/>
  <c r="CU27" i="13" a="1"/>
  <c r="CU27" i="13"/>
  <c r="CT27" i="13" a="1"/>
  <c r="CT27" i="13"/>
  <c r="CS27" i="13" a="1"/>
  <c r="CS27" i="13"/>
  <c r="CR27" i="13" a="1"/>
  <c r="CR27" i="13"/>
  <c r="CQ27" i="13" a="1"/>
  <c r="CQ27" i="13"/>
  <c r="CP27" i="13" a="1"/>
  <c r="CP27" i="13"/>
  <c r="CO27" i="13" a="1"/>
  <c r="CO27" i="13"/>
  <c r="CN27" i="13" a="1"/>
  <c r="CN27" i="13"/>
  <c r="CM27" i="13" a="1"/>
  <c r="CM27" i="13"/>
  <c r="CL27" i="13" a="1"/>
  <c r="CL27" i="13"/>
  <c r="CK27" i="13" a="1"/>
  <c r="CK27" i="13"/>
  <c r="CJ27" i="13" a="1"/>
  <c r="CJ27" i="13"/>
  <c r="CI27" i="13" a="1"/>
  <c r="CI27" i="13"/>
  <c r="CH27" i="13" a="1"/>
  <c r="CH27" i="13"/>
  <c r="CG27" i="13" a="1"/>
  <c r="CG27" i="13"/>
  <c r="CF27" i="13" a="1"/>
  <c r="CF27" i="13"/>
  <c r="CE27" i="13" a="1"/>
  <c r="CE27" i="13"/>
  <c r="CD27" i="13" a="1"/>
  <c r="CD27" i="13"/>
  <c r="CC27" i="13" a="1"/>
  <c r="CC27" i="13"/>
  <c r="CB27" i="13" a="1"/>
  <c r="CB27" i="13"/>
  <c r="CA27" i="13" a="1"/>
  <c r="CA27" i="13"/>
  <c r="BZ27" i="13" a="1"/>
  <c r="BZ27" i="13"/>
  <c r="BY27" i="13" a="1"/>
  <c r="BY27" i="13"/>
  <c r="BX27" i="13" a="1"/>
  <c r="BX27" i="13"/>
  <c r="BW27" i="13" a="1"/>
  <c r="BW27" i="13"/>
  <c r="BV27" i="13" a="1"/>
  <c r="BV27" i="13"/>
  <c r="BU27" i="13" a="1"/>
  <c r="BU27" i="13"/>
  <c r="BT27" i="13" a="1"/>
  <c r="BT27" i="13"/>
  <c r="BS27" i="13" a="1"/>
  <c r="BS27" i="13"/>
  <c r="BR27" i="13" a="1"/>
  <c r="BR27" i="13"/>
  <c r="BQ27" i="13" a="1"/>
  <c r="BQ27" i="13"/>
  <c r="BP27" i="13" a="1"/>
  <c r="BP27" i="13"/>
  <c r="BO27" i="13" a="1"/>
  <c r="BO27" i="13"/>
  <c r="BN27" i="13" a="1"/>
  <c r="BN27" i="13"/>
  <c r="BM27" i="13" a="1"/>
  <c r="BM27" i="13"/>
  <c r="BL27" i="13" a="1"/>
  <c r="BL27" i="13"/>
  <c r="BK27" i="13" a="1"/>
  <c r="BK27" i="13"/>
  <c r="BJ27" i="13" a="1"/>
  <c r="BJ27" i="13"/>
  <c r="BI27" i="13" a="1"/>
  <c r="BI27" i="13"/>
  <c r="BH27" i="13" a="1"/>
  <c r="BH27" i="13"/>
  <c r="BG27" i="13" a="1"/>
  <c r="BG27" i="13"/>
  <c r="BF27" i="13" a="1"/>
  <c r="BF27" i="13"/>
  <c r="BE27" i="13" a="1"/>
  <c r="BE27" i="13"/>
  <c r="BD27" i="13" a="1"/>
  <c r="BD27" i="13"/>
  <c r="BC27" i="13" a="1"/>
  <c r="BC27" i="13"/>
  <c r="BB27" i="13" a="1"/>
  <c r="BB27" i="13"/>
  <c r="BA27" i="13" a="1"/>
  <c r="BA27" i="13"/>
  <c r="AZ27" i="13" a="1"/>
  <c r="AZ27" i="13"/>
  <c r="AY27" i="13" a="1"/>
  <c r="AY27" i="13"/>
  <c r="AX27" i="13" a="1"/>
  <c r="AX27" i="13"/>
  <c r="AW27" i="13" a="1"/>
  <c r="AW27" i="13"/>
  <c r="AV27" i="13" a="1"/>
  <c r="AV27" i="13"/>
  <c r="AU27" i="13" a="1"/>
  <c r="AU27" i="13"/>
  <c r="AT27" i="13" a="1"/>
  <c r="AT27" i="13"/>
  <c r="AS27" i="13" a="1"/>
  <c r="AS27" i="13"/>
  <c r="AR27" i="13" a="1"/>
  <c r="AR27" i="13"/>
  <c r="AQ27" i="13" a="1"/>
  <c r="AQ27" i="13"/>
  <c r="AP27" i="13" a="1"/>
  <c r="AP27" i="13"/>
  <c r="AO27" i="13" a="1"/>
  <c r="AO27" i="13"/>
  <c r="AN27" i="13" a="1"/>
  <c r="AN27" i="13"/>
  <c r="AM27" i="13" a="1"/>
  <c r="AM27" i="13"/>
  <c r="AL27" i="13" a="1"/>
  <c r="AL27" i="13"/>
  <c r="AK27" i="13" a="1"/>
  <c r="AK27" i="13"/>
  <c r="AJ27" i="13" a="1"/>
  <c r="AJ27" i="13" s="1"/>
  <c r="AI27" i="13" a="1"/>
  <c r="AI27" i="13"/>
  <c r="AH27" i="13" a="1"/>
  <c r="AH27" i="13"/>
  <c r="AG27" i="13" a="1"/>
  <c r="AG27" i="13" s="1"/>
  <c r="AF27" i="13" a="1"/>
  <c r="AF27" i="13" s="1"/>
  <c r="AE27" i="13" a="1"/>
  <c r="AE27" i="13" s="1"/>
  <c r="AD27" i="13" a="1"/>
  <c r="AD27" i="13"/>
  <c r="AC27" i="13" a="1"/>
  <c r="AC27" i="13" s="1"/>
  <c r="AB27" i="13" a="1"/>
  <c r="AB27" i="13" s="1"/>
  <c r="AA27" i="13" a="1"/>
  <c r="AA27" i="13" s="1"/>
  <c r="Z27" i="13" a="1"/>
  <c r="Z27" i="13"/>
  <c r="Y27" i="13" a="1"/>
  <c r="Y27" i="13" s="1"/>
  <c r="X27" i="13" a="1"/>
  <c r="X27" i="13" s="1"/>
  <c r="CX26" i="13" a="1"/>
  <c r="CX26" i="13" s="1"/>
  <c r="CW26" i="13" a="1"/>
  <c r="CW26" i="13"/>
  <c r="CV26" i="13" a="1"/>
  <c r="CV26" i="13" s="1"/>
  <c r="CU26" i="13" a="1"/>
  <c r="CU26" i="13" s="1"/>
  <c r="CT26" i="13" a="1"/>
  <c r="CT26" i="13" s="1"/>
  <c r="CS26" i="13" a="1"/>
  <c r="CS26" i="13"/>
  <c r="CR26" i="13" a="1"/>
  <c r="CR26" i="13" s="1"/>
  <c r="CQ26" i="13" a="1"/>
  <c r="CQ26" i="13" s="1"/>
  <c r="CP26" i="13" a="1"/>
  <c r="CP26" i="13" s="1"/>
  <c r="CO26" i="13" a="1"/>
  <c r="CO26" i="13"/>
  <c r="CN26" i="13" a="1"/>
  <c r="CN26" i="13" s="1"/>
  <c r="CM26" i="13" a="1"/>
  <c r="CM26" i="13" s="1"/>
  <c r="CL26" i="13" a="1"/>
  <c r="CL26" i="13" s="1"/>
  <c r="CK26" i="13" a="1"/>
  <c r="CK26" i="13"/>
  <c r="CJ26" i="13" a="1"/>
  <c r="CJ26" i="13" s="1"/>
  <c r="CI26" i="13" a="1"/>
  <c r="CI26" i="13" s="1"/>
  <c r="CH26" i="13" a="1"/>
  <c r="CH26" i="13" s="1"/>
  <c r="CG26" i="13" a="1"/>
  <c r="CG26" i="13"/>
  <c r="CF26" i="13" a="1"/>
  <c r="CF26" i="13" s="1"/>
  <c r="CE26" i="13" a="1"/>
  <c r="CE26" i="13" s="1"/>
  <c r="CD26" i="13" a="1"/>
  <c r="CD26" i="13" s="1"/>
  <c r="CC26" i="13" a="1"/>
  <c r="CC26" i="13" s="1"/>
  <c r="CB26" i="13" a="1"/>
  <c r="CB26" i="13" s="1"/>
  <c r="CA26" i="13" a="1"/>
  <c r="CA26" i="13" s="1"/>
  <c r="BZ26" i="13" a="1"/>
  <c r="BZ26" i="13" s="1"/>
  <c r="BY26" i="13" a="1"/>
  <c r="BY26" i="13" s="1"/>
  <c r="BX26" i="13" a="1"/>
  <c r="BX26" i="13" s="1"/>
  <c r="BW26" i="13" a="1"/>
  <c r="BW26" i="13" s="1"/>
  <c r="BV26" i="13" a="1"/>
  <c r="BV26" i="13" s="1"/>
  <c r="BU26" i="13" a="1"/>
  <c r="BU26" i="13" s="1"/>
  <c r="BT26" i="13" a="1"/>
  <c r="BT26" i="13" s="1"/>
  <c r="BS26" i="13" a="1"/>
  <c r="BS26" i="13" s="1"/>
  <c r="BR26" i="13" a="1"/>
  <c r="BR26" i="13" s="1"/>
  <c r="BQ26" i="13" a="1"/>
  <c r="BQ26" i="13" s="1"/>
  <c r="BP26" i="13" a="1"/>
  <c r="BP26" i="13" s="1"/>
  <c r="BO26" i="13" a="1"/>
  <c r="BO26" i="13" s="1"/>
  <c r="BN26" i="13" a="1"/>
  <c r="BN26" i="13" s="1"/>
  <c r="BM26" i="13" a="1"/>
  <c r="BM26" i="13"/>
  <c r="BL26" i="13" a="1"/>
  <c r="BL26" i="13" s="1"/>
  <c r="BK26" i="13" a="1"/>
  <c r="BK26" i="13" s="1"/>
  <c r="BJ26" i="13" a="1"/>
  <c r="BJ26" i="13" s="1"/>
  <c r="BI26" i="13" a="1"/>
  <c r="BI26" i="13"/>
  <c r="BH26" i="13" a="1"/>
  <c r="BH26" i="13" s="1"/>
  <c r="BG26" i="13" a="1"/>
  <c r="BG26" i="13" s="1"/>
  <c r="BF26" i="13" a="1"/>
  <c r="BF26" i="13" s="1"/>
  <c r="BE26" i="13" a="1"/>
  <c r="BE26" i="13"/>
  <c r="BD26" i="13" a="1"/>
  <c r="BD26" i="13" s="1"/>
  <c r="BC26" i="13" a="1"/>
  <c r="BC26" i="13" s="1"/>
  <c r="BB26" i="13" a="1"/>
  <c r="BB26" i="13" s="1"/>
  <c r="BA26" i="13" a="1"/>
  <c r="BA26" i="13"/>
  <c r="AZ26" i="13" a="1"/>
  <c r="AZ26" i="13" s="1"/>
  <c r="AY26" i="13" a="1"/>
  <c r="AY26" i="13" s="1"/>
  <c r="AX26" i="13" a="1"/>
  <c r="AX26" i="13" s="1"/>
  <c r="AW26" i="13" a="1"/>
  <c r="AW26" i="13" s="1"/>
  <c r="AV26" i="13" a="1"/>
  <c r="AV26" i="13" s="1"/>
  <c r="AU26" i="13" a="1"/>
  <c r="AU26" i="13" s="1"/>
  <c r="AT26" i="13" a="1"/>
  <c r="AT26" i="13" s="1"/>
  <c r="AS26" i="13" a="1"/>
  <c r="AS26" i="13" s="1"/>
  <c r="AR26" i="13" a="1"/>
  <c r="AR26" i="13" s="1"/>
  <c r="AQ26" i="13" a="1"/>
  <c r="AQ26" i="13" s="1"/>
  <c r="AP26" i="13" a="1"/>
  <c r="AP26" i="13" s="1"/>
  <c r="AO26" i="13" a="1"/>
  <c r="AO26" i="13" s="1"/>
  <c r="AN26" i="13" a="1"/>
  <c r="AN26" i="13" s="1"/>
  <c r="AM26" i="13" a="1"/>
  <c r="AM26" i="13" s="1"/>
  <c r="AL26" i="13" a="1"/>
  <c r="AL26" i="13" s="1"/>
  <c r="AK26" i="13" a="1"/>
  <c r="AK26" i="13" s="1"/>
  <c r="AJ26" i="13" a="1"/>
  <c r="AJ26" i="13" s="1"/>
  <c r="AI26" i="13" a="1"/>
  <c r="AI26" i="13" s="1"/>
  <c r="AH26" i="13" a="1"/>
  <c r="AH26" i="13" s="1"/>
  <c r="AG26" i="13" a="1"/>
  <c r="AG26" i="13"/>
  <c r="AF26" i="13" a="1"/>
  <c r="AF26" i="13" s="1"/>
  <c r="AE26" i="13" a="1"/>
  <c r="AE26" i="13" s="1"/>
  <c r="AD26" i="13" a="1"/>
  <c r="AD26" i="13" s="1"/>
  <c r="AC26" i="13" a="1"/>
  <c r="AC26" i="13"/>
  <c r="AB26" i="13" a="1"/>
  <c r="AB26" i="13" s="1"/>
  <c r="AA26" i="13" a="1"/>
  <c r="AA26" i="13" s="1"/>
  <c r="Z26" i="13" a="1"/>
  <c r="Z26" i="13" s="1"/>
  <c r="Y26" i="13" a="1"/>
  <c r="Y26" i="13"/>
  <c r="X26" i="13" a="1"/>
  <c r="X26" i="13" s="1"/>
  <c r="CX25" i="13" a="1"/>
  <c r="CX25" i="13" s="1"/>
  <c r="CW25" i="13" a="1"/>
  <c r="CW25" i="13" s="1"/>
  <c r="CW28" i="13" s="1"/>
  <c r="CV25" i="13" a="1"/>
  <c r="CV25" i="13"/>
  <c r="CV28" i="13" s="1"/>
  <c r="CU25" i="13" a="1"/>
  <c r="CU25" i="13" s="1"/>
  <c r="CU28" i="13" s="1"/>
  <c r="CT25" i="13" a="1"/>
  <c r="CT25" i="13" s="1"/>
  <c r="CT28" i="13" s="1"/>
  <c r="CS25" i="13" a="1"/>
  <c r="CS25" i="13" s="1"/>
  <c r="CR25" i="13" a="1"/>
  <c r="CR25" i="13" s="1"/>
  <c r="CR28" i="13" s="1"/>
  <c r="CQ25" i="13" a="1"/>
  <c r="CQ25" i="13" s="1"/>
  <c r="CQ28" i="13" s="1"/>
  <c r="CP25" i="13" a="1"/>
  <c r="CP25" i="13" s="1"/>
  <c r="CP28" i="13" s="1"/>
  <c r="CO25" i="13" a="1"/>
  <c r="CO25" i="13" s="1"/>
  <c r="CO28" i="13" s="1"/>
  <c r="CN25" i="13" a="1"/>
  <c r="CN25" i="13" s="1"/>
  <c r="CN28" i="13" s="1"/>
  <c r="CM25" i="13" a="1"/>
  <c r="CM25" i="13" s="1"/>
  <c r="CM28" i="13" s="1"/>
  <c r="CL25" i="13" a="1"/>
  <c r="CL25" i="13" s="1"/>
  <c r="CK25" i="13" a="1"/>
  <c r="CK25" i="13" s="1"/>
  <c r="CJ25" i="13" a="1"/>
  <c r="CJ25" i="13" s="1"/>
  <c r="CJ28" i="13" s="1"/>
  <c r="CI25" i="13" a="1"/>
  <c r="CI25" i="13" s="1"/>
  <c r="CI28" i="13" s="1"/>
  <c r="CH25" i="13" a="1"/>
  <c r="CH25" i="13" s="1"/>
  <c r="CH28" i="13" s="1"/>
  <c r="CG25" i="13" a="1"/>
  <c r="CG25" i="13" s="1"/>
  <c r="CG28" i="13" s="1"/>
  <c r="CF25" i="13" a="1"/>
  <c r="CF25" i="13" s="1"/>
  <c r="CE25" i="13" a="1"/>
  <c r="CE25" i="13" s="1"/>
  <c r="CE28" i="13" s="1"/>
  <c r="CD25" i="13" a="1"/>
  <c r="CD25" i="13" s="1"/>
  <c r="CD28" i="13" s="1"/>
  <c r="CC25" i="13" a="1"/>
  <c r="CC25" i="13" s="1"/>
  <c r="CB25" i="13" a="1"/>
  <c r="CB25" i="13"/>
  <c r="CB28" i="13" s="1"/>
  <c r="CA25" i="13" a="1"/>
  <c r="CA25" i="13" s="1"/>
  <c r="CA28" i="13" s="1"/>
  <c r="BZ25" i="13" a="1"/>
  <c r="BZ25" i="13" s="1"/>
  <c r="BZ28" i="13" s="1"/>
  <c r="BY25" i="13" a="1"/>
  <c r="BY25" i="13" s="1"/>
  <c r="BX25" i="13" a="1"/>
  <c r="BX25" i="13"/>
  <c r="BX28" i="13" s="1"/>
  <c r="BW25" i="13" a="1"/>
  <c r="BW25" i="13" s="1"/>
  <c r="BW28" i="13" s="1"/>
  <c r="BV25" i="13" a="1"/>
  <c r="BV25" i="13" s="1"/>
  <c r="BV28" i="13" s="1"/>
  <c r="BU25" i="13" a="1"/>
  <c r="BU25" i="13" s="1"/>
  <c r="BT25" i="13" a="1"/>
  <c r="BT25" i="13"/>
  <c r="BT28" i="13" s="1"/>
  <c r="BS25" i="13" a="1"/>
  <c r="BS25" i="13" s="1"/>
  <c r="BR25" i="13" a="1"/>
  <c r="BR25" i="13" s="1"/>
  <c r="BR28" i="13" s="1"/>
  <c r="BQ25" i="13" a="1"/>
  <c r="BQ25" i="13" s="1"/>
  <c r="BP25" i="13" a="1"/>
  <c r="BP25" i="13"/>
  <c r="BP28" i="13" s="1"/>
  <c r="BO25" i="13" a="1"/>
  <c r="BO25" i="13" s="1"/>
  <c r="BO28" i="13" s="1"/>
  <c r="BN25" i="13" a="1"/>
  <c r="BN25" i="13" s="1"/>
  <c r="BN28" i="13" s="1"/>
  <c r="BM25" i="13" a="1"/>
  <c r="BM25" i="13" s="1"/>
  <c r="BL25" i="13" a="1"/>
  <c r="BL25" i="13" s="1"/>
  <c r="BL28" i="13" s="1"/>
  <c r="BK25" i="13" a="1"/>
  <c r="BK25" i="13" s="1"/>
  <c r="BK28" i="13" s="1"/>
  <c r="BJ25" i="13" a="1"/>
  <c r="BJ25" i="13" s="1"/>
  <c r="BJ28" i="13" s="1"/>
  <c r="BI25" i="13" a="1"/>
  <c r="BI25" i="13" s="1"/>
  <c r="BI28" i="13" s="1"/>
  <c r="BH25" i="13" a="1"/>
  <c r="BH25" i="13" s="1"/>
  <c r="BH28" i="13" s="1"/>
  <c r="BG25" i="13" a="1"/>
  <c r="BG25" i="13" s="1"/>
  <c r="BG28" i="13" s="1"/>
  <c r="BF25" i="13" a="1"/>
  <c r="BF25" i="13" s="1"/>
  <c r="BE25" i="13" a="1"/>
  <c r="BE25" i="13" s="1"/>
  <c r="BD25" i="13" a="1"/>
  <c r="BD25" i="13" s="1"/>
  <c r="BD28" i="13" s="1"/>
  <c r="BC25" i="13" a="1"/>
  <c r="BC25" i="13" s="1"/>
  <c r="BC28" i="13" s="1"/>
  <c r="BB25" i="13" a="1"/>
  <c r="BB25" i="13" s="1"/>
  <c r="BB28" i="13" s="1"/>
  <c r="BA25" i="13" a="1"/>
  <c r="BA25" i="13" s="1"/>
  <c r="BA28" i="13" s="1"/>
  <c r="AZ25" i="13" a="1"/>
  <c r="AZ25" i="13" s="1"/>
  <c r="AZ28" i="13" s="1"/>
  <c r="AY25" i="13" a="1"/>
  <c r="AY25" i="13" s="1"/>
  <c r="AY28" i="13" s="1"/>
  <c r="AX25" i="13" a="1"/>
  <c r="AX25" i="13" s="1"/>
  <c r="AX28" i="13" s="1"/>
  <c r="AW25" i="13" a="1"/>
  <c r="AW25" i="13" s="1"/>
  <c r="AV25" i="13" a="1"/>
  <c r="AV25" i="13"/>
  <c r="AV28" i="13" s="1"/>
  <c r="AU25" i="13" a="1"/>
  <c r="AU25" i="13" s="1"/>
  <c r="AU28" i="13" s="1"/>
  <c r="AT25" i="13" a="1"/>
  <c r="AT25" i="13" s="1"/>
  <c r="AT28" i="13" s="1"/>
  <c r="AS25" i="13" a="1"/>
  <c r="AS25" i="13" s="1"/>
  <c r="AR25" i="13" a="1"/>
  <c r="AR25" i="13"/>
  <c r="AR28" i="13" s="1"/>
  <c r="AQ25" i="13" a="1"/>
  <c r="AQ25" i="13" s="1"/>
  <c r="AQ28" i="13" s="1"/>
  <c r="AP25" i="13" a="1"/>
  <c r="AP25" i="13" s="1"/>
  <c r="AP28" i="13" s="1"/>
  <c r="AO25" i="13" a="1"/>
  <c r="AO25" i="13" s="1"/>
  <c r="AO28" i="13" s="1"/>
  <c r="AN25" i="13" a="1"/>
  <c r="AN25" i="13"/>
  <c r="AN28" i="13" s="1"/>
  <c r="AM25" i="13" a="1"/>
  <c r="AM25" i="13" s="1"/>
  <c r="AL25" i="13" a="1"/>
  <c r="AL25" i="13" s="1"/>
  <c r="AL28" i="13" s="1"/>
  <c r="AK25" i="13" a="1"/>
  <c r="AK25" i="13" s="1"/>
  <c r="AJ25" i="13" a="1"/>
  <c r="AJ25" i="13"/>
  <c r="AI25" i="13" a="1"/>
  <c r="AI25" i="13" s="1"/>
  <c r="AI28" i="13" s="1"/>
  <c r="AH25" i="13" a="1"/>
  <c r="AH25" i="13" s="1"/>
  <c r="AH28" i="13" s="1"/>
  <c r="AG25" i="13" a="1"/>
  <c r="AG25" i="13" s="1"/>
  <c r="AF25" i="13" a="1"/>
  <c r="AF25" i="13" s="1"/>
  <c r="AF28" i="13" s="1"/>
  <c r="AE25" i="13" a="1"/>
  <c r="AE25" i="13" s="1"/>
  <c r="AE28" i="13" s="1"/>
  <c r="AD25" i="13" a="1"/>
  <c r="AD25" i="13" s="1"/>
  <c r="AD28" i="13" s="1"/>
  <c r="AC25" i="13" a="1"/>
  <c r="AC25" i="13" s="1"/>
  <c r="AC28" i="13" s="1"/>
  <c r="AB25" i="13" a="1"/>
  <c r="AB25" i="13" s="1"/>
  <c r="AB28" i="13" s="1"/>
  <c r="AA25" i="13" a="1"/>
  <c r="AA25" i="13" s="1"/>
  <c r="AA28" i="13" s="1"/>
  <c r="Z25" i="13" a="1"/>
  <c r="Z25" i="13" s="1"/>
  <c r="Y25" i="13" a="1"/>
  <c r="Y25" i="13" s="1"/>
  <c r="X25" i="13" a="1"/>
  <c r="X25" i="13" s="1"/>
  <c r="X28" i="13" s="1"/>
  <c r="CJ24" i="13"/>
  <c r="CA24" i="13"/>
  <c r="CA35" i="13" s="1"/>
  <c r="BS24" i="13"/>
  <c r="BK24" i="13"/>
  <c r="BK35" i="13" s="1"/>
  <c r="BC24" i="13"/>
  <c r="BC35" i="13" s="1"/>
  <c r="AU24" i="13"/>
  <c r="AU35" i="13" s="1"/>
  <c r="AM24" i="13"/>
  <c r="AE24" i="13"/>
  <c r="AE35" i="13" s="1"/>
  <c r="CX23" i="13"/>
  <c r="CW23" i="13"/>
  <c r="CV23" i="13"/>
  <c r="CU23" i="13"/>
  <c r="CT23" i="13"/>
  <c r="CS23" i="13"/>
  <c r="CR23" i="13"/>
  <c r="CQ23" i="13"/>
  <c r="CP23" i="13"/>
  <c r="CO23" i="13"/>
  <c r="CN23" i="13"/>
  <c r="CM23" i="13"/>
  <c r="CL23" i="13"/>
  <c r="CK23" i="13"/>
  <c r="CJ23" i="13"/>
  <c r="CI23" i="13"/>
  <c r="CH23" i="13"/>
  <c r="CG23" i="13"/>
  <c r="CF23" i="13"/>
  <c r="CE23" i="13"/>
  <c r="CD23" i="13"/>
  <c r="CC23" i="13"/>
  <c r="CB23" i="13"/>
  <c r="CA23" i="13"/>
  <c r="BZ23" i="13"/>
  <c r="BY23" i="13"/>
  <c r="BX23" i="13"/>
  <c r="BW23" i="13"/>
  <c r="BV23" i="13"/>
  <c r="BU23" i="13"/>
  <c r="BT23" i="13"/>
  <c r="BS23" i="13"/>
  <c r="BR23" i="13"/>
  <c r="BQ23" i="13"/>
  <c r="BP23" i="13"/>
  <c r="BO23" i="13"/>
  <c r="BN23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AS23" i="13"/>
  <c r="AR23" i="13"/>
  <c r="AQ23" i="13"/>
  <c r="AP23" i="13"/>
  <c r="AO23" i="13"/>
  <c r="AN23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CX22" i="13"/>
  <c r="CW22" i="13"/>
  <c r="CV22" i="13"/>
  <c r="CU22" i="13"/>
  <c r="CT22" i="13"/>
  <c r="CS22" i="13"/>
  <c r="CR22" i="13"/>
  <c r="CQ22" i="13"/>
  <c r="CP22" i="13"/>
  <c r="CO22" i="13"/>
  <c r="CN22" i="13"/>
  <c r="CM22" i="13"/>
  <c r="CL22" i="13"/>
  <c r="CK22" i="13"/>
  <c r="CJ22" i="13"/>
  <c r="CI22" i="13"/>
  <c r="CH22" i="13"/>
  <c r="CG22" i="13"/>
  <c r="CF22" i="13"/>
  <c r="CE22" i="13"/>
  <c r="CD22" i="13"/>
  <c r="CC22" i="13"/>
  <c r="CB22" i="13"/>
  <c r="CA22" i="13"/>
  <c r="BZ22" i="13"/>
  <c r="BY22" i="13"/>
  <c r="BX22" i="13"/>
  <c r="BW22" i="13"/>
  <c r="BV22" i="13"/>
  <c r="BU22" i="13"/>
  <c r="BT22" i="13"/>
  <c r="BS22" i="13"/>
  <c r="BR22" i="13"/>
  <c r="BQ22" i="13"/>
  <c r="BP22" i="13"/>
  <c r="BO22" i="13"/>
  <c r="BN22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AS22" i="13"/>
  <c r="AR22" i="13"/>
  <c r="AQ22" i="13"/>
  <c r="AP22" i="13"/>
  <c r="AO22" i="13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CX21" i="13"/>
  <c r="CX24" i="13" s="1"/>
  <c r="CW21" i="13"/>
  <c r="CV21" i="13"/>
  <c r="CV24" i="13" s="1"/>
  <c r="CV35" i="13" s="1"/>
  <c r="CU21" i="13"/>
  <c r="CT21" i="13"/>
  <c r="CT24" i="13" s="1"/>
  <c r="CS21" i="13"/>
  <c r="CS24" i="13" s="1"/>
  <c r="CR21" i="13"/>
  <c r="CR24" i="13" s="1"/>
  <c r="CQ21" i="13"/>
  <c r="CQ24" i="13" s="1"/>
  <c r="CQ35" i="13" s="1"/>
  <c r="CP21" i="13"/>
  <c r="CP24" i="13" s="1"/>
  <c r="CO21" i="13"/>
  <c r="CN21" i="13"/>
  <c r="CN24" i="13" s="1"/>
  <c r="CN35" i="13" s="1"/>
  <c r="CM21" i="13"/>
  <c r="CL21" i="13"/>
  <c r="CL24" i="13" s="1"/>
  <c r="CK21" i="13"/>
  <c r="CK24" i="13" s="1"/>
  <c r="CJ21" i="13"/>
  <c r="CI21" i="13"/>
  <c r="CI24" i="13" s="1"/>
  <c r="CI35" i="13" s="1"/>
  <c r="CH21" i="13"/>
  <c r="CH24" i="13" s="1"/>
  <c r="CG21" i="13"/>
  <c r="CF21" i="13"/>
  <c r="CF24" i="13" s="1"/>
  <c r="CE21" i="13"/>
  <c r="CE24" i="13" s="1"/>
  <c r="CE35" i="13" s="1"/>
  <c r="CD21" i="13"/>
  <c r="CD24" i="13" s="1"/>
  <c r="CC21" i="13"/>
  <c r="CC24" i="13" s="1"/>
  <c r="CB21" i="13"/>
  <c r="CB24" i="13" s="1"/>
  <c r="CA21" i="13"/>
  <c r="BZ21" i="13"/>
  <c r="BZ24" i="13" s="1"/>
  <c r="BY21" i="13"/>
  <c r="BX21" i="13"/>
  <c r="BX24" i="13" s="1"/>
  <c r="BX35" i="13" s="1"/>
  <c r="BW21" i="13"/>
  <c r="BW24" i="13" s="1"/>
  <c r="BW35" i="13" s="1"/>
  <c r="BV21" i="13"/>
  <c r="BV24" i="13" s="1"/>
  <c r="BU21" i="13"/>
  <c r="BU24" i="13" s="1"/>
  <c r="BT21" i="13"/>
  <c r="BT24" i="13" s="1"/>
  <c r="BS21" i="13"/>
  <c r="BR21" i="13"/>
  <c r="BR24" i="13" s="1"/>
  <c r="BQ21" i="13"/>
  <c r="BP21" i="13"/>
  <c r="BP24" i="13" s="1"/>
  <c r="BP35" i="13" s="1"/>
  <c r="BO21" i="13"/>
  <c r="BO24" i="13" s="1"/>
  <c r="BO35" i="13" s="1"/>
  <c r="BN21" i="13"/>
  <c r="BN24" i="13" s="1"/>
  <c r="BM21" i="13"/>
  <c r="BM24" i="13" s="1"/>
  <c r="BL21" i="13"/>
  <c r="BL24" i="13" s="1"/>
  <c r="BK21" i="13"/>
  <c r="BJ21" i="13"/>
  <c r="BJ24" i="13" s="1"/>
  <c r="BI21" i="13"/>
  <c r="BH21" i="13"/>
  <c r="BH24" i="13" s="1"/>
  <c r="BH35" i="13" s="1"/>
  <c r="BG21" i="13"/>
  <c r="BG24" i="13" s="1"/>
  <c r="BG35" i="13" s="1"/>
  <c r="BF21" i="13"/>
  <c r="BF24" i="13" s="1"/>
  <c r="BE21" i="13"/>
  <c r="BE24" i="13" s="1"/>
  <c r="BD21" i="13"/>
  <c r="BD24" i="13" s="1"/>
  <c r="BC21" i="13"/>
  <c r="BB21" i="13"/>
  <c r="BB24" i="13" s="1"/>
  <c r="BA21" i="13"/>
  <c r="AZ21" i="13"/>
  <c r="AZ24" i="13" s="1"/>
  <c r="AZ35" i="13" s="1"/>
  <c r="AY21" i="13"/>
  <c r="AY24" i="13" s="1"/>
  <c r="AY35" i="13" s="1"/>
  <c r="AX21" i="13"/>
  <c r="AX24" i="13" s="1"/>
  <c r="AW21" i="13"/>
  <c r="AW24" i="13" s="1"/>
  <c r="AV21" i="13"/>
  <c r="AV24" i="13" s="1"/>
  <c r="AU21" i="13"/>
  <c r="AT21" i="13"/>
  <c r="AT24" i="13" s="1"/>
  <c r="AS21" i="13"/>
  <c r="AR21" i="13"/>
  <c r="AR24" i="13" s="1"/>
  <c r="AR35" i="13" s="1"/>
  <c r="AQ21" i="13"/>
  <c r="AQ24" i="13" s="1"/>
  <c r="AQ35" i="13" s="1"/>
  <c r="AP21" i="13"/>
  <c r="AP24" i="13" s="1"/>
  <c r="AO21" i="13"/>
  <c r="AO24" i="13" s="1"/>
  <c r="AO35" i="13" s="1"/>
  <c r="AN21" i="13"/>
  <c r="AN24" i="13" s="1"/>
  <c r="AM21" i="13"/>
  <c r="AL21" i="13"/>
  <c r="AL24" i="13" s="1"/>
  <c r="AL35" i="13" s="1"/>
  <c r="AK21" i="13"/>
  <c r="AJ21" i="13"/>
  <c r="AJ24" i="13" s="1"/>
  <c r="AI21" i="13"/>
  <c r="AI24" i="13" s="1"/>
  <c r="AI35" i="13" s="1"/>
  <c r="AH21" i="13"/>
  <c r="AH24" i="13" s="1"/>
  <c r="AG21" i="13"/>
  <c r="AG24" i="13" s="1"/>
  <c r="AF21" i="13"/>
  <c r="AF24" i="13" s="1"/>
  <c r="AE21" i="13"/>
  <c r="AD21" i="13"/>
  <c r="AD24" i="13" s="1"/>
  <c r="AD35" i="13" s="1"/>
  <c r="AC21" i="13"/>
  <c r="AB21" i="13"/>
  <c r="AB24" i="13" s="1"/>
  <c r="AB35" i="13" s="1"/>
  <c r="AA21" i="13"/>
  <c r="AA24" i="13" s="1"/>
  <c r="AA35" i="13" s="1"/>
  <c r="Z21" i="13"/>
  <c r="Z24" i="13" s="1"/>
  <c r="Y21" i="13"/>
  <c r="Y24" i="13" s="1"/>
  <c r="X21" i="13"/>
  <c r="X24" i="13" s="1"/>
  <c r="CX19" i="13"/>
  <c r="CW19" i="13"/>
  <c r="CV19" i="13"/>
  <c r="CU19" i="13"/>
  <c r="CT19" i="13"/>
  <c r="CS19" i="13"/>
  <c r="CR19" i="13"/>
  <c r="CQ19" i="13"/>
  <c r="CP19" i="13"/>
  <c r="CO19" i="13"/>
  <c r="CN19" i="13"/>
  <c r="CM19" i="13"/>
  <c r="CL19" i="13"/>
  <c r="CK19" i="13"/>
  <c r="CJ19" i="13"/>
  <c r="CI19" i="13"/>
  <c r="CH19" i="13"/>
  <c r="CG19" i="13"/>
  <c r="CF19" i="13"/>
  <c r="CE19" i="13"/>
  <c r="CD19" i="13"/>
  <c r="CC19" i="13"/>
  <c r="CB19" i="13"/>
  <c r="CA19" i="13"/>
  <c r="BZ19" i="13"/>
  <c r="BY19" i="13"/>
  <c r="BX19" i="13"/>
  <c r="BW19" i="13"/>
  <c r="BV19" i="13"/>
  <c r="BU19" i="13"/>
  <c r="BT19" i="13"/>
  <c r="BS19" i="13"/>
  <c r="BR19" i="13"/>
  <c r="BQ19" i="13"/>
  <c r="BP19" i="13"/>
  <c r="BO19" i="13"/>
  <c r="BN19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AS19" i="13"/>
  <c r="AR19" i="13"/>
  <c r="AQ19" i="13"/>
  <c r="AP19" i="13"/>
  <c r="AO19" i="13"/>
  <c r="AN19" i="13"/>
  <c r="AM19" i="13"/>
  <c r="AL19" i="13"/>
  <c r="AK19" i="13"/>
  <c r="AJ19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CS17" i="13"/>
  <c r="CK17" i="13"/>
  <c r="CC17" i="13"/>
  <c r="BU17" i="13"/>
  <c r="BM17" i="13"/>
  <c r="BE17" i="13"/>
  <c r="CX16" i="13" a="1"/>
  <c r="CX16" i="13" s="1"/>
  <c r="CW16" i="13" a="1"/>
  <c r="CW16" i="13"/>
  <c r="CV16" i="13" a="1"/>
  <c r="CV16" i="13"/>
  <c r="CU16" i="13" a="1"/>
  <c r="CU16" i="13" s="1"/>
  <c r="CT16" i="13" a="1"/>
  <c r="CT16" i="13" s="1"/>
  <c r="CS16" i="13" a="1"/>
  <c r="CS16" i="13"/>
  <c r="CR16" i="13" a="1"/>
  <c r="CR16" i="13"/>
  <c r="CQ16" i="13" a="1"/>
  <c r="CQ16" i="13" s="1"/>
  <c r="CP16" i="13" a="1"/>
  <c r="CP16" i="13" s="1"/>
  <c r="CO16" i="13" a="1"/>
  <c r="CO16" i="13"/>
  <c r="CN16" i="13" a="1"/>
  <c r="CN16" i="13"/>
  <c r="CM16" i="13" a="1"/>
  <c r="CM16" i="13" s="1"/>
  <c r="CL16" i="13" a="1"/>
  <c r="CL16" i="13" s="1"/>
  <c r="CK16" i="13" a="1"/>
  <c r="CK16" i="13"/>
  <c r="CJ16" i="13" a="1"/>
  <c r="CJ16" i="13"/>
  <c r="CI16" i="13" a="1"/>
  <c r="CI16" i="13" s="1"/>
  <c r="CH16" i="13" a="1"/>
  <c r="CH16" i="13" s="1"/>
  <c r="CG16" i="13" a="1"/>
  <c r="CG16" i="13"/>
  <c r="CF16" i="13" a="1"/>
  <c r="CF16" i="13"/>
  <c r="CE16" i="13" a="1"/>
  <c r="CE16" i="13" s="1"/>
  <c r="CD16" i="13" a="1"/>
  <c r="CD16" i="13" s="1"/>
  <c r="CC16" i="13" a="1"/>
  <c r="CC16" i="13"/>
  <c r="CB16" i="13" a="1"/>
  <c r="CB16" i="13"/>
  <c r="CA16" i="13" a="1"/>
  <c r="CA16" i="13" s="1"/>
  <c r="BZ16" i="13" a="1"/>
  <c r="BZ16" i="13" s="1"/>
  <c r="BY16" i="13" a="1"/>
  <c r="BY16" i="13"/>
  <c r="BX16" i="13" a="1"/>
  <c r="BX16" i="13"/>
  <c r="BW16" i="13" a="1"/>
  <c r="BW16" i="13" s="1"/>
  <c r="BV16" i="13" a="1"/>
  <c r="BV16" i="13" s="1"/>
  <c r="BU16" i="13" a="1"/>
  <c r="BU16" i="13" s="1"/>
  <c r="BT16" i="13" a="1"/>
  <c r="BT16" i="13"/>
  <c r="BS16" i="13" a="1"/>
  <c r="BS16" i="13" s="1"/>
  <c r="BR16" i="13" a="1"/>
  <c r="BR16" i="13" s="1"/>
  <c r="BQ16" i="13" a="1"/>
  <c r="BQ16" i="13" s="1"/>
  <c r="BP16" i="13" a="1"/>
  <c r="BP16" i="13"/>
  <c r="BO16" i="13" a="1"/>
  <c r="BO16" i="13" s="1"/>
  <c r="BN16" i="13" a="1"/>
  <c r="BN16" i="13" s="1"/>
  <c r="BM16" i="13" a="1"/>
  <c r="BM16" i="13" s="1"/>
  <c r="BL16" i="13" a="1"/>
  <c r="BL16" i="13"/>
  <c r="BK16" i="13" a="1"/>
  <c r="BK16" i="13" s="1"/>
  <c r="BJ16" i="13" a="1"/>
  <c r="BJ16" i="13" s="1"/>
  <c r="BI16" i="13" a="1"/>
  <c r="BI16" i="13" s="1"/>
  <c r="BH16" i="13" a="1"/>
  <c r="BH16" i="13" s="1"/>
  <c r="BG16" i="13" a="1"/>
  <c r="BG16" i="13" s="1"/>
  <c r="BF16" i="13" a="1"/>
  <c r="BF16" i="13" s="1"/>
  <c r="BE16" i="13" a="1"/>
  <c r="BE16" i="13" s="1"/>
  <c r="BD16" i="13" a="1"/>
  <c r="BD16" i="13" s="1"/>
  <c r="BC16" i="13" a="1"/>
  <c r="BC16" i="13" s="1"/>
  <c r="BB16" i="13" a="1"/>
  <c r="BB16" i="13" s="1"/>
  <c r="BA16" i="13" a="1"/>
  <c r="BA16" i="13" s="1"/>
  <c r="AZ16" i="13" a="1"/>
  <c r="AZ16" i="13" s="1"/>
  <c r="AY16" i="13" a="1"/>
  <c r="AY16" i="13" s="1"/>
  <c r="AX16" i="13" a="1"/>
  <c r="AX16" i="13" s="1"/>
  <c r="AW16" i="13" a="1"/>
  <c r="AW16" i="13" s="1"/>
  <c r="AW17" i="13" s="1"/>
  <c r="AV16" i="13" a="1"/>
  <c r="AV16" i="13" s="1"/>
  <c r="AU16" i="13" a="1"/>
  <c r="AU16" i="13" s="1"/>
  <c r="AT16" i="13" a="1"/>
  <c r="AT16" i="13" s="1"/>
  <c r="AS16" i="13" a="1"/>
  <c r="AS16" i="13" s="1"/>
  <c r="AR16" i="13" a="1"/>
  <c r="AR16" i="13" s="1"/>
  <c r="AQ16" i="13" a="1"/>
  <c r="AQ16" i="13" s="1"/>
  <c r="AP16" i="13" a="1"/>
  <c r="AP16" i="13" s="1"/>
  <c r="AO16" i="13" a="1"/>
  <c r="AO16" i="13" s="1"/>
  <c r="AO17" i="13" s="1"/>
  <c r="AN16" i="13" a="1"/>
  <c r="AN16" i="13" s="1"/>
  <c r="AM16" i="13" a="1"/>
  <c r="AM16" i="13" s="1"/>
  <c r="AL16" i="13" a="1"/>
  <c r="AL16" i="13" s="1"/>
  <c r="AK16" i="13" a="1"/>
  <c r="AK16" i="13" s="1"/>
  <c r="AJ16" i="13" a="1"/>
  <c r="AJ16" i="13" s="1"/>
  <c r="AI16" i="13" a="1"/>
  <c r="AI16" i="13" s="1"/>
  <c r="AH16" i="13" a="1"/>
  <c r="AH16" i="13" s="1"/>
  <c r="AG16" i="13" a="1"/>
  <c r="AG16" i="13" s="1"/>
  <c r="AG17" i="13" s="1"/>
  <c r="AF16" i="13" a="1"/>
  <c r="AF16" i="13" s="1"/>
  <c r="AE16" i="13" a="1"/>
  <c r="AE16" i="13" s="1"/>
  <c r="AD16" i="13" a="1"/>
  <c r="AD16" i="13" s="1"/>
  <c r="AC16" i="13" a="1"/>
  <c r="AC16" i="13" s="1"/>
  <c r="AB16" i="13" a="1"/>
  <c r="AB16" i="13" s="1"/>
  <c r="AA16" i="13" a="1"/>
  <c r="AA16" i="13" s="1"/>
  <c r="Z16" i="13" a="1"/>
  <c r="Z16" i="13" s="1"/>
  <c r="Y16" i="13" a="1"/>
  <c r="Y16" i="13" s="1"/>
  <c r="Y17" i="13" s="1"/>
  <c r="X16" i="13" a="1"/>
  <c r="X16" i="13" s="1"/>
  <c r="CX15" i="13"/>
  <c r="CX17" i="13" s="1"/>
  <c r="CW15" i="13"/>
  <c r="CW17" i="13" s="1"/>
  <c r="CV15" i="13"/>
  <c r="CV17" i="13" s="1"/>
  <c r="CU15" i="13"/>
  <c r="CU17" i="13" s="1"/>
  <c r="CT15" i="13"/>
  <c r="CT17" i="13" s="1"/>
  <c r="CS15" i="13"/>
  <c r="CR15" i="13"/>
  <c r="CR17" i="13" s="1"/>
  <c r="CQ15" i="13"/>
  <c r="CP15" i="13"/>
  <c r="CP17" i="13" s="1"/>
  <c r="CO15" i="13"/>
  <c r="CO17" i="13" s="1"/>
  <c r="CN15" i="13"/>
  <c r="CN17" i="13" s="1"/>
  <c r="CM15" i="13"/>
  <c r="CL15" i="13"/>
  <c r="CL17" i="13" s="1"/>
  <c r="CK15" i="13"/>
  <c r="CJ15" i="13"/>
  <c r="CJ17" i="13" s="1"/>
  <c r="CI15" i="13"/>
  <c r="CI17" i="13" s="1"/>
  <c r="CH15" i="13"/>
  <c r="CH17" i="13" s="1"/>
  <c r="CG15" i="13"/>
  <c r="CG17" i="13" s="1"/>
  <c r="CF15" i="13"/>
  <c r="CF17" i="13" s="1"/>
  <c r="CE15" i="13"/>
  <c r="CE17" i="13" s="1"/>
  <c r="CD15" i="13"/>
  <c r="CD17" i="13" s="1"/>
  <c r="CC15" i="13"/>
  <c r="CB15" i="13"/>
  <c r="CB17" i="13" s="1"/>
  <c r="CA15" i="13"/>
  <c r="BZ15" i="13"/>
  <c r="BZ17" i="13" s="1"/>
  <c r="BY15" i="13"/>
  <c r="BY17" i="13" s="1"/>
  <c r="BX15" i="13"/>
  <c r="BX17" i="13" s="1"/>
  <c r="BW15" i="13"/>
  <c r="BV15" i="13"/>
  <c r="BV17" i="13" s="1"/>
  <c r="BU15" i="13"/>
  <c r="BT15" i="13"/>
  <c r="BT17" i="13" s="1"/>
  <c r="BS15" i="13"/>
  <c r="BR15" i="13"/>
  <c r="BR17" i="13" s="1"/>
  <c r="BQ15" i="13"/>
  <c r="BQ17" i="13" s="1"/>
  <c r="BP15" i="13"/>
  <c r="BP17" i="13" s="1"/>
  <c r="BO15" i="13"/>
  <c r="BO17" i="13" s="1"/>
  <c r="BN15" i="13"/>
  <c r="BN17" i="13" s="1"/>
  <c r="BM15" i="13"/>
  <c r="BL15" i="13"/>
  <c r="BL17" i="13" s="1"/>
  <c r="BK15" i="13"/>
  <c r="BJ15" i="13"/>
  <c r="BJ17" i="13" s="1"/>
  <c r="BI15" i="13"/>
  <c r="BI17" i="13" s="1"/>
  <c r="BH15" i="13"/>
  <c r="BG15" i="13"/>
  <c r="BG17" i="13" s="1"/>
  <c r="BF15" i="13"/>
  <c r="BF17" i="13" s="1"/>
  <c r="BE15" i="13"/>
  <c r="BD15" i="13"/>
  <c r="BD17" i="13" s="1"/>
  <c r="BC15" i="13"/>
  <c r="BB15" i="13"/>
  <c r="BB17" i="13" s="1"/>
  <c r="BA15" i="13"/>
  <c r="BA17" i="13" s="1"/>
  <c r="AZ15" i="13"/>
  <c r="AY15" i="13"/>
  <c r="AY17" i="13" s="1"/>
  <c r="AX15" i="13"/>
  <c r="AX17" i="13" s="1"/>
  <c r="AW15" i="13"/>
  <c r="AV15" i="13"/>
  <c r="AV17" i="13" s="1"/>
  <c r="AU15" i="13"/>
  <c r="AT15" i="13"/>
  <c r="AT17" i="13" s="1"/>
  <c r="AS15" i="13"/>
  <c r="AS17" i="13" s="1"/>
  <c r="AR15" i="13"/>
  <c r="AQ15" i="13"/>
  <c r="AQ17" i="13" s="1"/>
  <c r="AP15" i="13"/>
  <c r="AP17" i="13" s="1"/>
  <c r="AO15" i="13"/>
  <c r="AN15" i="13"/>
  <c r="AN17" i="13" s="1"/>
  <c r="AM15" i="13"/>
  <c r="AL15" i="13"/>
  <c r="AL17" i="13" s="1"/>
  <c r="AK15" i="13"/>
  <c r="AK17" i="13" s="1"/>
  <c r="AJ15" i="13"/>
  <c r="AI15" i="13"/>
  <c r="AI17" i="13" s="1"/>
  <c r="AH15" i="13"/>
  <c r="AH17" i="13" s="1"/>
  <c r="AG15" i="13"/>
  <c r="AF15" i="13"/>
  <c r="AF17" i="13" s="1"/>
  <c r="AE15" i="13"/>
  <c r="AD15" i="13"/>
  <c r="AD17" i="13" s="1"/>
  <c r="AC15" i="13"/>
  <c r="AC17" i="13" s="1"/>
  <c r="AB15" i="13"/>
  <c r="AA15" i="13"/>
  <c r="AA17" i="13" s="1"/>
  <c r="Z15" i="13"/>
  <c r="Z17" i="13" s="1"/>
  <c r="Y15" i="13"/>
  <c r="X15" i="13"/>
  <c r="X17" i="13" s="1"/>
  <c r="CU14" i="13"/>
  <c r="CO14" i="13"/>
  <c r="BO14" i="13"/>
  <c r="BI14" i="13"/>
  <c r="AI14" i="13"/>
  <c r="AC14" i="13"/>
  <c r="CX13" i="13"/>
  <c r="CW13" i="13"/>
  <c r="CV13" i="13"/>
  <c r="CU13" i="13"/>
  <c r="CT13" i="13"/>
  <c r="CS13" i="13"/>
  <c r="CR13" i="13"/>
  <c r="CQ13" i="13"/>
  <c r="CP13" i="13"/>
  <c r="CO13" i="13"/>
  <c r="CN13" i="13"/>
  <c r="CM13" i="13"/>
  <c r="CL13" i="13"/>
  <c r="CK13" i="13"/>
  <c r="CJ13" i="13"/>
  <c r="CI13" i="13"/>
  <c r="CH13" i="13"/>
  <c r="CG13" i="13"/>
  <c r="CF13" i="13"/>
  <c r="CE13" i="13"/>
  <c r="CD13" i="13"/>
  <c r="CC13" i="13"/>
  <c r="CB13" i="13"/>
  <c r="CA13" i="13"/>
  <c r="BZ13" i="13"/>
  <c r="BY13" i="13"/>
  <c r="BX13" i="13"/>
  <c r="BW13" i="13"/>
  <c r="BV13" i="13"/>
  <c r="BU13" i="13"/>
  <c r="BT13" i="13"/>
  <c r="BS13" i="13"/>
  <c r="BR13" i="13"/>
  <c r="BQ13" i="13"/>
  <c r="BP13" i="13"/>
  <c r="BO13" i="13"/>
  <c r="BN13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AS13" i="13"/>
  <c r="AR13" i="13"/>
  <c r="AQ13" i="13"/>
  <c r="AP13" i="13"/>
  <c r="AO13" i="13"/>
  <c r="AN13" i="13"/>
  <c r="AM13" i="13"/>
  <c r="AL13" i="13"/>
  <c r="AK13" i="13"/>
  <c r="AJ13" i="13"/>
  <c r="AI13" i="13"/>
  <c r="AH13" i="13"/>
  <c r="AG13" i="13"/>
  <c r="AF13" i="13"/>
  <c r="AE13" i="13"/>
  <c r="AD13" i="13"/>
  <c r="AC13" i="13"/>
  <c r="AB13" i="13"/>
  <c r="AA13" i="13"/>
  <c r="Z13" i="13"/>
  <c r="Y13" i="13"/>
  <c r="X13" i="13"/>
  <c r="CX12" i="13"/>
  <c r="CX14" i="13" s="1"/>
  <c r="CW12" i="13"/>
  <c r="CW14" i="13" s="1"/>
  <c r="CV12" i="13"/>
  <c r="CU12" i="13"/>
  <c r="CT12" i="13"/>
  <c r="CS12" i="13"/>
  <c r="CS14" i="13" s="1"/>
  <c r="CR12" i="13"/>
  <c r="CR14" i="13" s="1"/>
  <c r="CQ12" i="13"/>
  <c r="CQ14" i="13" s="1"/>
  <c r="CP12" i="13"/>
  <c r="CP14" i="13" s="1"/>
  <c r="CO12" i="13"/>
  <c r="CN12" i="13"/>
  <c r="CM12" i="13"/>
  <c r="CM14" i="13" s="1"/>
  <c r="CL12" i="13"/>
  <c r="CK12" i="13"/>
  <c r="CK14" i="13" s="1"/>
  <c r="CJ12" i="13"/>
  <c r="CJ14" i="13" s="1"/>
  <c r="CI12" i="13"/>
  <c r="CI14" i="13" s="1"/>
  <c r="CH12" i="13"/>
  <c r="CH14" i="13" s="1"/>
  <c r="CG12" i="13"/>
  <c r="CG14" i="13" s="1"/>
  <c r="CF12" i="13"/>
  <c r="CE12" i="13"/>
  <c r="CE14" i="13" s="1"/>
  <c r="CD12" i="13"/>
  <c r="CC12" i="13"/>
  <c r="CC14" i="13" s="1"/>
  <c r="CB12" i="13"/>
  <c r="CB14" i="13" s="1"/>
  <c r="CA12" i="13"/>
  <c r="CA14" i="13" s="1"/>
  <c r="BZ12" i="13"/>
  <c r="BZ14" i="13" s="1"/>
  <c r="BY12" i="13"/>
  <c r="BY14" i="13" s="1"/>
  <c r="BX12" i="13"/>
  <c r="BW12" i="13"/>
  <c r="BW14" i="13" s="1"/>
  <c r="BV12" i="13"/>
  <c r="BU12" i="13"/>
  <c r="BU14" i="13" s="1"/>
  <c r="BT12" i="13"/>
  <c r="BT14" i="13" s="1"/>
  <c r="BS12" i="13"/>
  <c r="BS14" i="13" s="1"/>
  <c r="BR12" i="13"/>
  <c r="BR14" i="13" s="1"/>
  <c r="BQ12" i="13"/>
  <c r="BQ14" i="13" s="1"/>
  <c r="BP12" i="13"/>
  <c r="BO12" i="13"/>
  <c r="BN12" i="13"/>
  <c r="BM12" i="13"/>
  <c r="BM14" i="13" s="1"/>
  <c r="BL12" i="13"/>
  <c r="BL14" i="13" s="1"/>
  <c r="BK12" i="13"/>
  <c r="BK14" i="13" s="1"/>
  <c r="BJ12" i="13"/>
  <c r="BJ14" i="13" s="1"/>
  <c r="BI12" i="13"/>
  <c r="BH12" i="13"/>
  <c r="BG12" i="13"/>
  <c r="BG14" i="13" s="1"/>
  <c r="BF12" i="13"/>
  <c r="BE12" i="13"/>
  <c r="BE14" i="13" s="1"/>
  <c r="BD12" i="13"/>
  <c r="BD14" i="13" s="1"/>
  <c r="BC12" i="13"/>
  <c r="BC14" i="13" s="1"/>
  <c r="BB12" i="13"/>
  <c r="BB14" i="13" s="1"/>
  <c r="BA12" i="13"/>
  <c r="BA14" i="13" s="1"/>
  <c r="AZ12" i="13"/>
  <c r="AY12" i="13"/>
  <c r="AY14" i="13" s="1"/>
  <c r="AX12" i="13"/>
  <c r="AW12" i="13"/>
  <c r="AW14" i="13" s="1"/>
  <c r="AV12" i="13"/>
  <c r="AV14" i="13" s="1"/>
  <c r="AU12" i="13"/>
  <c r="AU14" i="13" s="1"/>
  <c r="AT12" i="13"/>
  <c r="AT14" i="13" s="1"/>
  <c r="AS12" i="13"/>
  <c r="AS14" i="13" s="1"/>
  <c r="AR12" i="13"/>
  <c r="AQ12" i="13"/>
  <c r="AQ14" i="13" s="1"/>
  <c r="AP12" i="13"/>
  <c r="AO12" i="13"/>
  <c r="AO14" i="13" s="1"/>
  <c r="AN12" i="13"/>
  <c r="AN14" i="13" s="1"/>
  <c r="AM12" i="13"/>
  <c r="AM14" i="13" s="1"/>
  <c r="AL12" i="13"/>
  <c r="AL14" i="13" s="1"/>
  <c r="AK12" i="13"/>
  <c r="AK14" i="13" s="1"/>
  <c r="AJ12" i="13"/>
  <c r="AI12" i="13"/>
  <c r="AH12" i="13"/>
  <c r="AG12" i="13"/>
  <c r="AG14" i="13" s="1"/>
  <c r="AF12" i="13"/>
  <c r="AF14" i="13" s="1"/>
  <c r="AE12" i="13"/>
  <c r="AE14" i="13" s="1"/>
  <c r="AD12" i="13"/>
  <c r="AD14" i="13" s="1"/>
  <c r="AC12" i="13"/>
  <c r="AB12" i="13"/>
  <c r="AA12" i="13"/>
  <c r="AA14" i="13" s="1"/>
  <c r="Z12" i="13"/>
  <c r="Y12" i="13"/>
  <c r="Y14" i="13" s="1"/>
  <c r="X12" i="13"/>
  <c r="X14" i="13" s="1"/>
  <c r="BF11" i="13"/>
  <c r="Z11" i="13"/>
  <c r="CX10" i="13" a="1"/>
  <c r="CX10" i="13" s="1"/>
  <c r="CW10" i="13" a="1"/>
  <c r="CW10" i="13"/>
  <c r="CV10" i="13" a="1"/>
  <c r="CV10" i="13"/>
  <c r="CU10" i="13" a="1"/>
  <c r="CU10" i="13" s="1"/>
  <c r="CT10" i="13" a="1"/>
  <c r="CT10" i="13" s="1"/>
  <c r="CS10" i="13" a="1"/>
  <c r="CS10" i="13"/>
  <c r="CR10" i="13" a="1"/>
  <c r="CR10" i="13"/>
  <c r="CQ10" i="13" a="1"/>
  <c r="CQ10" i="13" s="1"/>
  <c r="CP10" i="13" a="1"/>
  <c r="CP10" i="13" s="1"/>
  <c r="CO10" i="13" a="1"/>
  <c r="CO10" i="13"/>
  <c r="CN10" i="13" a="1"/>
  <c r="CN10" i="13"/>
  <c r="CM10" i="13" a="1"/>
  <c r="CM10" i="13" s="1"/>
  <c r="CL10" i="13" a="1"/>
  <c r="CL10" i="13" s="1"/>
  <c r="CK10" i="13" a="1"/>
  <c r="CK10" i="13"/>
  <c r="CJ10" i="13" a="1"/>
  <c r="CJ10" i="13"/>
  <c r="CI10" i="13" a="1"/>
  <c r="CI10" i="13" s="1"/>
  <c r="CH10" i="13" a="1"/>
  <c r="CH10" i="13" s="1"/>
  <c r="CG10" i="13" a="1"/>
  <c r="CG10" i="13"/>
  <c r="CF10" i="13" a="1"/>
  <c r="CF10" i="13"/>
  <c r="CE10" i="13" a="1"/>
  <c r="CE10" i="13" s="1"/>
  <c r="CD10" i="13" a="1"/>
  <c r="CD10" i="13" s="1"/>
  <c r="CC10" i="13" a="1"/>
  <c r="CC10" i="13"/>
  <c r="CB10" i="13" a="1"/>
  <c r="CB10" i="13"/>
  <c r="CA10" i="13" a="1"/>
  <c r="CA10" i="13" s="1"/>
  <c r="BZ10" i="13" a="1"/>
  <c r="BZ10" i="13" s="1"/>
  <c r="BY10" i="13" a="1"/>
  <c r="BY10" i="13"/>
  <c r="BX10" i="13" a="1"/>
  <c r="BX10" i="13"/>
  <c r="BW10" i="13" a="1"/>
  <c r="BW10" i="13" s="1"/>
  <c r="BV10" i="13" a="1"/>
  <c r="BV10" i="13" s="1"/>
  <c r="BU10" i="13" a="1"/>
  <c r="BU10" i="13"/>
  <c r="BT10" i="13" a="1"/>
  <c r="BT10" i="13"/>
  <c r="BS10" i="13" a="1"/>
  <c r="BS10" i="13" s="1"/>
  <c r="BR10" i="13" a="1"/>
  <c r="BR10" i="13" s="1"/>
  <c r="BQ10" i="13" a="1"/>
  <c r="BQ10" i="13"/>
  <c r="BP10" i="13" a="1"/>
  <c r="BP10" i="13"/>
  <c r="BO10" i="13" a="1"/>
  <c r="BO10" i="13" s="1"/>
  <c r="BN10" i="13" a="1"/>
  <c r="BN10" i="13" s="1"/>
  <c r="BM10" i="13" a="1"/>
  <c r="BM10" i="13"/>
  <c r="BL10" i="13" a="1"/>
  <c r="BL10" i="13"/>
  <c r="BK10" i="13" a="1"/>
  <c r="BK10" i="13" s="1"/>
  <c r="BJ10" i="13" a="1"/>
  <c r="BJ10" i="13" s="1"/>
  <c r="BI10" i="13" a="1"/>
  <c r="BI10" i="13"/>
  <c r="BH10" i="13" a="1"/>
  <c r="BH10" i="13"/>
  <c r="BG10" i="13" a="1"/>
  <c r="BG10" i="13" s="1"/>
  <c r="BF10" i="13" a="1"/>
  <c r="BF10" i="13" s="1"/>
  <c r="BE10" i="13" a="1"/>
  <c r="BE10" i="13"/>
  <c r="BD10" i="13" a="1"/>
  <c r="BD10" i="13"/>
  <c r="BC10" i="13" a="1"/>
  <c r="BC10" i="13" s="1"/>
  <c r="BB10" i="13" a="1"/>
  <c r="BB10" i="13" s="1"/>
  <c r="BA10" i="13" a="1"/>
  <c r="BA10" i="13"/>
  <c r="AZ10" i="13" a="1"/>
  <c r="AZ10" i="13"/>
  <c r="AY10" i="13" a="1"/>
  <c r="AY10" i="13" s="1"/>
  <c r="AX10" i="13" a="1"/>
  <c r="AX10" i="13" s="1"/>
  <c r="AW10" i="13" a="1"/>
  <c r="AW10" i="13"/>
  <c r="AV10" i="13" a="1"/>
  <c r="AV10" i="13"/>
  <c r="AU10" i="13" a="1"/>
  <c r="AU10" i="13" s="1"/>
  <c r="AT10" i="13" a="1"/>
  <c r="AT10" i="13" s="1"/>
  <c r="AS10" i="13" a="1"/>
  <c r="AS10" i="13"/>
  <c r="AR10" i="13" a="1"/>
  <c r="AR10" i="13"/>
  <c r="AQ10" i="13" a="1"/>
  <c r="AQ10" i="13" s="1"/>
  <c r="AP10" i="13" a="1"/>
  <c r="AP10" i="13" s="1"/>
  <c r="AO10" i="13" a="1"/>
  <c r="AO10" i="13"/>
  <c r="AN10" i="13" a="1"/>
  <c r="AN10" i="13"/>
  <c r="AM10" i="13" a="1"/>
  <c r="AM10" i="13" s="1"/>
  <c r="AL10" i="13" a="1"/>
  <c r="AL10" i="13" s="1"/>
  <c r="AK10" i="13" a="1"/>
  <c r="AK10" i="13"/>
  <c r="AJ10" i="13" a="1"/>
  <c r="AJ10" i="13"/>
  <c r="AI10" i="13" a="1"/>
  <c r="AI10" i="13" s="1"/>
  <c r="AH10" i="13" a="1"/>
  <c r="AH10" i="13" s="1"/>
  <c r="AG10" i="13" a="1"/>
  <c r="AG10" i="13"/>
  <c r="AF10" i="13" a="1"/>
  <c r="AF10" i="13"/>
  <c r="AE10" i="13" a="1"/>
  <c r="AE10" i="13" s="1"/>
  <c r="AD10" i="13" a="1"/>
  <c r="AD10" i="13" s="1"/>
  <c r="AC10" i="13" a="1"/>
  <c r="AC10" i="13"/>
  <c r="AB10" i="13" a="1"/>
  <c r="AB10" i="13"/>
  <c r="AA10" i="13" a="1"/>
  <c r="AA10" i="13" s="1"/>
  <c r="Z10" i="13" a="1"/>
  <c r="Z10" i="13" s="1"/>
  <c r="Y10" i="13" a="1"/>
  <c r="Y10" i="13"/>
  <c r="X10" i="13" a="1"/>
  <c r="X10" i="13"/>
  <c r="CX9" i="13" a="1"/>
  <c r="CX9" i="13" s="1"/>
  <c r="CW9" i="13" a="1"/>
  <c r="CW9" i="13" s="1"/>
  <c r="CV9" i="13" a="1"/>
  <c r="CV9" i="13"/>
  <c r="CU9" i="13" a="1"/>
  <c r="CU9" i="13"/>
  <c r="CT9" i="13" a="1"/>
  <c r="CT9" i="13" s="1"/>
  <c r="CS9" i="13" a="1"/>
  <c r="CS9" i="13" s="1"/>
  <c r="CR9" i="13" a="1"/>
  <c r="CR9" i="13"/>
  <c r="CQ9" i="13" a="1"/>
  <c r="CQ9" i="13"/>
  <c r="CP9" i="13" a="1"/>
  <c r="CP9" i="13" s="1"/>
  <c r="CO9" i="13" a="1"/>
  <c r="CO9" i="13" s="1"/>
  <c r="CN9" i="13" a="1"/>
  <c r="CN9" i="13" s="1"/>
  <c r="CM9" i="13" a="1"/>
  <c r="CM9" i="13" s="1"/>
  <c r="CL9" i="13" a="1"/>
  <c r="CL9" i="13" s="1"/>
  <c r="CK9" i="13" a="1"/>
  <c r="CK9" i="13" s="1"/>
  <c r="CJ9" i="13" a="1"/>
  <c r="CJ9" i="13" s="1"/>
  <c r="CI9" i="13" a="1"/>
  <c r="CI9" i="13"/>
  <c r="CH9" i="13" a="1"/>
  <c r="CH9" i="13" s="1"/>
  <c r="CG9" i="13" a="1"/>
  <c r="CG9" i="13" s="1"/>
  <c r="CF9" i="13" a="1"/>
  <c r="CF9" i="13" s="1"/>
  <c r="CE9" i="13" a="1"/>
  <c r="CE9" i="13"/>
  <c r="CD9" i="13" a="1"/>
  <c r="CD9" i="13" s="1"/>
  <c r="CC9" i="13" a="1"/>
  <c r="CC9" i="13" s="1"/>
  <c r="CB9" i="13" a="1"/>
  <c r="CB9" i="13" s="1"/>
  <c r="CA9" i="13" a="1"/>
  <c r="CA9" i="13"/>
  <c r="BZ9" i="13" a="1"/>
  <c r="BZ9" i="13" s="1"/>
  <c r="BY9" i="13" a="1"/>
  <c r="BY9" i="13" s="1"/>
  <c r="BX9" i="13" a="1"/>
  <c r="BX9" i="13" s="1"/>
  <c r="BW9" i="13" a="1"/>
  <c r="BW9" i="13"/>
  <c r="BV9" i="13" a="1"/>
  <c r="BV9" i="13" s="1"/>
  <c r="BU9" i="13" a="1"/>
  <c r="BU9" i="13" s="1"/>
  <c r="BT9" i="13" a="1"/>
  <c r="BT9" i="13" s="1"/>
  <c r="BS9" i="13" a="1"/>
  <c r="BS9" i="13"/>
  <c r="BR9" i="13" a="1"/>
  <c r="BR9" i="13" s="1"/>
  <c r="BQ9" i="13" a="1"/>
  <c r="BQ9" i="13" s="1"/>
  <c r="BP9" i="13" a="1"/>
  <c r="BP9" i="13" s="1"/>
  <c r="BO9" i="13" a="1"/>
  <c r="BO9" i="13" s="1"/>
  <c r="BN9" i="13" a="1"/>
  <c r="BN9" i="13" s="1"/>
  <c r="BM9" i="13" a="1"/>
  <c r="BM9" i="13" s="1"/>
  <c r="BL9" i="13" a="1"/>
  <c r="BL9" i="13" s="1"/>
  <c r="BK9" i="13" a="1"/>
  <c r="BK9" i="13" s="1"/>
  <c r="BJ9" i="13" a="1"/>
  <c r="BJ9" i="13" s="1"/>
  <c r="BI9" i="13" a="1"/>
  <c r="BI9" i="13" s="1"/>
  <c r="BH9" i="13" a="1"/>
  <c r="BH9" i="13" s="1"/>
  <c r="BG9" i="13" a="1"/>
  <c r="BG9" i="13" s="1"/>
  <c r="BF9" i="13" a="1"/>
  <c r="BF9" i="13" s="1"/>
  <c r="BE9" i="13" a="1"/>
  <c r="BE9" i="13" s="1"/>
  <c r="BD9" i="13" a="1"/>
  <c r="BD9" i="13" s="1"/>
  <c r="BC9" i="13" a="1"/>
  <c r="BC9" i="13"/>
  <c r="BB9" i="13" a="1"/>
  <c r="BB9" i="13" s="1"/>
  <c r="BA9" i="13" a="1"/>
  <c r="BA9" i="13" s="1"/>
  <c r="AZ9" i="13" a="1"/>
  <c r="AZ9" i="13" s="1"/>
  <c r="AY9" i="13" a="1"/>
  <c r="AY9" i="13"/>
  <c r="AX9" i="13" a="1"/>
  <c r="AX9" i="13" s="1"/>
  <c r="AW9" i="13" a="1"/>
  <c r="AW9" i="13" s="1"/>
  <c r="AV9" i="13" a="1"/>
  <c r="AV9" i="13" s="1"/>
  <c r="AU9" i="13" a="1"/>
  <c r="AU9" i="13"/>
  <c r="AT9" i="13" a="1"/>
  <c r="AT9" i="13" s="1"/>
  <c r="AS9" i="13" a="1"/>
  <c r="AS9" i="13" s="1"/>
  <c r="AR9" i="13" a="1"/>
  <c r="AR9" i="13" s="1"/>
  <c r="AQ9" i="13" a="1"/>
  <c r="AQ9" i="13"/>
  <c r="AP9" i="13" a="1"/>
  <c r="AP9" i="13" s="1"/>
  <c r="AO9" i="13" a="1"/>
  <c r="AO9" i="13" s="1"/>
  <c r="AN9" i="13" a="1"/>
  <c r="AN9" i="13" s="1"/>
  <c r="AM9" i="13" a="1"/>
  <c r="AM9" i="13"/>
  <c r="AL9" i="13" a="1"/>
  <c r="AL9" i="13" s="1"/>
  <c r="AK9" i="13" a="1"/>
  <c r="AK9" i="13" s="1"/>
  <c r="AJ9" i="13" a="1"/>
  <c r="AJ9" i="13" s="1"/>
  <c r="AI9" i="13" a="1"/>
  <c r="AI9" i="13" s="1"/>
  <c r="AH9" i="13" a="1"/>
  <c r="AH9" i="13" s="1"/>
  <c r="AG9" i="13" a="1"/>
  <c r="AG9" i="13" s="1"/>
  <c r="AF9" i="13" a="1"/>
  <c r="AF9" i="13" s="1"/>
  <c r="AE9" i="13" a="1"/>
  <c r="AE9" i="13" s="1"/>
  <c r="AD9" i="13" a="1"/>
  <c r="AD9" i="13" s="1"/>
  <c r="AC9" i="13" a="1"/>
  <c r="AC9" i="13" s="1"/>
  <c r="AB9" i="13" a="1"/>
  <c r="AB9" i="13" s="1"/>
  <c r="AA9" i="13" a="1"/>
  <c r="AA9" i="13" s="1"/>
  <c r="Z9" i="13" a="1"/>
  <c r="Z9" i="13" s="1"/>
  <c r="Y9" i="13" a="1"/>
  <c r="Y9" i="13" s="1"/>
  <c r="X9" i="13" a="1"/>
  <c r="X9" i="13" s="1"/>
  <c r="CX8" i="13" a="1"/>
  <c r="CX8" i="13"/>
  <c r="CX11" i="13" s="1"/>
  <c r="CW8" i="13" a="1"/>
  <c r="CW8" i="13" s="1"/>
  <c r="CW11" i="13" s="1"/>
  <c r="CV8" i="13" a="1"/>
  <c r="CV8" i="13" s="1"/>
  <c r="CV11" i="13" s="1"/>
  <c r="CU8" i="13" a="1"/>
  <c r="CU8" i="13" s="1"/>
  <c r="CT8" i="13" a="1"/>
  <c r="CT8" i="13"/>
  <c r="CS8" i="13" a="1"/>
  <c r="CS8" i="13" s="1"/>
  <c r="CR8" i="13" a="1"/>
  <c r="CR8" i="13" s="1"/>
  <c r="CR11" i="13" s="1"/>
  <c r="CQ8" i="13" a="1"/>
  <c r="CQ8" i="13" s="1"/>
  <c r="CQ11" i="13" s="1"/>
  <c r="CP8" i="13" a="1"/>
  <c r="CP8" i="13"/>
  <c r="CP11" i="13" s="1"/>
  <c r="CO8" i="13" a="1"/>
  <c r="CO8" i="13" s="1"/>
  <c r="CO11" i="13" s="1"/>
  <c r="CN8" i="13" a="1"/>
  <c r="CN8" i="13" s="1"/>
  <c r="CN11" i="13" s="1"/>
  <c r="CM8" i="13" a="1"/>
  <c r="CM8" i="13" s="1"/>
  <c r="CL8" i="13" a="1"/>
  <c r="CL8" i="13"/>
  <c r="CL11" i="13" s="1"/>
  <c r="CK8" i="13" a="1"/>
  <c r="CK8" i="13" s="1"/>
  <c r="CK11" i="13" s="1"/>
  <c r="CJ8" i="13" a="1"/>
  <c r="CJ8" i="13" s="1"/>
  <c r="CI8" i="13" a="1"/>
  <c r="CI8" i="13" s="1"/>
  <c r="CI11" i="13" s="1"/>
  <c r="CH8" i="13" a="1"/>
  <c r="CH8" i="13"/>
  <c r="CH11" i="13" s="1"/>
  <c r="CG8" i="13" a="1"/>
  <c r="CG8" i="13" s="1"/>
  <c r="CF8" i="13" a="1"/>
  <c r="CF8" i="13" s="1"/>
  <c r="CF11" i="13" s="1"/>
  <c r="CE8" i="13" a="1"/>
  <c r="CE8" i="13" s="1"/>
  <c r="CE11" i="13" s="1"/>
  <c r="CD8" i="13" a="1"/>
  <c r="CD8" i="13" s="1"/>
  <c r="CD11" i="13" s="1"/>
  <c r="CC8" i="13" a="1"/>
  <c r="CC8" i="13" s="1"/>
  <c r="CC11" i="13" s="1"/>
  <c r="CB8" i="13" a="1"/>
  <c r="CB8" i="13" s="1"/>
  <c r="CA8" i="13" a="1"/>
  <c r="CA8" i="13" s="1"/>
  <c r="BZ8" i="13" a="1"/>
  <c r="BZ8" i="13" s="1"/>
  <c r="BZ11" i="13" s="1"/>
  <c r="BY8" i="13" a="1"/>
  <c r="BY8" i="13" s="1"/>
  <c r="BY11" i="13" s="1"/>
  <c r="BX8" i="13" a="1"/>
  <c r="BX8" i="13" s="1"/>
  <c r="BX11" i="13" s="1"/>
  <c r="BW8" i="13" a="1"/>
  <c r="BW8" i="13" s="1"/>
  <c r="BW11" i="13" s="1"/>
  <c r="BV8" i="13" a="1"/>
  <c r="BV8" i="13" s="1"/>
  <c r="BV11" i="13" s="1"/>
  <c r="BU8" i="13" a="1"/>
  <c r="BU8" i="13" s="1"/>
  <c r="BU11" i="13" s="1"/>
  <c r="BT8" i="13" a="1"/>
  <c r="BT8" i="13" s="1"/>
  <c r="BS8" i="13" a="1"/>
  <c r="BS8" i="13" s="1"/>
  <c r="BS11" i="13" s="1"/>
  <c r="BR8" i="13" a="1"/>
  <c r="BR8" i="13"/>
  <c r="BR11" i="13" s="1"/>
  <c r="BQ8" i="13" a="1"/>
  <c r="BQ8" i="13" s="1"/>
  <c r="BQ11" i="13" s="1"/>
  <c r="BP8" i="13" a="1"/>
  <c r="BP8" i="13" s="1"/>
  <c r="BP11" i="13" s="1"/>
  <c r="BO8" i="13" a="1"/>
  <c r="BO8" i="13" s="1"/>
  <c r="BN8" i="13" a="1"/>
  <c r="BN8" i="13"/>
  <c r="BN11" i="13" s="1"/>
  <c r="BM8" i="13" a="1"/>
  <c r="BM8" i="13" s="1"/>
  <c r="BM11" i="13" s="1"/>
  <c r="BL8" i="13" a="1"/>
  <c r="BL8" i="13" s="1"/>
  <c r="BL11" i="13" s="1"/>
  <c r="BK8" i="13" a="1"/>
  <c r="BK8" i="13" s="1"/>
  <c r="BJ8" i="13" a="1"/>
  <c r="BJ8" i="13"/>
  <c r="BJ11" i="13" s="1"/>
  <c r="BI8" i="13" a="1"/>
  <c r="BI8" i="13" s="1"/>
  <c r="BH8" i="13" a="1"/>
  <c r="BH8" i="13" s="1"/>
  <c r="BH11" i="13" s="1"/>
  <c r="BG8" i="13" a="1"/>
  <c r="BG8" i="13" s="1"/>
  <c r="BF8" i="13" a="1"/>
  <c r="BF8" i="13"/>
  <c r="BE8" i="13" a="1"/>
  <c r="BE8" i="13" s="1"/>
  <c r="BE11" i="13" s="1"/>
  <c r="BD8" i="13" a="1"/>
  <c r="BD8" i="13" s="1"/>
  <c r="BC8" i="13" a="1"/>
  <c r="BC8" i="13" s="1"/>
  <c r="BC11" i="13" s="1"/>
  <c r="BB8" i="13" a="1"/>
  <c r="BB8" i="13"/>
  <c r="BB11" i="13" s="1"/>
  <c r="BA8" i="13" a="1"/>
  <c r="BA8" i="13" s="1"/>
  <c r="AZ8" i="13" a="1"/>
  <c r="AZ8" i="13" s="1"/>
  <c r="AY8" i="13" a="1"/>
  <c r="AY8" i="13" s="1"/>
  <c r="AY11" i="13" s="1"/>
  <c r="AX8" i="13" a="1"/>
  <c r="AX8" i="13" s="1"/>
  <c r="AX11" i="13" s="1"/>
  <c r="AW8" i="13" a="1"/>
  <c r="AW8" i="13" s="1"/>
  <c r="AW11" i="13" s="1"/>
  <c r="AV8" i="13" a="1"/>
  <c r="AV8" i="13"/>
  <c r="AU8" i="13" a="1"/>
  <c r="AU8" i="13" s="1"/>
  <c r="AU11" i="13" s="1"/>
  <c r="AT8" i="13" a="1"/>
  <c r="AT8" i="13"/>
  <c r="AT11" i="13" s="1"/>
  <c r="AS8" i="13" a="1"/>
  <c r="AS8" i="13"/>
  <c r="AS11" i="13" s="1"/>
  <c r="AR8" i="13" a="1"/>
  <c r="AR8" i="13"/>
  <c r="AR11" i="13" s="1"/>
  <c r="AQ8" i="13" a="1"/>
  <c r="AQ8" i="13" s="1"/>
  <c r="AQ11" i="13" s="1"/>
  <c r="AP8" i="13" a="1"/>
  <c r="AP8" i="13"/>
  <c r="AP11" i="13" s="1"/>
  <c r="AO8" i="13" a="1"/>
  <c r="AO8" i="13"/>
  <c r="AO11" i="13" s="1"/>
  <c r="AN8" i="13" a="1"/>
  <c r="AN8" i="13"/>
  <c r="AM8" i="13" a="1"/>
  <c r="AM8" i="13" s="1"/>
  <c r="AM11" i="13" s="1"/>
  <c r="AL8" i="13" a="1"/>
  <c r="AL8" i="13"/>
  <c r="AL11" i="13" s="1"/>
  <c r="AK8" i="13" a="1"/>
  <c r="AK8" i="13"/>
  <c r="AK11" i="13" s="1"/>
  <c r="AJ8" i="13" a="1"/>
  <c r="AJ8" i="13"/>
  <c r="AJ11" i="13" s="1"/>
  <c r="AI8" i="13" a="1"/>
  <c r="AI8" i="13" s="1"/>
  <c r="AI11" i="13" s="1"/>
  <c r="AH8" i="13" a="1"/>
  <c r="AH8" i="13"/>
  <c r="AH11" i="13" s="1"/>
  <c r="AG8" i="13" a="1"/>
  <c r="AG8" i="13"/>
  <c r="AG11" i="13" s="1"/>
  <c r="AF8" i="13" a="1"/>
  <c r="AF8" i="13"/>
  <c r="AF11" i="13" s="1"/>
  <c r="AE8" i="13" a="1"/>
  <c r="AE8" i="13" s="1"/>
  <c r="AE11" i="13" s="1"/>
  <c r="AD8" i="13" a="1"/>
  <c r="AD8" i="13"/>
  <c r="AD11" i="13" s="1"/>
  <c r="AC8" i="13" a="1"/>
  <c r="AC8" i="13"/>
  <c r="AC11" i="13" s="1"/>
  <c r="AB8" i="13" a="1"/>
  <c r="AB8" i="13"/>
  <c r="AB11" i="13" s="1"/>
  <c r="AA8" i="13" a="1"/>
  <c r="AA8" i="13" s="1"/>
  <c r="AA11" i="13" s="1"/>
  <c r="Z8" i="13" a="1"/>
  <c r="Z8" i="13"/>
  <c r="Y8" i="13" a="1"/>
  <c r="Y8" i="13"/>
  <c r="Y11" i="13" s="1"/>
  <c r="X8" i="13" a="1"/>
  <c r="X8" i="13"/>
  <c r="CS7" i="13"/>
  <c r="CK7" i="13"/>
  <c r="CK18" i="13" s="1"/>
  <c r="CC7" i="13"/>
  <c r="CC18" i="13" s="1"/>
  <c r="BU7" i="13"/>
  <c r="BU18" i="13" s="1"/>
  <c r="BM7" i="13"/>
  <c r="BE7" i="13"/>
  <c r="AW7" i="13"/>
  <c r="AQ7" i="13"/>
  <c r="AO7" i="13"/>
  <c r="AI7" i="13"/>
  <c r="AG7" i="13"/>
  <c r="AA7" i="13"/>
  <c r="Y7" i="13"/>
  <c r="CX6" i="13"/>
  <c r="CW6" i="13"/>
  <c r="CV6" i="13"/>
  <c r="CU6" i="13"/>
  <c r="CT6" i="13"/>
  <c r="CS6" i="13"/>
  <c r="CR6" i="13"/>
  <c r="CQ6" i="13"/>
  <c r="CP6" i="13"/>
  <c r="CO6" i="13"/>
  <c r="CN6" i="13"/>
  <c r="CM6" i="13"/>
  <c r="CL6" i="13"/>
  <c r="CK6" i="13"/>
  <c r="CJ6" i="13"/>
  <c r="CI6" i="13"/>
  <c r="CH6" i="13"/>
  <c r="CG6" i="13"/>
  <c r="CF6" i="13"/>
  <c r="CE6" i="13"/>
  <c r="CD6" i="13"/>
  <c r="CC6" i="13"/>
  <c r="CB6" i="13"/>
  <c r="CA6" i="13"/>
  <c r="BZ6" i="13"/>
  <c r="BY6" i="13"/>
  <c r="BX6" i="13"/>
  <c r="BW6" i="13"/>
  <c r="BV6" i="13"/>
  <c r="BU6" i="13"/>
  <c r="BT6" i="13"/>
  <c r="BS6" i="13"/>
  <c r="BR6" i="13"/>
  <c r="BQ6" i="13"/>
  <c r="BP6" i="13"/>
  <c r="BO6" i="13"/>
  <c r="BN6" i="13"/>
  <c r="BM6" i="13"/>
  <c r="BL6" i="13"/>
  <c r="BK6" i="13"/>
  <c r="BJ6" i="13"/>
  <c r="BI6" i="13"/>
  <c r="BH6" i="13"/>
  <c r="BG6" i="13"/>
  <c r="BF6" i="13"/>
  <c r="BE6" i="13"/>
  <c r="BD6" i="13"/>
  <c r="BC6" i="13"/>
  <c r="BB6" i="13"/>
  <c r="BA6" i="13"/>
  <c r="AZ6" i="13"/>
  <c r="AY6" i="13"/>
  <c r="AX6" i="13"/>
  <c r="AW6" i="13"/>
  <c r="AV6" i="13"/>
  <c r="AU6" i="13"/>
  <c r="AT6" i="13"/>
  <c r="AS6" i="13"/>
  <c r="AR6" i="13"/>
  <c r="AQ6" i="13"/>
  <c r="AP6" i="13"/>
  <c r="AO6" i="13"/>
  <c r="AN6" i="13"/>
  <c r="AM6" i="13"/>
  <c r="AL6" i="13"/>
  <c r="AK6" i="13"/>
  <c r="AJ6" i="13"/>
  <c r="AI6" i="13"/>
  <c r="AH6" i="13"/>
  <c r="AG6" i="13"/>
  <c r="AF6" i="13"/>
  <c r="AE6" i="13"/>
  <c r="AD6" i="13"/>
  <c r="AC6" i="13"/>
  <c r="AB6" i="13"/>
  <c r="AA6" i="13"/>
  <c r="Z6" i="13"/>
  <c r="Y6" i="13"/>
  <c r="X6" i="13"/>
  <c r="CX5" i="13"/>
  <c r="CW5" i="13"/>
  <c r="CV5" i="13"/>
  <c r="CU5" i="13"/>
  <c r="CT5" i="13"/>
  <c r="CS5" i="13"/>
  <c r="CR5" i="13"/>
  <c r="CQ5" i="13"/>
  <c r="CP5" i="13"/>
  <c r="CO5" i="13"/>
  <c r="CN5" i="13"/>
  <c r="CM5" i="13"/>
  <c r="CL5" i="13"/>
  <c r="CK5" i="13"/>
  <c r="CJ5" i="13"/>
  <c r="CI5" i="13"/>
  <c r="CH5" i="13"/>
  <c r="CG5" i="13"/>
  <c r="CF5" i="13"/>
  <c r="CE5" i="13"/>
  <c r="CD5" i="13"/>
  <c r="CC5" i="13"/>
  <c r="CB5" i="13"/>
  <c r="CA5" i="13"/>
  <c r="BZ5" i="13"/>
  <c r="BY5" i="13"/>
  <c r="BX5" i="13"/>
  <c r="BW5" i="13"/>
  <c r="BV5" i="13"/>
  <c r="BU5" i="13"/>
  <c r="BT5" i="13"/>
  <c r="BS5" i="13"/>
  <c r="BR5" i="13"/>
  <c r="BQ5" i="13"/>
  <c r="BP5" i="13"/>
  <c r="BO5" i="13"/>
  <c r="BN5" i="13"/>
  <c r="BM5" i="13"/>
  <c r="BL5" i="13"/>
  <c r="BK5" i="13"/>
  <c r="BJ5" i="13"/>
  <c r="BI5" i="13"/>
  <c r="BH5" i="13"/>
  <c r="BG5" i="13"/>
  <c r="BF5" i="13"/>
  <c r="BE5" i="13"/>
  <c r="BD5" i="13"/>
  <c r="BC5" i="13"/>
  <c r="BB5" i="13"/>
  <c r="BA5" i="13"/>
  <c r="AZ5" i="13"/>
  <c r="AY5" i="13"/>
  <c r="AX5" i="13"/>
  <c r="AW5" i="13"/>
  <c r="AV5" i="13"/>
  <c r="AU5" i="13"/>
  <c r="AT5" i="13"/>
  <c r="AS5" i="13"/>
  <c r="AR5" i="13"/>
  <c r="AQ5" i="13"/>
  <c r="AP5" i="13"/>
  <c r="AO5" i="13"/>
  <c r="AN5" i="13"/>
  <c r="AM5" i="13"/>
  <c r="AL5" i="13"/>
  <c r="AK5" i="13"/>
  <c r="AJ5" i="13"/>
  <c r="AI5" i="13"/>
  <c r="AH5" i="13"/>
  <c r="AG5" i="13"/>
  <c r="AF5" i="13"/>
  <c r="AE5" i="13"/>
  <c r="AD5" i="13"/>
  <c r="AC5" i="13"/>
  <c r="AB5" i="13"/>
  <c r="AA5" i="13"/>
  <c r="Z5" i="13"/>
  <c r="Y5" i="13"/>
  <c r="X5" i="13"/>
  <c r="CX4" i="13"/>
  <c r="CX7" i="13" s="1"/>
  <c r="CX18" i="13" s="1"/>
  <c r="CW4" i="13"/>
  <c r="CW7" i="13" s="1"/>
  <c r="CW18" i="13" s="1"/>
  <c r="CV4" i="13"/>
  <c r="CV7" i="13" s="1"/>
  <c r="CU4" i="13"/>
  <c r="CU7" i="13" s="1"/>
  <c r="CT4" i="13"/>
  <c r="CT7" i="13" s="1"/>
  <c r="CS4" i="13"/>
  <c r="CR4" i="13"/>
  <c r="CR7" i="13" s="1"/>
  <c r="CR18" i="13" s="1"/>
  <c r="CQ4" i="13"/>
  <c r="CQ7" i="13" s="1"/>
  <c r="CP4" i="13"/>
  <c r="CP7" i="13" s="1"/>
  <c r="CO4" i="13"/>
  <c r="CO7" i="13" s="1"/>
  <c r="CO18" i="13" s="1"/>
  <c r="CN4" i="13"/>
  <c r="CN7" i="13" s="1"/>
  <c r="CM4" i="13"/>
  <c r="CM7" i="13" s="1"/>
  <c r="CL4" i="13"/>
  <c r="CL7" i="13" s="1"/>
  <c r="CK4" i="13"/>
  <c r="CJ4" i="13"/>
  <c r="CJ7" i="13" s="1"/>
  <c r="CI4" i="13"/>
  <c r="CI7" i="13" s="1"/>
  <c r="CI18" i="13" s="1"/>
  <c r="CH4" i="13"/>
  <c r="CH7" i="13" s="1"/>
  <c r="CH18" i="13" s="1"/>
  <c r="CG4" i="13"/>
  <c r="CG7" i="13" s="1"/>
  <c r="CF4" i="13"/>
  <c r="CF7" i="13" s="1"/>
  <c r="CE4" i="13"/>
  <c r="CE7" i="13" s="1"/>
  <c r="CE18" i="13" s="1"/>
  <c r="CD4" i="13"/>
  <c r="CD7" i="13" s="1"/>
  <c r="CC4" i="13"/>
  <c r="CB4" i="13"/>
  <c r="CB7" i="13" s="1"/>
  <c r="CA4" i="13"/>
  <c r="CA7" i="13" s="1"/>
  <c r="BZ4" i="13"/>
  <c r="BZ7" i="13" s="1"/>
  <c r="BZ18" i="13" s="1"/>
  <c r="BY4" i="13"/>
  <c r="BY7" i="13" s="1"/>
  <c r="BY18" i="13" s="1"/>
  <c r="BX4" i="13"/>
  <c r="BX7" i="13" s="1"/>
  <c r="BW4" i="13"/>
  <c r="BW7" i="13" s="1"/>
  <c r="BV4" i="13"/>
  <c r="BV7" i="13" s="1"/>
  <c r="BU4" i="13"/>
  <c r="BT4" i="13"/>
  <c r="BT7" i="13" s="1"/>
  <c r="BS4" i="13"/>
  <c r="BS7" i="13" s="1"/>
  <c r="BR4" i="13"/>
  <c r="BR7" i="13" s="1"/>
  <c r="BR18" i="13" s="1"/>
  <c r="BQ4" i="13"/>
  <c r="BQ7" i="13" s="1"/>
  <c r="BQ18" i="13" s="1"/>
  <c r="BP4" i="13"/>
  <c r="BP7" i="13" s="1"/>
  <c r="BO4" i="13"/>
  <c r="BO7" i="13" s="1"/>
  <c r="BN4" i="13"/>
  <c r="BN7" i="13" s="1"/>
  <c r="BM4" i="13"/>
  <c r="BL4" i="13"/>
  <c r="BL7" i="13" s="1"/>
  <c r="BL18" i="13" s="1"/>
  <c r="BK4" i="13"/>
  <c r="BK7" i="13" s="1"/>
  <c r="BJ4" i="13"/>
  <c r="BJ7" i="13" s="1"/>
  <c r="BJ18" i="13" s="1"/>
  <c r="BI4" i="13"/>
  <c r="BI7" i="13" s="1"/>
  <c r="BH4" i="13"/>
  <c r="BH7" i="13" s="1"/>
  <c r="BG4" i="13"/>
  <c r="BG7" i="13" s="1"/>
  <c r="BF4" i="13"/>
  <c r="BF7" i="13" s="1"/>
  <c r="BE4" i="13"/>
  <c r="BD4" i="13"/>
  <c r="BD7" i="13" s="1"/>
  <c r="BC4" i="13"/>
  <c r="BC7" i="13" s="1"/>
  <c r="BB4" i="13"/>
  <c r="BB7" i="13" s="1"/>
  <c r="BB18" i="13" s="1"/>
  <c r="BA4" i="13"/>
  <c r="BA7" i="13" s="1"/>
  <c r="AZ4" i="13"/>
  <c r="AZ7" i="13" s="1"/>
  <c r="AY4" i="13"/>
  <c r="AY7" i="13" s="1"/>
  <c r="AY18" i="13" s="1"/>
  <c r="AX4" i="13"/>
  <c r="AX7" i="13" s="1"/>
  <c r="AW4" i="13"/>
  <c r="AV4" i="13"/>
  <c r="AV7" i="13" s="1"/>
  <c r="AU4" i="13"/>
  <c r="AU7" i="13" s="1"/>
  <c r="AT4" i="13"/>
  <c r="AT7" i="13" s="1"/>
  <c r="AT18" i="13" s="1"/>
  <c r="AS4" i="13"/>
  <c r="AS7" i="13" s="1"/>
  <c r="AS18" i="13" s="1"/>
  <c r="AR4" i="13"/>
  <c r="AR7" i="13" s="1"/>
  <c r="AQ4" i="13"/>
  <c r="AP4" i="13"/>
  <c r="AP7" i="13" s="1"/>
  <c r="AO4" i="13"/>
  <c r="AN4" i="13"/>
  <c r="AN7" i="13" s="1"/>
  <c r="AM4" i="13"/>
  <c r="AM7" i="13" s="1"/>
  <c r="AL4" i="13"/>
  <c r="AL7" i="13" s="1"/>
  <c r="AL18" i="13" s="1"/>
  <c r="AK4" i="13"/>
  <c r="AK7" i="13" s="1"/>
  <c r="AK18" i="13" s="1"/>
  <c r="AJ4" i="13"/>
  <c r="AJ7" i="13" s="1"/>
  <c r="AI4" i="13"/>
  <c r="AH4" i="13"/>
  <c r="AH7" i="13" s="1"/>
  <c r="AG4" i="13"/>
  <c r="AF4" i="13"/>
  <c r="AF7" i="13" s="1"/>
  <c r="AF18" i="13" s="1"/>
  <c r="AE4" i="13"/>
  <c r="AE7" i="13" s="1"/>
  <c r="AD4" i="13"/>
  <c r="AD7" i="13" s="1"/>
  <c r="AD18" i="13" s="1"/>
  <c r="AC4" i="13"/>
  <c r="AC7" i="13" s="1"/>
  <c r="AC18" i="13" s="1"/>
  <c r="AB4" i="13"/>
  <c r="AB7" i="13" s="1"/>
  <c r="AA4" i="13"/>
  <c r="Z4" i="13"/>
  <c r="Z7" i="13" s="1"/>
  <c r="Y4" i="13"/>
  <c r="X4" i="13"/>
  <c r="X7" i="13" s="1"/>
  <c r="AP18" i="13" l="1"/>
  <c r="BX18" i="13"/>
  <c r="BA18" i="13"/>
  <c r="CG18" i="13"/>
  <c r="CP18" i="13"/>
  <c r="BS18" i="13"/>
  <c r="AN18" i="13"/>
  <c r="CJ18" i="13"/>
  <c r="AE18" i="13"/>
  <c r="CB18" i="13"/>
  <c r="BD11" i="13"/>
  <c r="BD18" i="13" s="1"/>
  <c r="CJ11" i="13"/>
  <c r="Y18" i="13"/>
  <c r="AQ18" i="13"/>
  <c r="BK11" i="13"/>
  <c r="BK18" i="13" s="1"/>
  <c r="BM18" i="13"/>
  <c r="AG18" i="13"/>
  <c r="AI18" i="13"/>
  <c r="AZ11" i="13"/>
  <c r="AZ18" i="13" s="1"/>
  <c r="CS11" i="13"/>
  <c r="AW18" i="13"/>
  <c r="BA11" i="13"/>
  <c r="BG11" i="13"/>
  <c r="BG18" i="13" s="1"/>
  <c r="BT11" i="13"/>
  <c r="BT18" i="13" s="1"/>
  <c r="CG11" i="13"/>
  <c r="CM11" i="13"/>
  <c r="CM18" i="13" s="1"/>
  <c r="CT11" i="13"/>
  <c r="CT18" i="13" s="1"/>
  <c r="BE18" i="13"/>
  <c r="X11" i="13"/>
  <c r="X18" i="13" s="1"/>
  <c r="AN11" i="13"/>
  <c r="AV11" i="13"/>
  <c r="AV18" i="13" s="1"/>
  <c r="CA11" i="13"/>
  <c r="CA18" i="13" s="1"/>
  <c r="AO18" i="13"/>
  <c r="CS18" i="13"/>
  <c r="AA18" i="13"/>
  <c r="BI11" i="13"/>
  <c r="BI18" i="13" s="1"/>
  <c r="BO11" i="13"/>
  <c r="BO18" i="13" s="1"/>
  <c r="CB11" i="13"/>
  <c r="CU11" i="13"/>
  <c r="CU18" i="13" s="1"/>
  <c r="AB17" i="13"/>
  <c r="AJ17" i="13"/>
  <c r="AR17" i="13"/>
  <c r="AZ17" i="13"/>
  <c r="BH17" i="13"/>
  <c r="Z35" i="13"/>
  <c r="CL35" i="13"/>
  <c r="CF28" i="13"/>
  <c r="AJ35" i="13"/>
  <c r="CF35" i="13"/>
  <c r="Z14" i="13"/>
  <c r="Z18" i="13" s="1"/>
  <c r="AH14" i="13"/>
  <c r="AH18" i="13" s="1"/>
  <c r="AP14" i="13"/>
  <c r="AX14" i="13"/>
  <c r="AX18" i="13" s="1"/>
  <c r="BF14" i="13"/>
  <c r="BF18" i="13" s="1"/>
  <c r="BN14" i="13"/>
  <c r="BN18" i="13" s="1"/>
  <c r="BV14" i="13"/>
  <c r="BV18" i="13" s="1"/>
  <c r="CD14" i="13"/>
  <c r="CD18" i="13" s="1"/>
  <c r="CL14" i="13"/>
  <c r="CL18" i="13" s="1"/>
  <c r="CT14" i="13"/>
  <c r="AE17" i="13"/>
  <c r="AM17" i="13"/>
  <c r="AM18" i="13" s="1"/>
  <c r="AU17" i="13"/>
  <c r="AU18" i="13" s="1"/>
  <c r="BC17" i="13"/>
  <c r="BC18" i="13" s="1"/>
  <c r="BK17" i="13"/>
  <c r="BS17" i="13"/>
  <c r="CA17" i="13"/>
  <c r="CQ17" i="13"/>
  <c r="CQ18" i="13" s="1"/>
  <c r="AC24" i="13"/>
  <c r="AC35" i="13" s="1"/>
  <c r="AK24" i="13"/>
  <c r="AS24" i="13"/>
  <c r="BA24" i="13"/>
  <c r="BA35" i="13" s="1"/>
  <c r="BI24" i="13"/>
  <c r="BI35" i="13" s="1"/>
  <c r="BQ24" i="13"/>
  <c r="BY24" i="13"/>
  <c r="BU28" i="13"/>
  <c r="BU35" i="13" s="1"/>
  <c r="AM35" i="13"/>
  <c r="AB14" i="13"/>
  <c r="AB18" i="13" s="1"/>
  <c r="AJ14" i="13"/>
  <c r="AJ18" i="13" s="1"/>
  <c r="AR14" i="13"/>
  <c r="AR18" i="13" s="1"/>
  <c r="AZ14" i="13"/>
  <c r="BH14" i="13"/>
  <c r="BH18" i="13" s="1"/>
  <c r="BP14" i="13"/>
  <c r="BP18" i="13" s="1"/>
  <c r="BX14" i="13"/>
  <c r="CF14" i="13"/>
  <c r="CF18" i="13" s="1"/>
  <c r="CN14" i="13"/>
  <c r="CN18" i="13" s="1"/>
  <c r="CV14" i="13"/>
  <c r="CV18" i="13" s="1"/>
  <c r="AF35" i="13"/>
  <c r="BL35" i="13"/>
  <c r="BW17" i="13"/>
  <c r="BW18" i="13" s="1"/>
  <c r="CM17" i="13"/>
  <c r="AW35" i="13"/>
  <c r="CC35" i="13"/>
  <c r="CG24" i="13"/>
  <c r="CG35" i="13" s="1"/>
  <c r="CO24" i="13"/>
  <c r="CO35" i="13" s="1"/>
  <c r="CW24" i="13"/>
  <c r="CW35" i="13" s="1"/>
  <c r="AJ28" i="13"/>
  <c r="Z34" i="13"/>
  <c r="AH34" i="13"/>
  <c r="AH35" i="13" s="1"/>
  <c r="AP34" i="13"/>
  <c r="AP35" i="13" s="1"/>
  <c r="AX34" i="13"/>
  <c r="AX35" i="13" s="1"/>
  <c r="BF34" i="13"/>
  <c r="BN34" i="13"/>
  <c r="BN35" i="13" s="1"/>
  <c r="BV34" i="13"/>
  <c r="BV35" i="13" s="1"/>
  <c r="CD34" i="13"/>
  <c r="CD35" i="13" s="1"/>
  <c r="CL34" i="13"/>
  <c r="CT34" i="13"/>
  <c r="CT35" i="13" s="1"/>
  <c r="AW28" i="13"/>
  <c r="CC28" i="13"/>
  <c r="AK28" i="13"/>
  <c r="BQ28" i="13"/>
  <c r="Y28" i="13"/>
  <c r="Y35" i="13" s="1"/>
  <c r="BE28" i="13"/>
  <c r="BE35" i="13" s="1"/>
  <c r="CK28" i="13"/>
  <c r="CK35" i="13" s="1"/>
  <c r="Z28" i="13"/>
  <c r="AM28" i="13"/>
  <c r="AS28" i="13"/>
  <c r="BF28" i="13"/>
  <c r="BF35" i="13" s="1"/>
  <c r="BS28" i="13"/>
  <c r="BS35" i="13" s="1"/>
  <c r="BY28" i="13"/>
  <c r="CL28" i="13"/>
  <c r="AT34" i="13"/>
  <c r="AT35" i="13" s="1"/>
  <c r="BB34" i="13"/>
  <c r="BB35" i="13" s="1"/>
  <c r="BJ34" i="13"/>
  <c r="BJ35" i="13" s="1"/>
  <c r="BR34" i="13"/>
  <c r="BR35" i="13" s="1"/>
  <c r="BZ34" i="13"/>
  <c r="BZ35" i="13" s="1"/>
  <c r="CH34" i="13"/>
  <c r="CH35" i="13" s="1"/>
  <c r="CP34" i="13"/>
  <c r="CP35" i="13" s="1"/>
  <c r="CX34" i="13"/>
  <c r="CX35" i="13" s="1"/>
  <c r="AG28" i="13"/>
  <c r="AG35" i="13" s="1"/>
  <c r="BM28" i="13"/>
  <c r="BM35" i="13" s="1"/>
  <c r="CS28" i="13"/>
  <c r="CS35" i="13" s="1"/>
  <c r="CM24" i="13"/>
  <c r="CM35" i="13" s="1"/>
  <c r="CU24" i="13"/>
  <c r="CU35" i="13" s="1"/>
  <c r="X31" i="13"/>
  <c r="X35" i="13" s="1"/>
  <c r="AF31" i="13"/>
  <c r="AN31" i="13"/>
  <c r="AN35" i="13" s="1"/>
  <c r="AV31" i="13"/>
  <c r="AV35" i="13" s="1"/>
  <c r="BD31" i="13"/>
  <c r="BD35" i="13" s="1"/>
  <c r="BL31" i="13"/>
  <c r="BT31" i="13"/>
  <c r="BT35" i="13" s="1"/>
  <c r="CB31" i="13"/>
  <c r="CB35" i="13" s="1"/>
  <c r="CJ31" i="13"/>
  <c r="CJ35" i="13" s="1"/>
  <c r="CR31" i="13"/>
  <c r="CR35" i="13" s="1"/>
  <c r="CR34" i="13"/>
  <c r="J20" i="6"/>
  <c r="K20" i="6"/>
  <c r="L20" i="6"/>
  <c r="M20" i="6"/>
  <c r="N20" i="6"/>
  <c r="O20" i="6"/>
  <c r="O23" i="6" s="1"/>
  <c r="O34" i="6" s="1"/>
  <c r="P20" i="6"/>
  <c r="Q20" i="6"/>
  <c r="Q23" i="6" s="1"/>
  <c r="R20" i="6"/>
  <c r="S20" i="6"/>
  <c r="T20" i="6"/>
  <c r="U20" i="6"/>
  <c r="V20" i="6"/>
  <c r="W20" i="6"/>
  <c r="W23" i="6" s="1"/>
  <c r="W34" i="6" s="1"/>
  <c r="X20" i="6"/>
  <c r="Y20" i="6"/>
  <c r="Y23" i="6" s="1"/>
  <c r="Z20" i="6"/>
  <c r="AA20" i="6"/>
  <c r="AB20" i="6"/>
  <c r="AC20" i="6"/>
  <c r="AD20" i="6"/>
  <c r="AE20" i="6"/>
  <c r="AE23" i="6" s="1"/>
  <c r="AE34" i="6" s="1"/>
  <c r="AF20" i="6"/>
  <c r="AG20" i="6"/>
  <c r="AG23" i="6" s="1"/>
  <c r="AH20" i="6"/>
  <c r="AI20" i="6"/>
  <c r="AJ20" i="6"/>
  <c r="AK20" i="6"/>
  <c r="AL20" i="6"/>
  <c r="AM20" i="6"/>
  <c r="AM23" i="6" s="1"/>
  <c r="AM34" i="6" s="1"/>
  <c r="AN20" i="6"/>
  <c r="AO20" i="6"/>
  <c r="AO23" i="6" s="1"/>
  <c r="AP20" i="6"/>
  <c r="AQ20" i="6"/>
  <c r="AR20" i="6"/>
  <c r="AS20" i="6"/>
  <c r="AT20" i="6"/>
  <c r="AU20" i="6"/>
  <c r="AU23" i="6" s="1"/>
  <c r="AU34" i="6" s="1"/>
  <c r="AV20" i="6"/>
  <c r="AW20" i="6"/>
  <c r="AW23" i="6" s="1"/>
  <c r="AX20" i="6"/>
  <c r="AY20" i="6"/>
  <c r="AZ20" i="6"/>
  <c r="BA20" i="6"/>
  <c r="BB20" i="6"/>
  <c r="BC20" i="6"/>
  <c r="BC23" i="6" s="1"/>
  <c r="BC34" i="6" s="1"/>
  <c r="BD20" i="6"/>
  <c r="BE20" i="6"/>
  <c r="BE23" i="6" s="1"/>
  <c r="BF20" i="6"/>
  <c r="J21" i="6"/>
  <c r="K21" i="6"/>
  <c r="L21" i="6"/>
  <c r="M21" i="6"/>
  <c r="N21" i="6"/>
  <c r="O21" i="6"/>
  <c r="P21" i="6"/>
  <c r="P23" i="6" s="1"/>
  <c r="Q21" i="6"/>
  <c r="R21" i="6"/>
  <c r="S21" i="6"/>
  <c r="T21" i="6"/>
  <c r="U21" i="6"/>
  <c r="V21" i="6"/>
  <c r="W21" i="6"/>
  <c r="X21" i="6"/>
  <c r="X23" i="6" s="1"/>
  <c r="Y21" i="6"/>
  <c r="Z21" i="6"/>
  <c r="AA21" i="6"/>
  <c r="AB21" i="6"/>
  <c r="AC21" i="6"/>
  <c r="AD21" i="6"/>
  <c r="AE21" i="6"/>
  <c r="AF21" i="6"/>
  <c r="AF23" i="6" s="1"/>
  <c r="AG21" i="6"/>
  <c r="AH21" i="6"/>
  <c r="AI21" i="6"/>
  <c r="AJ21" i="6"/>
  <c r="AK21" i="6"/>
  <c r="AL21" i="6"/>
  <c r="AM21" i="6"/>
  <c r="AN21" i="6"/>
  <c r="AN23" i="6" s="1"/>
  <c r="AO21" i="6"/>
  <c r="AP21" i="6"/>
  <c r="AQ21" i="6"/>
  <c r="AR21" i="6"/>
  <c r="AS21" i="6"/>
  <c r="AT21" i="6"/>
  <c r="AU21" i="6"/>
  <c r="AV21" i="6"/>
  <c r="AV23" i="6" s="1"/>
  <c r="AW21" i="6"/>
  <c r="AX21" i="6"/>
  <c r="AY21" i="6"/>
  <c r="AZ21" i="6"/>
  <c r="BA21" i="6"/>
  <c r="BB21" i="6"/>
  <c r="BC21" i="6"/>
  <c r="BD21" i="6"/>
  <c r="BD23" i="6" s="1"/>
  <c r="BE21" i="6"/>
  <c r="BF21" i="6"/>
  <c r="J22" i="6"/>
  <c r="K22" i="6"/>
  <c r="L22" i="6"/>
  <c r="M22" i="6"/>
  <c r="M23" i="6" s="1"/>
  <c r="N22" i="6"/>
  <c r="O22" i="6"/>
  <c r="P22" i="6"/>
  <c r="Q22" i="6"/>
  <c r="R22" i="6"/>
  <c r="S22" i="6"/>
  <c r="T22" i="6"/>
  <c r="U22" i="6"/>
  <c r="U23" i="6" s="1"/>
  <c r="V22" i="6"/>
  <c r="W22" i="6"/>
  <c r="X22" i="6"/>
  <c r="Y22" i="6"/>
  <c r="Z22" i="6"/>
  <c r="AA22" i="6"/>
  <c r="AB22" i="6"/>
  <c r="AC22" i="6"/>
  <c r="AC23" i="6" s="1"/>
  <c r="AD22" i="6"/>
  <c r="AE22" i="6"/>
  <c r="AF22" i="6"/>
  <c r="AG22" i="6"/>
  <c r="AH22" i="6"/>
  <c r="AI22" i="6"/>
  <c r="AJ22" i="6"/>
  <c r="AK22" i="6"/>
  <c r="AK23" i="6" s="1"/>
  <c r="AL22" i="6"/>
  <c r="AM22" i="6"/>
  <c r="AN22" i="6"/>
  <c r="AO22" i="6"/>
  <c r="AP22" i="6"/>
  <c r="AQ22" i="6"/>
  <c r="AR22" i="6"/>
  <c r="AS22" i="6"/>
  <c r="AS23" i="6" s="1"/>
  <c r="AT22" i="6"/>
  <c r="AU22" i="6"/>
  <c r="AV22" i="6"/>
  <c r="AW22" i="6"/>
  <c r="AX22" i="6"/>
  <c r="AY22" i="6"/>
  <c r="AZ22" i="6"/>
  <c r="BA22" i="6"/>
  <c r="BA23" i="6" s="1"/>
  <c r="BB22" i="6"/>
  <c r="BC22" i="6"/>
  <c r="BD22" i="6"/>
  <c r="BE22" i="6"/>
  <c r="BF22" i="6"/>
  <c r="J23" i="6"/>
  <c r="K23" i="6"/>
  <c r="L23" i="6"/>
  <c r="N23" i="6"/>
  <c r="N34" i="6" s="1"/>
  <c r="R23" i="6"/>
  <c r="S23" i="6"/>
  <c r="T23" i="6"/>
  <c r="V23" i="6"/>
  <c r="Z23" i="6"/>
  <c r="AA23" i="6"/>
  <c r="AB23" i="6"/>
  <c r="AD23" i="6"/>
  <c r="AD34" i="6" s="1"/>
  <c r="AH23" i="6"/>
  <c r="AI23" i="6"/>
  <c r="AJ23" i="6"/>
  <c r="AL23" i="6"/>
  <c r="AP23" i="6"/>
  <c r="AQ23" i="6"/>
  <c r="AR23" i="6"/>
  <c r="AT23" i="6"/>
  <c r="AT34" i="6" s="1"/>
  <c r="AX23" i="6"/>
  <c r="AY23" i="6"/>
  <c r="AZ23" i="6"/>
  <c r="BB23" i="6"/>
  <c r="BF23" i="6"/>
  <c r="J24" i="6"/>
  <c r="K24" i="6"/>
  <c r="K27" i="6" s="1"/>
  <c r="K34" i="6" s="1"/>
  <c r="L24" i="6"/>
  <c r="M24" i="6"/>
  <c r="M27" i="6" s="1"/>
  <c r="N24" i="6"/>
  <c r="O24" i="6"/>
  <c r="P24" i="6"/>
  <c r="Q24" i="6"/>
  <c r="R24" i="6"/>
  <c r="S24" i="6"/>
  <c r="S27" i="6" s="1"/>
  <c r="S34" i="6" s="1"/>
  <c r="T24" i="6"/>
  <c r="U24" i="6"/>
  <c r="U27" i="6" s="1"/>
  <c r="V24" i="6"/>
  <c r="W24" i="6"/>
  <c r="X24" i="6"/>
  <c r="Y24" i="6"/>
  <c r="Z24" i="6"/>
  <c r="AA24" i="6"/>
  <c r="AA27" i="6" s="1"/>
  <c r="AA34" i="6" s="1"/>
  <c r="AB24" i="6"/>
  <c r="AC24" i="6"/>
  <c r="AC27" i="6" s="1"/>
  <c r="AD24" i="6"/>
  <c r="AE24" i="6"/>
  <c r="AF24" i="6"/>
  <c r="AG24" i="6"/>
  <c r="AH24" i="6"/>
  <c r="AI24" i="6"/>
  <c r="AI27" i="6" s="1"/>
  <c r="AI34" i="6" s="1"/>
  <c r="AJ24" i="6"/>
  <c r="AK24" i="6"/>
  <c r="AK27" i="6" s="1"/>
  <c r="AL24" i="6"/>
  <c r="AM24" i="6"/>
  <c r="AN24" i="6"/>
  <c r="AO24" i="6"/>
  <c r="AP24" i="6"/>
  <c r="AQ24" i="6"/>
  <c r="AQ27" i="6" s="1"/>
  <c r="AQ34" i="6" s="1"/>
  <c r="AR24" i="6"/>
  <c r="AS24" i="6"/>
  <c r="AS27" i="6" s="1"/>
  <c r="AT24" i="6"/>
  <c r="AU24" i="6"/>
  <c r="AV24" i="6"/>
  <c r="AW24" i="6"/>
  <c r="AX24" i="6"/>
  <c r="AY24" i="6"/>
  <c r="AY27" i="6" s="1"/>
  <c r="AY34" i="6" s="1"/>
  <c r="AZ24" i="6"/>
  <c r="BA24" i="6"/>
  <c r="BA27" i="6" s="1"/>
  <c r="BB24" i="6"/>
  <c r="BC24" i="6"/>
  <c r="BD24" i="6"/>
  <c r="BE24" i="6"/>
  <c r="BF24" i="6"/>
  <c r="J25" i="6"/>
  <c r="K25" i="6"/>
  <c r="L25" i="6"/>
  <c r="L27" i="6" s="1"/>
  <c r="L34" i="6" s="1"/>
  <c r="M25" i="6"/>
  <c r="N25" i="6"/>
  <c r="O25" i="6"/>
  <c r="P25" i="6"/>
  <c r="Q25" i="6"/>
  <c r="R25" i="6"/>
  <c r="S25" i="6"/>
  <c r="T25" i="6"/>
  <c r="T27" i="6" s="1"/>
  <c r="T34" i="6" s="1"/>
  <c r="U25" i="6"/>
  <c r="V25" i="6"/>
  <c r="W25" i="6"/>
  <c r="X25" i="6"/>
  <c r="Y25" i="6"/>
  <c r="Z25" i="6"/>
  <c r="AA25" i="6"/>
  <c r="AB25" i="6"/>
  <c r="AB27" i="6" s="1"/>
  <c r="AB34" i="6" s="1"/>
  <c r="AC25" i="6"/>
  <c r="AD25" i="6"/>
  <c r="AE25" i="6"/>
  <c r="AF25" i="6"/>
  <c r="AG25" i="6"/>
  <c r="AH25" i="6"/>
  <c r="AI25" i="6"/>
  <c r="AJ25" i="6"/>
  <c r="AJ27" i="6" s="1"/>
  <c r="AJ34" i="6" s="1"/>
  <c r="AK25" i="6"/>
  <c r="AL25" i="6"/>
  <c r="AM25" i="6"/>
  <c r="AN25" i="6"/>
  <c r="AO25" i="6"/>
  <c r="AP25" i="6"/>
  <c r="AQ25" i="6"/>
  <c r="AR25" i="6"/>
  <c r="AR27" i="6" s="1"/>
  <c r="AR34" i="6" s="1"/>
  <c r="AS25" i="6"/>
  <c r="AT25" i="6"/>
  <c r="AU25" i="6"/>
  <c r="AV25" i="6"/>
  <c r="AW25" i="6"/>
  <c r="AX25" i="6"/>
  <c r="AY25" i="6"/>
  <c r="AZ25" i="6"/>
  <c r="AZ27" i="6" s="1"/>
  <c r="AZ34" i="6" s="1"/>
  <c r="BA25" i="6"/>
  <c r="BB25" i="6"/>
  <c r="BC25" i="6"/>
  <c r="BD25" i="6"/>
  <c r="BE25" i="6"/>
  <c r="BF25" i="6"/>
  <c r="J26" i="6"/>
  <c r="K26" i="6"/>
  <c r="L26" i="6"/>
  <c r="M26" i="6"/>
  <c r="N26" i="6"/>
  <c r="O26" i="6"/>
  <c r="P26" i="6"/>
  <c r="Q26" i="6"/>
  <c r="Q27" i="6" s="1"/>
  <c r="R26" i="6"/>
  <c r="S26" i="6"/>
  <c r="T26" i="6"/>
  <c r="U26" i="6"/>
  <c r="V26" i="6"/>
  <c r="W26" i="6"/>
  <c r="X26" i="6"/>
  <c r="Y26" i="6"/>
  <c r="Y27" i="6" s="1"/>
  <c r="Z26" i="6"/>
  <c r="AA26" i="6"/>
  <c r="AB26" i="6"/>
  <c r="AC26" i="6"/>
  <c r="AD26" i="6"/>
  <c r="AE26" i="6"/>
  <c r="AF26" i="6"/>
  <c r="AG26" i="6"/>
  <c r="AG27" i="6" s="1"/>
  <c r="AH26" i="6"/>
  <c r="AI26" i="6"/>
  <c r="AJ26" i="6"/>
  <c r="AK26" i="6"/>
  <c r="AL26" i="6"/>
  <c r="AM26" i="6"/>
  <c r="AN26" i="6"/>
  <c r="AO26" i="6"/>
  <c r="AO27" i="6" s="1"/>
  <c r="AP26" i="6"/>
  <c r="AQ26" i="6"/>
  <c r="AR26" i="6"/>
  <c r="AS26" i="6"/>
  <c r="AT26" i="6"/>
  <c r="AU26" i="6"/>
  <c r="AV26" i="6"/>
  <c r="AW26" i="6"/>
  <c r="AW27" i="6" s="1"/>
  <c r="AX26" i="6"/>
  <c r="AY26" i="6"/>
  <c r="AZ26" i="6"/>
  <c r="BA26" i="6"/>
  <c r="BB26" i="6"/>
  <c r="BC26" i="6"/>
  <c r="BD26" i="6"/>
  <c r="BE26" i="6"/>
  <c r="BE27" i="6" s="1"/>
  <c r="BF26" i="6"/>
  <c r="J27" i="6"/>
  <c r="J34" i="6" s="1"/>
  <c r="N27" i="6"/>
  <c r="O27" i="6"/>
  <c r="P27" i="6"/>
  <c r="R27" i="6"/>
  <c r="R34" i="6" s="1"/>
  <c r="V27" i="6"/>
  <c r="W27" i="6"/>
  <c r="X27" i="6"/>
  <c r="Z27" i="6"/>
  <c r="Z34" i="6" s="1"/>
  <c r="AD27" i="6"/>
  <c r="AE27" i="6"/>
  <c r="AF27" i="6"/>
  <c r="AH27" i="6"/>
  <c r="AH34" i="6" s="1"/>
  <c r="AL27" i="6"/>
  <c r="AM27" i="6"/>
  <c r="AN27" i="6"/>
  <c r="AP27" i="6"/>
  <c r="AP34" i="6" s="1"/>
  <c r="AT27" i="6"/>
  <c r="AU27" i="6"/>
  <c r="AV27" i="6"/>
  <c r="AX27" i="6"/>
  <c r="AX34" i="6" s="1"/>
  <c r="BB27" i="6"/>
  <c r="BC27" i="6"/>
  <c r="BD27" i="6"/>
  <c r="BF27" i="6"/>
  <c r="BF34" i="6" s="1"/>
  <c r="J28" i="6"/>
  <c r="K28" i="6"/>
  <c r="L28" i="6"/>
  <c r="M28" i="6"/>
  <c r="N28" i="6"/>
  <c r="O28" i="6"/>
  <c r="P28" i="6"/>
  <c r="Q28" i="6"/>
  <c r="Q30" i="6" s="1"/>
  <c r="R28" i="6"/>
  <c r="S28" i="6"/>
  <c r="T28" i="6"/>
  <c r="U28" i="6"/>
  <c r="V28" i="6"/>
  <c r="W28" i="6"/>
  <c r="X28" i="6"/>
  <c r="Y28" i="6"/>
  <c r="Y30" i="6" s="1"/>
  <c r="Z28" i="6"/>
  <c r="AA28" i="6"/>
  <c r="AB28" i="6"/>
  <c r="AC28" i="6"/>
  <c r="AD28" i="6"/>
  <c r="AE28" i="6"/>
  <c r="AF28" i="6"/>
  <c r="AG28" i="6"/>
  <c r="AG30" i="6" s="1"/>
  <c r="AH28" i="6"/>
  <c r="AI28" i="6"/>
  <c r="AJ28" i="6"/>
  <c r="AK28" i="6"/>
  <c r="AL28" i="6"/>
  <c r="AM28" i="6"/>
  <c r="AN28" i="6"/>
  <c r="AO28" i="6"/>
  <c r="AO30" i="6" s="1"/>
  <c r="AP28" i="6"/>
  <c r="AQ28" i="6"/>
  <c r="AR28" i="6"/>
  <c r="AS28" i="6"/>
  <c r="AT28" i="6"/>
  <c r="AU28" i="6"/>
  <c r="AV28" i="6"/>
  <c r="AW28" i="6"/>
  <c r="AW30" i="6" s="1"/>
  <c r="AX28" i="6"/>
  <c r="AY28" i="6"/>
  <c r="AZ28" i="6"/>
  <c r="BA28" i="6"/>
  <c r="BB28" i="6"/>
  <c r="BC28" i="6"/>
  <c r="BD28" i="6"/>
  <c r="BE28" i="6"/>
  <c r="BE30" i="6" s="1"/>
  <c r="BF28" i="6"/>
  <c r="J29" i="6"/>
  <c r="K29" i="6"/>
  <c r="L29" i="6"/>
  <c r="M29" i="6"/>
  <c r="N29" i="6"/>
  <c r="N30" i="6" s="1"/>
  <c r="O29" i="6"/>
  <c r="P29" i="6"/>
  <c r="P30" i="6" s="1"/>
  <c r="Q29" i="6"/>
  <c r="R29" i="6"/>
  <c r="S29" i="6"/>
  <c r="T29" i="6"/>
  <c r="U29" i="6"/>
  <c r="V29" i="6"/>
  <c r="V30" i="6" s="1"/>
  <c r="W29" i="6"/>
  <c r="X29" i="6"/>
  <c r="X30" i="6" s="1"/>
  <c r="Y29" i="6"/>
  <c r="Z29" i="6"/>
  <c r="AA29" i="6"/>
  <c r="AB29" i="6"/>
  <c r="AC29" i="6"/>
  <c r="AD29" i="6"/>
  <c r="AD30" i="6" s="1"/>
  <c r="AE29" i="6"/>
  <c r="AF29" i="6"/>
  <c r="AF30" i="6" s="1"/>
  <c r="AG29" i="6"/>
  <c r="AH29" i="6"/>
  <c r="AI29" i="6"/>
  <c r="AJ29" i="6"/>
  <c r="AK29" i="6"/>
  <c r="AL29" i="6"/>
  <c r="AL30" i="6" s="1"/>
  <c r="AM29" i="6"/>
  <c r="AN29" i="6"/>
  <c r="AN30" i="6" s="1"/>
  <c r="AO29" i="6"/>
  <c r="AP29" i="6"/>
  <c r="AQ29" i="6"/>
  <c r="AR29" i="6"/>
  <c r="AS29" i="6"/>
  <c r="AT29" i="6"/>
  <c r="AT30" i="6" s="1"/>
  <c r="AU29" i="6"/>
  <c r="AV29" i="6"/>
  <c r="AV30" i="6" s="1"/>
  <c r="AW29" i="6"/>
  <c r="AX29" i="6"/>
  <c r="AY29" i="6"/>
  <c r="AZ29" i="6"/>
  <c r="BA29" i="6"/>
  <c r="BB29" i="6"/>
  <c r="BB30" i="6" s="1"/>
  <c r="BC29" i="6"/>
  <c r="BD29" i="6"/>
  <c r="BD30" i="6" s="1"/>
  <c r="BE29" i="6"/>
  <c r="BF29" i="6"/>
  <c r="J30" i="6"/>
  <c r="K30" i="6"/>
  <c r="L30" i="6"/>
  <c r="M30" i="6"/>
  <c r="O30" i="6"/>
  <c r="R30" i="6"/>
  <c r="S30" i="6"/>
  <c r="T30" i="6"/>
  <c r="U30" i="6"/>
  <c r="W30" i="6"/>
  <c r="Z30" i="6"/>
  <c r="AA30" i="6"/>
  <c r="AB30" i="6"/>
  <c r="AC30" i="6"/>
  <c r="AE30" i="6"/>
  <c r="AH30" i="6"/>
  <c r="AI30" i="6"/>
  <c r="AJ30" i="6"/>
  <c r="AK30" i="6"/>
  <c r="AM30" i="6"/>
  <c r="AP30" i="6"/>
  <c r="AQ30" i="6"/>
  <c r="AR30" i="6"/>
  <c r="AS30" i="6"/>
  <c r="AU30" i="6"/>
  <c r="AX30" i="6"/>
  <c r="AY30" i="6"/>
  <c r="AZ30" i="6"/>
  <c r="BA30" i="6"/>
  <c r="BC30" i="6"/>
  <c r="BF30" i="6"/>
  <c r="J31" i="6"/>
  <c r="K31" i="6"/>
  <c r="L31" i="6"/>
  <c r="M31" i="6"/>
  <c r="N31" i="6"/>
  <c r="N33" i="6" s="1"/>
  <c r="O31" i="6"/>
  <c r="P31" i="6"/>
  <c r="Q31" i="6"/>
  <c r="R31" i="6"/>
  <c r="S31" i="6"/>
  <c r="T31" i="6"/>
  <c r="U31" i="6"/>
  <c r="V31" i="6"/>
  <c r="V33" i="6" s="1"/>
  <c r="W31" i="6"/>
  <c r="X31" i="6"/>
  <c r="Y31" i="6"/>
  <c r="Z31" i="6"/>
  <c r="AA31" i="6"/>
  <c r="AB31" i="6"/>
  <c r="AC31" i="6"/>
  <c r="AD31" i="6"/>
  <c r="AD33" i="6" s="1"/>
  <c r="AE31" i="6"/>
  <c r="AF31" i="6"/>
  <c r="AG31" i="6"/>
  <c r="AH31" i="6"/>
  <c r="AI31" i="6"/>
  <c r="AJ31" i="6"/>
  <c r="AK31" i="6"/>
  <c r="AL31" i="6"/>
  <c r="AL33" i="6" s="1"/>
  <c r="AM31" i="6"/>
  <c r="AN31" i="6"/>
  <c r="AO31" i="6"/>
  <c r="AP31" i="6"/>
  <c r="AQ31" i="6"/>
  <c r="AR31" i="6"/>
  <c r="AS31" i="6"/>
  <c r="AT31" i="6"/>
  <c r="AT33" i="6" s="1"/>
  <c r="AU31" i="6"/>
  <c r="AV31" i="6"/>
  <c r="AW31" i="6"/>
  <c r="AX31" i="6"/>
  <c r="AY31" i="6"/>
  <c r="AZ31" i="6"/>
  <c r="BA31" i="6"/>
  <c r="BB31" i="6"/>
  <c r="BB33" i="6" s="1"/>
  <c r="BC31" i="6"/>
  <c r="BD31" i="6"/>
  <c r="BE31" i="6"/>
  <c r="BF31" i="6"/>
  <c r="J32" i="6"/>
  <c r="K32" i="6"/>
  <c r="K33" i="6" s="1"/>
  <c r="L32" i="6"/>
  <c r="M32" i="6"/>
  <c r="M33" i="6" s="1"/>
  <c r="N32" i="6"/>
  <c r="O32" i="6"/>
  <c r="P32" i="6"/>
  <c r="Q32" i="6"/>
  <c r="R32" i="6"/>
  <c r="S32" i="6"/>
  <c r="S33" i="6" s="1"/>
  <c r="T32" i="6"/>
  <c r="U32" i="6"/>
  <c r="U33" i="6" s="1"/>
  <c r="V32" i="6"/>
  <c r="W32" i="6"/>
  <c r="X32" i="6"/>
  <c r="Y32" i="6"/>
  <c r="Z32" i="6"/>
  <c r="AA32" i="6"/>
  <c r="AA33" i="6" s="1"/>
  <c r="AB32" i="6"/>
  <c r="AC32" i="6"/>
  <c r="AC33" i="6" s="1"/>
  <c r="AD32" i="6"/>
  <c r="AE32" i="6"/>
  <c r="AF32" i="6"/>
  <c r="AG32" i="6"/>
  <c r="AH32" i="6"/>
  <c r="AI32" i="6"/>
  <c r="AI33" i="6" s="1"/>
  <c r="AJ32" i="6"/>
  <c r="AK32" i="6"/>
  <c r="AK33" i="6" s="1"/>
  <c r="AL32" i="6"/>
  <c r="AM32" i="6"/>
  <c r="AN32" i="6"/>
  <c r="AO32" i="6"/>
  <c r="AP32" i="6"/>
  <c r="AQ32" i="6"/>
  <c r="AQ33" i="6" s="1"/>
  <c r="AR32" i="6"/>
  <c r="AS32" i="6"/>
  <c r="AS33" i="6" s="1"/>
  <c r="AT32" i="6"/>
  <c r="AU32" i="6"/>
  <c r="AV32" i="6"/>
  <c r="AW32" i="6"/>
  <c r="AX32" i="6"/>
  <c r="AY32" i="6"/>
  <c r="AY33" i="6" s="1"/>
  <c r="AZ32" i="6"/>
  <c r="BA32" i="6"/>
  <c r="BA33" i="6" s="1"/>
  <c r="BB32" i="6"/>
  <c r="BC32" i="6"/>
  <c r="BD32" i="6"/>
  <c r="BE32" i="6"/>
  <c r="BF32" i="6"/>
  <c r="J33" i="6"/>
  <c r="L33" i="6"/>
  <c r="O33" i="6"/>
  <c r="P33" i="6"/>
  <c r="Q33" i="6"/>
  <c r="R33" i="6"/>
  <c r="T33" i="6"/>
  <c r="W33" i="6"/>
  <c r="X33" i="6"/>
  <c r="Y33" i="6"/>
  <c r="Z33" i="6"/>
  <c r="AB33" i="6"/>
  <c r="AE33" i="6"/>
  <c r="AF33" i="6"/>
  <c r="AG33" i="6"/>
  <c r="AH33" i="6"/>
  <c r="AJ33" i="6"/>
  <c r="AM33" i="6"/>
  <c r="AN33" i="6"/>
  <c r="AO33" i="6"/>
  <c r="AP33" i="6"/>
  <c r="AR33" i="6"/>
  <c r="AU33" i="6"/>
  <c r="AV33" i="6"/>
  <c r="AW33" i="6"/>
  <c r="AX33" i="6"/>
  <c r="AZ33" i="6"/>
  <c r="BC33" i="6"/>
  <c r="BD33" i="6"/>
  <c r="BE33" i="6"/>
  <c r="BF33" i="6"/>
  <c r="J3" i="6"/>
  <c r="K3" i="6"/>
  <c r="L3" i="6"/>
  <c r="M3" i="6"/>
  <c r="N3" i="6"/>
  <c r="O3" i="6"/>
  <c r="P3" i="6"/>
  <c r="Q3" i="6"/>
  <c r="Q6" i="6" s="1"/>
  <c r="R3" i="6"/>
  <c r="S3" i="6"/>
  <c r="T3" i="6"/>
  <c r="U3" i="6"/>
  <c r="V3" i="6"/>
  <c r="W3" i="6"/>
  <c r="X3" i="6"/>
  <c r="Y3" i="6"/>
  <c r="Y6" i="6" s="1"/>
  <c r="Z3" i="6"/>
  <c r="AA3" i="6"/>
  <c r="AB3" i="6"/>
  <c r="AC3" i="6"/>
  <c r="AD3" i="6"/>
  <c r="AE3" i="6"/>
  <c r="AF3" i="6"/>
  <c r="AG3" i="6"/>
  <c r="AG6" i="6" s="1"/>
  <c r="AH3" i="6"/>
  <c r="AI3" i="6"/>
  <c r="AJ3" i="6"/>
  <c r="AK3" i="6"/>
  <c r="AL3" i="6"/>
  <c r="AM3" i="6"/>
  <c r="AN3" i="6"/>
  <c r="AO3" i="6"/>
  <c r="AO6" i="6" s="1"/>
  <c r="AP3" i="6"/>
  <c r="AQ3" i="6"/>
  <c r="AR3" i="6"/>
  <c r="AS3" i="6"/>
  <c r="AT3" i="6"/>
  <c r="AU3" i="6"/>
  <c r="AV3" i="6"/>
  <c r="AW3" i="6"/>
  <c r="AW6" i="6" s="1"/>
  <c r="AX3" i="6"/>
  <c r="AY3" i="6"/>
  <c r="AZ3" i="6"/>
  <c r="BA3" i="6"/>
  <c r="BB3" i="6"/>
  <c r="BC3" i="6"/>
  <c r="BD3" i="6"/>
  <c r="BE3" i="6"/>
  <c r="BE6" i="6" s="1"/>
  <c r="BF3" i="6"/>
  <c r="J4" i="6"/>
  <c r="J6" i="6" s="1"/>
  <c r="J17" i="6" s="1"/>
  <c r="K4" i="6"/>
  <c r="L4" i="6"/>
  <c r="M4" i="6"/>
  <c r="N4" i="6"/>
  <c r="O4" i="6"/>
  <c r="P4" i="6"/>
  <c r="P6" i="6" s="1"/>
  <c r="Q4" i="6"/>
  <c r="R4" i="6"/>
  <c r="S4" i="6"/>
  <c r="T4" i="6"/>
  <c r="U4" i="6"/>
  <c r="V4" i="6"/>
  <c r="W4" i="6"/>
  <c r="X4" i="6"/>
  <c r="X6" i="6" s="1"/>
  <c r="Y4" i="6"/>
  <c r="Z4" i="6"/>
  <c r="AA4" i="6"/>
  <c r="AB4" i="6"/>
  <c r="AC4" i="6"/>
  <c r="AD4" i="6"/>
  <c r="AE4" i="6"/>
  <c r="AF4" i="6"/>
  <c r="AF6" i="6" s="1"/>
  <c r="AG4" i="6"/>
  <c r="AH4" i="6"/>
  <c r="AI4" i="6"/>
  <c r="AJ4" i="6"/>
  <c r="AK4" i="6"/>
  <c r="AL4" i="6"/>
  <c r="AM4" i="6"/>
  <c r="AN4" i="6"/>
  <c r="AN6" i="6" s="1"/>
  <c r="AN17" i="6" s="1"/>
  <c r="AO4" i="6"/>
  <c r="AP4" i="6"/>
  <c r="AQ4" i="6"/>
  <c r="AR4" i="6"/>
  <c r="AS4" i="6"/>
  <c r="AT4" i="6"/>
  <c r="AU4" i="6"/>
  <c r="AV4" i="6"/>
  <c r="AV6" i="6" s="1"/>
  <c r="AV17" i="6" s="1"/>
  <c r="AW4" i="6"/>
  <c r="AX4" i="6"/>
  <c r="AY4" i="6"/>
  <c r="AZ4" i="6"/>
  <c r="BA4" i="6"/>
  <c r="BB4" i="6"/>
  <c r="BC4" i="6"/>
  <c r="BD4" i="6"/>
  <c r="BD6" i="6" s="1"/>
  <c r="BD17" i="6" s="1"/>
  <c r="BE4" i="6"/>
  <c r="BF4" i="6"/>
  <c r="J5" i="6"/>
  <c r="K5" i="6"/>
  <c r="L5" i="6"/>
  <c r="M5" i="6"/>
  <c r="M6" i="6" s="1"/>
  <c r="M17" i="6" s="1"/>
  <c r="N5" i="6"/>
  <c r="O5" i="6"/>
  <c r="O6" i="6" s="1"/>
  <c r="O17" i="6" s="1"/>
  <c r="P5" i="6"/>
  <c r="Q5" i="6"/>
  <c r="R5" i="6"/>
  <c r="S5" i="6"/>
  <c r="T5" i="6"/>
  <c r="U5" i="6"/>
  <c r="U6" i="6" s="1"/>
  <c r="U17" i="6" s="1"/>
  <c r="V5" i="6"/>
  <c r="W5" i="6"/>
  <c r="W6" i="6" s="1"/>
  <c r="W17" i="6" s="1"/>
  <c r="X5" i="6"/>
  <c r="Y5" i="6"/>
  <c r="Z5" i="6"/>
  <c r="AA5" i="6"/>
  <c r="AB5" i="6"/>
  <c r="AC5" i="6"/>
  <c r="AC6" i="6" s="1"/>
  <c r="AC17" i="6" s="1"/>
  <c r="AD5" i="6"/>
  <c r="AE5" i="6"/>
  <c r="AE6" i="6" s="1"/>
  <c r="AE17" i="6" s="1"/>
  <c r="AF5" i="6"/>
  <c r="AG5" i="6"/>
  <c r="AH5" i="6"/>
  <c r="AI5" i="6"/>
  <c r="AJ5" i="6"/>
  <c r="AK5" i="6"/>
  <c r="AL5" i="6"/>
  <c r="AM5" i="6"/>
  <c r="AM6" i="6" s="1"/>
  <c r="AM17" i="6" s="1"/>
  <c r="AN5" i="6"/>
  <c r="AO5" i="6"/>
  <c r="AP5" i="6"/>
  <c r="AQ5" i="6"/>
  <c r="AR5" i="6"/>
  <c r="AS5" i="6"/>
  <c r="AT5" i="6"/>
  <c r="AU5" i="6"/>
  <c r="AU6" i="6" s="1"/>
  <c r="AU17" i="6" s="1"/>
  <c r="AV5" i="6"/>
  <c r="AW5" i="6"/>
  <c r="AX5" i="6"/>
  <c r="AY5" i="6"/>
  <c r="AZ5" i="6"/>
  <c r="BA5" i="6"/>
  <c r="BB5" i="6"/>
  <c r="BC5" i="6"/>
  <c r="BC6" i="6" s="1"/>
  <c r="BC17" i="6" s="1"/>
  <c r="BD5" i="6"/>
  <c r="BE5" i="6"/>
  <c r="BF5" i="6"/>
  <c r="K6" i="6"/>
  <c r="L6" i="6"/>
  <c r="N6" i="6"/>
  <c r="R6" i="6"/>
  <c r="S6" i="6"/>
  <c r="T6" i="6"/>
  <c r="V6" i="6"/>
  <c r="Z6" i="6"/>
  <c r="AA6" i="6"/>
  <c r="AB6" i="6"/>
  <c r="AD6" i="6"/>
  <c r="AH6" i="6"/>
  <c r="AI6" i="6"/>
  <c r="AJ6" i="6"/>
  <c r="AK6" i="6"/>
  <c r="AL6" i="6"/>
  <c r="AP6" i="6"/>
  <c r="AQ6" i="6"/>
  <c r="AR6" i="6"/>
  <c r="AS6" i="6"/>
  <c r="AT6" i="6"/>
  <c r="AT17" i="6" s="1"/>
  <c r="AX6" i="6"/>
  <c r="AY6" i="6"/>
  <c r="AZ6" i="6"/>
  <c r="BA6" i="6"/>
  <c r="BB6" i="6"/>
  <c r="BF6" i="6"/>
  <c r="J7" i="6"/>
  <c r="K7" i="6"/>
  <c r="L7" i="6"/>
  <c r="M7" i="6"/>
  <c r="M10" i="6" s="1"/>
  <c r="N7" i="6"/>
  <c r="O7" i="6"/>
  <c r="P7" i="6"/>
  <c r="Q7" i="6"/>
  <c r="R7" i="6"/>
  <c r="S7" i="6"/>
  <c r="T7" i="6"/>
  <c r="U7" i="6"/>
  <c r="U10" i="6" s="1"/>
  <c r="V7" i="6"/>
  <c r="W7" i="6"/>
  <c r="X7" i="6"/>
  <c r="Y7" i="6"/>
  <c r="Z7" i="6"/>
  <c r="AA7" i="6"/>
  <c r="AB7" i="6"/>
  <c r="AC7" i="6"/>
  <c r="AC10" i="6" s="1"/>
  <c r="AD7" i="6"/>
  <c r="AE7" i="6"/>
  <c r="AF7" i="6"/>
  <c r="AG7" i="6"/>
  <c r="AH7" i="6"/>
  <c r="AI7" i="6"/>
  <c r="AJ7" i="6"/>
  <c r="AK7" i="6"/>
  <c r="AK10" i="6" s="1"/>
  <c r="AL7" i="6"/>
  <c r="AM7" i="6"/>
  <c r="AN7" i="6"/>
  <c r="AO7" i="6"/>
  <c r="AP7" i="6"/>
  <c r="AQ7" i="6"/>
  <c r="AR7" i="6"/>
  <c r="AS7" i="6"/>
  <c r="AS10" i="6" s="1"/>
  <c r="AT7" i="6"/>
  <c r="AU7" i="6"/>
  <c r="AV7" i="6"/>
  <c r="AW7" i="6"/>
  <c r="AX7" i="6"/>
  <c r="AY7" i="6"/>
  <c r="AZ7" i="6"/>
  <c r="BA7" i="6"/>
  <c r="BA10" i="6" s="1"/>
  <c r="BB7" i="6"/>
  <c r="BC7" i="6"/>
  <c r="BD7" i="6"/>
  <c r="BE7" i="6"/>
  <c r="BF7" i="6"/>
  <c r="J8" i="6"/>
  <c r="K8" i="6"/>
  <c r="L8" i="6"/>
  <c r="L10" i="6" s="1"/>
  <c r="L17" i="6" s="1"/>
  <c r="M8" i="6"/>
  <c r="N8" i="6"/>
  <c r="O8" i="6"/>
  <c r="P8" i="6"/>
  <c r="Q8" i="6"/>
  <c r="R8" i="6"/>
  <c r="S8" i="6"/>
  <c r="T8" i="6"/>
  <c r="T10" i="6" s="1"/>
  <c r="T17" i="6" s="1"/>
  <c r="U8" i="6"/>
  <c r="V8" i="6"/>
  <c r="W8" i="6"/>
  <c r="X8" i="6"/>
  <c r="Y8" i="6"/>
  <c r="Z8" i="6"/>
  <c r="AA8" i="6"/>
  <c r="AB8" i="6"/>
  <c r="AB10" i="6" s="1"/>
  <c r="AB17" i="6" s="1"/>
  <c r="AC8" i="6"/>
  <c r="AD8" i="6"/>
  <c r="AE8" i="6"/>
  <c r="AF8" i="6"/>
  <c r="AG8" i="6"/>
  <c r="AH8" i="6"/>
  <c r="AI8" i="6"/>
  <c r="AJ8" i="6"/>
  <c r="AJ10" i="6" s="1"/>
  <c r="AJ17" i="6" s="1"/>
  <c r="AK8" i="6"/>
  <c r="AL8" i="6"/>
  <c r="AM8" i="6"/>
  <c r="AN8" i="6"/>
  <c r="AO8" i="6"/>
  <c r="AP8" i="6"/>
  <c r="AQ8" i="6"/>
  <c r="AR8" i="6"/>
  <c r="AR10" i="6" s="1"/>
  <c r="AR17" i="6" s="1"/>
  <c r="AS8" i="6"/>
  <c r="AT8" i="6"/>
  <c r="AU8" i="6"/>
  <c r="AV8" i="6"/>
  <c r="AW8" i="6"/>
  <c r="AX8" i="6"/>
  <c r="AY8" i="6"/>
  <c r="AZ8" i="6"/>
  <c r="AZ10" i="6" s="1"/>
  <c r="AZ17" i="6" s="1"/>
  <c r="BA8" i="6"/>
  <c r="BB8" i="6"/>
  <c r="BC8" i="6"/>
  <c r="BD8" i="6"/>
  <c r="BE8" i="6"/>
  <c r="BF8" i="6"/>
  <c r="J9" i="6"/>
  <c r="K9" i="6"/>
  <c r="K10" i="6" s="1"/>
  <c r="L9" i="6"/>
  <c r="M9" i="6"/>
  <c r="N9" i="6"/>
  <c r="O9" i="6"/>
  <c r="P9" i="6"/>
  <c r="Q9" i="6"/>
  <c r="Q10" i="6" s="1"/>
  <c r="R9" i="6"/>
  <c r="S9" i="6"/>
  <c r="S10" i="6" s="1"/>
  <c r="T9" i="6"/>
  <c r="U9" i="6"/>
  <c r="V9" i="6"/>
  <c r="W9" i="6"/>
  <c r="X9" i="6"/>
  <c r="Y9" i="6"/>
  <c r="Y10" i="6" s="1"/>
  <c r="Z9" i="6"/>
  <c r="AA9" i="6"/>
  <c r="AA10" i="6" s="1"/>
  <c r="AB9" i="6"/>
  <c r="AC9" i="6"/>
  <c r="AD9" i="6"/>
  <c r="AE9" i="6"/>
  <c r="AF9" i="6"/>
  <c r="AG9" i="6"/>
  <c r="AG10" i="6" s="1"/>
  <c r="AH9" i="6"/>
  <c r="AI9" i="6"/>
  <c r="AI10" i="6" s="1"/>
  <c r="AJ9" i="6"/>
  <c r="AK9" i="6"/>
  <c r="AL9" i="6"/>
  <c r="AM9" i="6"/>
  <c r="AN9" i="6"/>
  <c r="AO9" i="6"/>
  <c r="AP9" i="6"/>
  <c r="AQ9" i="6"/>
  <c r="AQ10" i="6" s="1"/>
  <c r="AR9" i="6"/>
  <c r="AS9" i="6"/>
  <c r="AT9" i="6"/>
  <c r="AU9" i="6"/>
  <c r="AV9" i="6"/>
  <c r="AW9" i="6"/>
  <c r="AX9" i="6"/>
  <c r="AY9" i="6"/>
  <c r="AY10" i="6" s="1"/>
  <c r="AZ9" i="6"/>
  <c r="BA9" i="6"/>
  <c r="BB9" i="6"/>
  <c r="BC9" i="6"/>
  <c r="BD9" i="6"/>
  <c r="BE9" i="6"/>
  <c r="BF9" i="6"/>
  <c r="J10" i="6"/>
  <c r="N10" i="6"/>
  <c r="O10" i="6"/>
  <c r="P10" i="6"/>
  <c r="R10" i="6"/>
  <c r="R17" i="6" s="1"/>
  <c r="V10" i="6"/>
  <c r="W10" i="6"/>
  <c r="X10" i="6"/>
  <c r="Z10" i="6"/>
  <c r="Z17" i="6" s="1"/>
  <c r="AD10" i="6"/>
  <c r="AE10" i="6"/>
  <c r="AF10" i="6"/>
  <c r="AH10" i="6"/>
  <c r="AH17" i="6" s="1"/>
  <c r="AL10" i="6"/>
  <c r="AM10" i="6"/>
  <c r="AN10" i="6"/>
  <c r="AO10" i="6"/>
  <c r="AP10" i="6"/>
  <c r="AP17" i="6" s="1"/>
  <c r="AT10" i="6"/>
  <c r="AU10" i="6"/>
  <c r="AV10" i="6"/>
  <c r="AW10" i="6"/>
  <c r="AX10" i="6"/>
  <c r="AX17" i="6" s="1"/>
  <c r="BB10" i="6"/>
  <c r="BC10" i="6"/>
  <c r="BD10" i="6"/>
  <c r="BE10" i="6"/>
  <c r="BF10" i="6"/>
  <c r="BF17" i="6" s="1"/>
  <c r="J11" i="6"/>
  <c r="K11" i="6"/>
  <c r="L11" i="6"/>
  <c r="M11" i="6"/>
  <c r="N11" i="6"/>
  <c r="N13" i="6" s="1"/>
  <c r="O11" i="6"/>
  <c r="P11" i="6"/>
  <c r="Q11" i="6"/>
  <c r="Q13" i="6" s="1"/>
  <c r="R11" i="6"/>
  <c r="S11" i="6"/>
  <c r="T11" i="6"/>
  <c r="U11" i="6"/>
  <c r="V11" i="6"/>
  <c r="V13" i="6" s="1"/>
  <c r="W11" i="6"/>
  <c r="X11" i="6"/>
  <c r="Y11" i="6"/>
  <c r="Y13" i="6" s="1"/>
  <c r="Z11" i="6"/>
  <c r="AA11" i="6"/>
  <c r="AB11" i="6"/>
  <c r="AC11" i="6"/>
  <c r="AD11" i="6"/>
  <c r="AD13" i="6" s="1"/>
  <c r="AE11" i="6"/>
  <c r="AF11" i="6"/>
  <c r="AG11" i="6"/>
  <c r="AG13" i="6" s="1"/>
  <c r="AH11" i="6"/>
  <c r="AI11" i="6"/>
  <c r="AJ11" i="6"/>
  <c r="AK11" i="6"/>
  <c r="AL11" i="6"/>
  <c r="AL13" i="6" s="1"/>
  <c r="AM11" i="6"/>
  <c r="AN11" i="6"/>
  <c r="AO11" i="6"/>
  <c r="AO13" i="6" s="1"/>
  <c r="AP11" i="6"/>
  <c r="AQ11" i="6"/>
  <c r="AR11" i="6"/>
  <c r="AS11" i="6"/>
  <c r="AT11" i="6"/>
  <c r="AT13" i="6" s="1"/>
  <c r="AU11" i="6"/>
  <c r="AV11" i="6"/>
  <c r="AW11" i="6"/>
  <c r="AW13" i="6" s="1"/>
  <c r="AX11" i="6"/>
  <c r="AY11" i="6"/>
  <c r="AZ11" i="6"/>
  <c r="BA11" i="6"/>
  <c r="BB11" i="6"/>
  <c r="BB13" i="6" s="1"/>
  <c r="BC11" i="6"/>
  <c r="BD11" i="6"/>
  <c r="BE11" i="6"/>
  <c r="BE13" i="6" s="1"/>
  <c r="BF11" i="6"/>
  <c r="J12" i="6"/>
  <c r="K12" i="6"/>
  <c r="L12" i="6"/>
  <c r="M12" i="6"/>
  <c r="N12" i="6"/>
  <c r="O12" i="6"/>
  <c r="P12" i="6"/>
  <c r="P13" i="6" s="1"/>
  <c r="Q12" i="6"/>
  <c r="R12" i="6"/>
  <c r="S12" i="6"/>
  <c r="T12" i="6"/>
  <c r="U12" i="6"/>
  <c r="V12" i="6"/>
  <c r="W12" i="6"/>
  <c r="X12" i="6"/>
  <c r="X13" i="6" s="1"/>
  <c r="Y12" i="6"/>
  <c r="Z12" i="6"/>
  <c r="AA12" i="6"/>
  <c r="AB12" i="6"/>
  <c r="AC12" i="6"/>
  <c r="AD12" i="6"/>
  <c r="AE12" i="6"/>
  <c r="AF12" i="6"/>
  <c r="AF13" i="6" s="1"/>
  <c r="AG12" i="6"/>
  <c r="AH12" i="6"/>
  <c r="AI12" i="6"/>
  <c r="AJ12" i="6"/>
  <c r="AK12" i="6"/>
  <c r="AL12" i="6"/>
  <c r="AM12" i="6"/>
  <c r="AN12" i="6"/>
  <c r="AN13" i="6" s="1"/>
  <c r="AO12" i="6"/>
  <c r="AP12" i="6"/>
  <c r="AQ12" i="6"/>
  <c r="AR12" i="6"/>
  <c r="AS12" i="6"/>
  <c r="AT12" i="6"/>
  <c r="AU12" i="6"/>
  <c r="AV12" i="6"/>
  <c r="AV13" i="6" s="1"/>
  <c r="AW12" i="6"/>
  <c r="AX12" i="6"/>
  <c r="AY12" i="6"/>
  <c r="AZ12" i="6"/>
  <c r="BA12" i="6"/>
  <c r="BB12" i="6"/>
  <c r="BC12" i="6"/>
  <c r="BD12" i="6"/>
  <c r="BD13" i="6" s="1"/>
  <c r="BE12" i="6"/>
  <c r="BF12" i="6"/>
  <c r="J13" i="6"/>
  <c r="K13" i="6"/>
  <c r="L13" i="6"/>
  <c r="M13" i="6"/>
  <c r="O13" i="6"/>
  <c r="R13" i="6"/>
  <c r="S13" i="6"/>
  <c r="T13" i="6"/>
  <c r="U13" i="6"/>
  <c r="W13" i="6"/>
  <c r="Z13" i="6"/>
  <c r="AA13" i="6"/>
  <c r="AB13" i="6"/>
  <c r="AC13" i="6"/>
  <c r="AE13" i="6"/>
  <c r="AH13" i="6"/>
  <c r="AI13" i="6"/>
  <c r="AJ13" i="6"/>
  <c r="AK13" i="6"/>
  <c r="AM13" i="6"/>
  <c r="AP13" i="6"/>
  <c r="AQ13" i="6"/>
  <c r="AR13" i="6"/>
  <c r="AS13" i="6"/>
  <c r="AU13" i="6"/>
  <c r="AX13" i="6"/>
  <c r="AY13" i="6"/>
  <c r="AZ13" i="6"/>
  <c r="BA13" i="6"/>
  <c r="BC13" i="6"/>
  <c r="BF13" i="6"/>
  <c r="J14" i="6"/>
  <c r="K14" i="6"/>
  <c r="K16" i="6" s="1"/>
  <c r="L14" i="6"/>
  <c r="M14" i="6"/>
  <c r="N14" i="6"/>
  <c r="N16" i="6" s="1"/>
  <c r="O14" i="6"/>
  <c r="P14" i="6"/>
  <c r="Q14" i="6"/>
  <c r="R14" i="6"/>
  <c r="S14" i="6"/>
  <c r="S16" i="6" s="1"/>
  <c r="T14" i="6"/>
  <c r="U14" i="6"/>
  <c r="V14" i="6"/>
  <c r="V16" i="6" s="1"/>
  <c r="W14" i="6"/>
  <c r="X14" i="6"/>
  <c r="Y14" i="6"/>
  <c r="Z14" i="6"/>
  <c r="AA14" i="6"/>
  <c r="AA16" i="6" s="1"/>
  <c r="AB14" i="6"/>
  <c r="AC14" i="6"/>
  <c r="AD14" i="6"/>
  <c r="AD16" i="6" s="1"/>
  <c r="AE14" i="6"/>
  <c r="AF14" i="6"/>
  <c r="AG14" i="6"/>
  <c r="AH14" i="6"/>
  <c r="AI14" i="6"/>
  <c r="AI16" i="6" s="1"/>
  <c r="AJ14" i="6"/>
  <c r="AK14" i="6"/>
  <c r="AL14" i="6"/>
  <c r="AL16" i="6" s="1"/>
  <c r="AM14" i="6"/>
  <c r="AN14" i="6"/>
  <c r="AO14" i="6"/>
  <c r="AP14" i="6"/>
  <c r="AQ14" i="6"/>
  <c r="AQ16" i="6" s="1"/>
  <c r="AR14" i="6"/>
  <c r="AS14" i="6"/>
  <c r="AT14" i="6"/>
  <c r="AT16" i="6" s="1"/>
  <c r="AU14" i="6"/>
  <c r="AV14" i="6"/>
  <c r="AW14" i="6"/>
  <c r="AX14" i="6"/>
  <c r="AY14" i="6"/>
  <c r="AY16" i="6" s="1"/>
  <c r="AZ14" i="6"/>
  <c r="BA14" i="6"/>
  <c r="BB14" i="6"/>
  <c r="BB16" i="6" s="1"/>
  <c r="BC14" i="6"/>
  <c r="BD14" i="6"/>
  <c r="BE14" i="6"/>
  <c r="BF14" i="6"/>
  <c r="J15" i="6"/>
  <c r="K15" i="6"/>
  <c r="L15" i="6"/>
  <c r="M15" i="6"/>
  <c r="M16" i="6" s="1"/>
  <c r="N15" i="6"/>
  <c r="O15" i="6"/>
  <c r="P15" i="6"/>
  <c r="Q15" i="6"/>
  <c r="R15" i="6"/>
  <c r="S15" i="6"/>
  <c r="T15" i="6"/>
  <c r="U15" i="6"/>
  <c r="U16" i="6" s="1"/>
  <c r="V15" i="6"/>
  <c r="W15" i="6"/>
  <c r="X15" i="6"/>
  <c r="Y15" i="6"/>
  <c r="Z15" i="6"/>
  <c r="AA15" i="6"/>
  <c r="AB15" i="6"/>
  <c r="AC15" i="6"/>
  <c r="AC16" i="6" s="1"/>
  <c r="AD15" i="6"/>
  <c r="AE15" i="6"/>
  <c r="AF15" i="6"/>
  <c r="AG15" i="6"/>
  <c r="AH15" i="6"/>
  <c r="AI15" i="6"/>
  <c r="AJ15" i="6"/>
  <c r="AK15" i="6"/>
  <c r="AK16" i="6" s="1"/>
  <c r="AL15" i="6"/>
  <c r="AM15" i="6"/>
  <c r="AN15" i="6"/>
  <c r="AO15" i="6"/>
  <c r="AP15" i="6"/>
  <c r="AQ15" i="6"/>
  <c r="AR15" i="6"/>
  <c r="AS15" i="6"/>
  <c r="AS16" i="6" s="1"/>
  <c r="AT15" i="6"/>
  <c r="AU15" i="6"/>
  <c r="AV15" i="6"/>
  <c r="AW15" i="6"/>
  <c r="AX15" i="6"/>
  <c r="AY15" i="6"/>
  <c r="AZ15" i="6"/>
  <c r="BA15" i="6"/>
  <c r="BA16" i="6" s="1"/>
  <c r="BB15" i="6"/>
  <c r="BC15" i="6"/>
  <c r="BD15" i="6"/>
  <c r="BE15" i="6"/>
  <c r="BF15" i="6"/>
  <c r="J16" i="6"/>
  <c r="L16" i="6"/>
  <c r="O16" i="6"/>
  <c r="P16" i="6"/>
  <c r="Q16" i="6"/>
  <c r="R16" i="6"/>
  <c r="T16" i="6"/>
  <c r="W16" i="6"/>
  <c r="X16" i="6"/>
  <c r="Y16" i="6"/>
  <c r="Z16" i="6"/>
  <c r="AB16" i="6"/>
  <c r="AE16" i="6"/>
  <c r="AF16" i="6"/>
  <c r="AG16" i="6"/>
  <c r="AH16" i="6"/>
  <c r="AJ16" i="6"/>
  <c r="AM16" i="6"/>
  <c r="AN16" i="6"/>
  <c r="AO16" i="6"/>
  <c r="AP16" i="6"/>
  <c r="AR16" i="6"/>
  <c r="AU16" i="6"/>
  <c r="AV16" i="6"/>
  <c r="AW16" i="6"/>
  <c r="AX16" i="6"/>
  <c r="AZ16" i="6"/>
  <c r="BC16" i="6"/>
  <c r="BD16" i="6"/>
  <c r="BE16" i="6"/>
  <c r="BF16" i="6"/>
  <c r="I30" i="6"/>
  <c r="B31" i="6"/>
  <c r="B28" i="6"/>
  <c r="B24" i="6"/>
  <c r="B20" i="6"/>
  <c r="B14" i="6"/>
  <c r="B11" i="6"/>
  <c r="B7" i="6"/>
  <c r="B3" i="6"/>
  <c r="I23" i="6"/>
  <c r="S11" i="2"/>
  <c r="AH11" i="2"/>
  <c r="AC7" i="2" a="1"/>
  <c r="AC7" i="2" s="1"/>
  <c r="BY35" i="13" l="1"/>
  <c r="BQ35" i="13"/>
  <c r="AS35" i="13"/>
  <c r="AK35" i="13"/>
  <c r="BD34" i="6"/>
  <c r="P34" i="6"/>
  <c r="Q34" i="6"/>
  <c r="AS34" i="6"/>
  <c r="AC34" i="6"/>
  <c r="M34" i="6"/>
  <c r="AN34" i="6"/>
  <c r="AO34" i="6"/>
  <c r="AK34" i="6"/>
  <c r="U34" i="6"/>
  <c r="BE34" i="6"/>
  <c r="AW34" i="6"/>
  <c r="BA34" i="6"/>
  <c r="BB34" i="6"/>
  <c r="AL34" i="6"/>
  <c r="V34" i="6"/>
  <c r="AV34" i="6"/>
  <c r="X34" i="6"/>
  <c r="Y34" i="6"/>
  <c r="AF34" i="6"/>
  <c r="AG34" i="6"/>
  <c r="AF17" i="6"/>
  <c r="X17" i="6"/>
  <c r="P17" i="6"/>
  <c r="BE17" i="6"/>
  <c r="AW17" i="6"/>
  <c r="AO17" i="6"/>
  <c r="AG17" i="6"/>
  <c r="Y17" i="6"/>
  <c r="Q17" i="6"/>
  <c r="N17" i="6"/>
  <c r="AD17" i="6"/>
  <c r="BB17" i="6"/>
  <c r="AL17" i="6"/>
  <c r="AY17" i="6"/>
  <c r="AI17" i="6"/>
  <c r="S17" i="6"/>
  <c r="K17" i="6"/>
  <c r="BA17" i="6"/>
  <c r="AS17" i="6"/>
  <c r="AK17" i="6"/>
  <c r="V17" i="6"/>
  <c r="AQ17" i="6"/>
  <c r="AA17" i="6"/>
  <c r="DP17" i="13" a="1"/>
  <c r="DP17" i="13" s="1"/>
  <c r="DP16" i="13" a="1"/>
  <c r="DP16" i="13" s="1"/>
  <c r="DP15" i="13" a="1"/>
  <c r="DP15" i="13" s="1"/>
  <c r="DP14" i="13" a="1"/>
  <c r="DP14" i="13" s="1"/>
  <c r="DP13" i="13" a="1"/>
  <c r="DP13" i="13" s="1"/>
  <c r="DP12" i="13" a="1"/>
  <c r="DP12" i="13" s="1"/>
  <c r="DP10" i="13" a="1"/>
  <c r="DP10" i="13" s="1"/>
  <c r="DP9" i="13" a="1"/>
  <c r="DP9" i="13" s="1"/>
  <c r="DP6" i="13" a="1"/>
  <c r="DP6" i="13" s="1"/>
  <c r="DP5" i="13" a="1"/>
  <c r="DP5" i="13" s="1"/>
  <c r="DO17" i="13" a="1"/>
  <c r="DO17" i="13" s="1"/>
  <c r="DN17" i="13" a="1"/>
  <c r="DN17" i="13" s="1"/>
  <c r="DO16" i="13" a="1"/>
  <c r="DO16" i="13" s="1"/>
  <c r="DN16" i="13" a="1"/>
  <c r="DN16" i="13" s="1"/>
  <c r="DO15" i="13" a="1"/>
  <c r="DO15" i="13" s="1"/>
  <c r="DN15" i="13" a="1"/>
  <c r="DN15" i="13" s="1"/>
  <c r="DO14" i="13" a="1"/>
  <c r="DO14" i="13" s="1"/>
  <c r="DN14" i="13" a="1"/>
  <c r="DN14" i="13" s="1"/>
  <c r="DO13" i="13" a="1"/>
  <c r="DO13" i="13" s="1"/>
  <c r="DN13" i="13" a="1"/>
  <c r="DN13" i="13" s="1"/>
  <c r="DO12" i="13" a="1"/>
  <c r="DO12" i="13" s="1"/>
  <c r="DN12" i="13" a="1"/>
  <c r="DN12" i="13" s="1"/>
  <c r="DO10" i="13" a="1"/>
  <c r="DO10" i="13" s="1"/>
  <c r="DN10" i="13" a="1"/>
  <c r="DN10" i="13" s="1"/>
  <c r="DO9" i="13" a="1"/>
  <c r="DO9" i="13" s="1"/>
  <c r="DN9" i="13" a="1"/>
  <c r="DN9" i="13" s="1"/>
  <c r="DO6" i="13" a="1"/>
  <c r="DO6" i="13" s="1"/>
  <c r="DN6" i="13" a="1"/>
  <c r="DN6" i="13" s="1"/>
  <c r="DO5" i="13" a="1"/>
  <c r="DO5" i="13" s="1"/>
  <c r="DN5" i="13" a="1"/>
  <c r="DN5" i="13" s="1"/>
  <c r="DM17" i="13" a="1"/>
  <c r="DM17" i="13" s="1"/>
  <c r="DL17" i="13" a="1"/>
  <c r="DL17" i="13" s="1"/>
  <c r="DK17" i="13" a="1"/>
  <c r="DK17" i="13" s="1"/>
  <c r="DM16" i="13" a="1"/>
  <c r="DM16" i="13" s="1"/>
  <c r="DL16" i="13" a="1"/>
  <c r="DL16" i="13" s="1"/>
  <c r="DK16" i="13" a="1"/>
  <c r="DK16" i="13" s="1"/>
  <c r="DM15" i="13" a="1"/>
  <c r="DM15" i="13" s="1"/>
  <c r="DL15" i="13" a="1"/>
  <c r="DL15" i="13" s="1"/>
  <c r="DK15" i="13" a="1"/>
  <c r="DK15" i="13" s="1"/>
  <c r="DM14" i="13" a="1"/>
  <c r="DM14" i="13" s="1"/>
  <c r="DL14" i="13" a="1"/>
  <c r="DL14" i="13" s="1"/>
  <c r="DK14" i="13" a="1"/>
  <c r="DK14" i="13" s="1"/>
  <c r="DM13" i="13" a="1"/>
  <c r="DM13" i="13" s="1"/>
  <c r="DL13" i="13" a="1"/>
  <c r="DL13" i="13" s="1"/>
  <c r="DK13" i="13" a="1"/>
  <c r="DK13" i="13" s="1"/>
  <c r="DM12" i="13" a="1"/>
  <c r="DM12" i="13" s="1"/>
  <c r="DL12" i="13"/>
  <c r="DL12" i="13" a="1"/>
  <c r="DK12" i="13" a="1"/>
  <c r="DK12" i="13" s="1"/>
  <c r="DM10" i="13" a="1"/>
  <c r="DM10" i="13" s="1"/>
  <c r="DL10" i="13" a="1"/>
  <c r="DL10" i="13" s="1"/>
  <c r="DK10" i="13" a="1"/>
  <c r="DK10" i="13" s="1"/>
  <c r="DM9" i="13" a="1"/>
  <c r="DM9" i="13" s="1"/>
  <c r="DL9" i="13" a="1"/>
  <c r="DL9" i="13" s="1"/>
  <c r="DK9" i="13" a="1"/>
  <c r="DK9" i="13" s="1"/>
  <c r="DM6" i="13" a="1"/>
  <c r="DM6" i="13" s="1"/>
  <c r="DL6" i="13" a="1"/>
  <c r="DL6" i="13" s="1"/>
  <c r="DK6" i="13" a="1"/>
  <c r="DK6" i="13" s="1"/>
  <c r="DM5" i="13" a="1"/>
  <c r="DM5" i="13" s="1"/>
  <c r="DL5" i="13" a="1"/>
  <c r="DL5" i="13" s="1"/>
  <c r="DK5" i="13" a="1"/>
  <c r="DK5" i="13" s="1"/>
  <c r="DJ17" i="13" a="1"/>
  <c r="DJ17" i="13" s="1"/>
  <c r="DI17" i="13" a="1"/>
  <c r="DI17" i="13" s="1"/>
  <c r="DH17" i="13" a="1"/>
  <c r="DH17" i="13" s="1"/>
  <c r="DG17" i="13" a="1"/>
  <c r="DG17" i="13" s="1"/>
  <c r="DF17" i="13" a="1"/>
  <c r="DF17" i="13" s="1"/>
  <c r="DE17" i="13" a="1"/>
  <c r="DE17" i="13" s="1"/>
  <c r="DD17" i="13" a="1"/>
  <c r="DD17" i="13" s="1"/>
  <c r="DC17" i="13" a="1"/>
  <c r="DC17" i="13" s="1"/>
  <c r="DB17" i="13" a="1"/>
  <c r="DB17" i="13" s="1"/>
  <c r="DA17" i="13" a="1"/>
  <c r="DA17" i="13" s="1"/>
  <c r="DJ16" i="13" a="1"/>
  <c r="DJ16" i="13" s="1"/>
  <c r="DI16" i="13" a="1"/>
  <c r="DI16" i="13" s="1"/>
  <c r="DH16" i="13" a="1"/>
  <c r="DH16" i="13" s="1"/>
  <c r="DG16" i="13" a="1"/>
  <c r="DG16" i="13" s="1"/>
  <c r="DF16" i="13" a="1"/>
  <c r="DF16" i="13" s="1"/>
  <c r="DE16" i="13" a="1"/>
  <c r="DE16" i="13" s="1"/>
  <c r="DD16" i="13" a="1"/>
  <c r="DD16" i="13" s="1"/>
  <c r="DC16" i="13" a="1"/>
  <c r="DC16" i="13" s="1"/>
  <c r="DB16" i="13" a="1"/>
  <c r="DB16" i="13" s="1"/>
  <c r="DA16" i="13" a="1"/>
  <c r="DA16" i="13" s="1"/>
  <c r="DJ15" i="13" a="1"/>
  <c r="DJ15" i="13" s="1"/>
  <c r="DI15" i="13" a="1"/>
  <c r="DI15" i="13" s="1"/>
  <c r="DH15" i="13" a="1"/>
  <c r="DH15" i="13" s="1"/>
  <c r="DG15" i="13" a="1"/>
  <c r="DG15" i="13" s="1"/>
  <c r="DF15" i="13" a="1"/>
  <c r="DF15" i="13" s="1"/>
  <c r="DE15" i="13" a="1"/>
  <c r="DE15" i="13" s="1"/>
  <c r="DD15" i="13" a="1"/>
  <c r="DD15" i="13" s="1"/>
  <c r="DC15" i="13" a="1"/>
  <c r="DC15" i="13" s="1"/>
  <c r="DB15" i="13" a="1"/>
  <c r="DB15" i="13" s="1"/>
  <c r="DA15" i="13" a="1"/>
  <c r="DA15" i="13" s="1"/>
  <c r="DJ14" i="13" a="1"/>
  <c r="DJ14" i="13" s="1"/>
  <c r="DI14" i="13" a="1"/>
  <c r="DI14" i="13" s="1"/>
  <c r="DH14" i="13" a="1"/>
  <c r="DH14" i="13" s="1"/>
  <c r="DG14" i="13" a="1"/>
  <c r="DG14" i="13" s="1"/>
  <c r="DF14" i="13" a="1"/>
  <c r="DF14" i="13" s="1"/>
  <c r="DE14" i="13" a="1"/>
  <c r="DE14" i="13" s="1"/>
  <c r="DD14" i="13" a="1"/>
  <c r="DD14" i="13" s="1"/>
  <c r="DC14" i="13" a="1"/>
  <c r="DC14" i="13" s="1"/>
  <c r="DB14" i="13" a="1"/>
  <c r="DB14" i="13" s="1"/>
  <c r="DA14" i="13" a="1"/>
  <c r="DA14" i="13" s="1"/>
  <c r="DJ13" i="13" a="1"/>
  <c r="DJ13" i="13" s="1"/>
  <c r="DI13" i="13" a="1"/>
  <c r="DI13" i="13" s="1"/>
  <c r="DH13" i="13" a="1"/>
  <c r="DH13" i="13" s="1"/>
  <c r="DG13" i="13" a="1"/>
  <c r="DG13" i="13" s="1"/>
  <c r="DF13" i="13" a="1"/>
  <c r="DF13" i="13" s="1"/>
  <c r="DE13" i="13" a="1"/>
  <c r="DE13" i="13" s="1"/>
  <c r="DD13" i="13" a="1"/>
  <c r="DD13" i="13" s="1"/>
  <c r="DC13" i="13" a="1"/>
  <c r="DC13" i="13" s="1"/>
  <c r="DB13" i="13" a="1"/>
  <c r="DB13" i="13" s="1"/>
  <c r="DA13" i="13" a="1"/>
  <c r="DA13" i="13" s="1"/>
  <c r="DJ12" i="13" a="1"/>
  <c r="DJ12" i="13" s="1"/>
  <c r="DI12" i="13" a="1"/>
  <c r="DI12" i="13" s="1"/>
  <c r="DH12" i="13" a="1"/>
  <c r="DH12" i="13" s="1"/>
  <c r="DG12" i="13" a="1"/>
  <c r="DG12" i="13" s="1"/>
  <c r="DF12" i="13" a="1"/>
  <c r="DF12" i="13" s="1"/>
  <c r="DE12" i="13" a="1"/>
  <c r="DE12" i="13" s="1"/>
  <c r="DD12" i="13" a="1"/>
  <c r="DD12" i="13" s="1"/>
  <c r="DC12" i="13" a="1"/>
  <c r="DC12" i="13" s="1"/>
  <c r="DB12" i="13" a="1"/>
  <c r="DB12" i="13" s="1"/>
  <c r="DA12" i="13" a="1"/>
  <c r="DA12" i="13" s="1"/>
  <c r="DJ10" i="13" a="1"/>
  <c r="DJ10" i="13" s="1"/>
  <c r="DI10" i="13" a="1"/>
  <c r="DI10" i="13" s="1"/>
  <c r="DH10" i="13" a="1"/>
  <c r="DH10" i="13" s="1"/>
  <c r="DG10" i="13" a="1"/>
  <c r="DG10" i="13" s="1"/>
  <c r="DF10" i="13" a="1"/>
  <c r="DF10" i="13" s="1"/>
  <c r="DE10" i="13" a="1"/>
  <c r="DE10" i="13" s="1"/>
  <c r="DD10" i="13" a="1"/>
  <c r="DD10" i="13" s="1"/>
  <c r="DC10" i="13" a="1"/>
  <c r="DC10" i="13" s="1"/>
  <c r="DB10" i="13" a="1"/>
  <c r="DB10" i="13" s="1"/>
  <c r="DA10" i="13" a="1"/>
  <c r="DA10" i="13" s="1"/>
  <c r="DJ9" i="13" a="1"/>
  <c r="DJ9" i="13" s="1"/>
  <c r="DI9" i="13" a="1"/>
  <c r="DI9" i="13" s="1"/>
  <c r="DH9" i="13" a="1"/>
  <c r="DH9" i="13" s="1"/>
  <c r="DG9" i="13" a="1"/>
  <c r="DG9" i="13" s="1"/>
  <c r="DF9" i="13" a="1"/>
  <c r="DF9" i="13" s="1"/>
  <c r="DE9" i="13" a="1"/>
  <c r="DE9" i="13" s="1"/>
  <c r="DD9" i="13" a="1"/>
  <c r="DD9" i="13" s="1"/>
  <c r="DC9" i="13" a="1"/>
  <c r="DC9" i="13" s="1"/>
  <c r="DB9" i="13" a="1"/>
  <c r="DB9" i="13" s="1"/>
  <c r="DA9" i="13" a="1"/>
  <c r="DA9" i="13" s="1"/>
  <c r="DJ6" i="13" a="1"/>
  <c r="DJ6" i="13" s="1"/>
  <c r="DI6" i="13" a="1"/>
  <c r="DI6" i="13" s="1"/>
  <c r="DH6" i="13" a="1"/>
  <c r="DH6" i="13" s="1"/>
  <c r="DG6" i="13" a="1"/>
  <c r="DG6" i="13" s="1"/>
  <c r="DF6" i="13" a="1"/>
  <c r="DF6" i="13" s="1"/>
  <c r="DE6" i="13" a="1"/>
  <c r="DE6" i="13" s="1"/>
  <c r="DD6" i="13" a="1"/>
  <c r="DD6" i="13" s="1"/>
  <c r="DC6" i="13" a="1"/>
  <c r="DC6" i="13" s="1"/>
  <c r="DB6" i="13" a="1"/>
  <c r="DB6" i="13" s="1"/>
  <c r="DA6" i="13" a="1"/>
  <c r="DA6" i="13" s="1"/>
  <c r="DJ5" i="13" a="1"/>
  <c r="DJ5" i="13" s="1"/>
  <c r="DI5" i="13" a="1"/>
  <c r="DI5" i="13" s="1"/>
  <c r="DH5" i="13" a="1"/>
  <c r="DH5" i="13" s="1"/>
  <c r="DG5" i="13" a="1"/>
  <c r="DG5" i="13" s="1"/>
  <c r="DF5" i="13" a="1"/>
  <c r="DF5" i="13" s="1"/>
  <c r="DE5" i="13" a="1"/>
  <c r="DE5" i="13" s="1"/>
  <c r="DD5" i="13" a="1"/>
  <c r="DD5" i="13" s="1"/>
  <c r="DC5" i="13" a="1"/>
  <c r="DC5" i="13" s="1"/>
  <c r="DB5" i="13" a="1"/>
  <c r="DB5" i="13" s="1"/>
  <c r="DA5" i="13" a="1"/>
  <c r="DA5" i="13" s="1"/>
  <c r="X2" i="13" l="1"/>
  <c r="Y2" i="13"/>
  <c r="Z2" i="13"/>
  <c r="AA2" i="13"/>
  <c r="AB2" i="13"/>
  <c r="AC2" i="13"/>
  <c r="AD2" i="13"/>
  <c r="AE2" i="13"/>
  <c r="AF2" i="13"/>
  <c r="AG2" i="13"/>
  <c r="AH2" i="13"/>
  <c r="AI2" i="13"/>
  <c r="AJ2" i="13"/>
  <c r="AK2" i="13"/>
  <c r="AL2" i="13"/>
  <c r="AM2" i="13"/>
  <c r="AN2" i="13"/>
  <c r="AO2" i="13"/>
  <c r="AP2" i="13"/>
  <c r="AQ2" i="13"/>
  <c r="AR2" i="13"/>
  <c r="AS2" i="13"/>
  <c r="AT2" i="13"/>
  <c r="AU2" i="13"/>
  <c r="AV2" i="13"/>
  <c r="AW2" i="13"/>
  <c r="AX2" i="13"/>
  <c r="AY2" i="13"/>
  <c r="AZ2" i="13"/>
  <c r="BA2" i="13"/>
  <c r="BB2" i="13"/>
  <c r="BC2" i="13"/>
  <c r="BD2" i="13"/>
  <c r="BE2" i="13"/>
  <c r="BF2" i="13"/>
  <c r="BG2" i="13"/>
  <c r="BH2" i="13"/>
  <c r="BI2" i="13"/>
  <c r="BJ2" i="13"/>
  <c r="BK2" i="13"/>
  <c r="BL2" i="13"/>
  <c r="BM2" i="13"/>
  <c r="BN2" i="13"/>
  <c r="BO2" i="13"/>
  <c r="BP2" i="13"/>
  <c r="BQ2" i="13"/>
  <c r="BR2" i="13"/>
  <c r="BS2" i="13"/>
  <c r="BT2" i="13"/>
  <c r="BU2" i="13"/>
  <c r="BV2" i="13"/>
  <c r="BW2" i="13"/>
  <c r="BX2" i="13"/>
  <c r="BY2" i="13"/>
  <c r="BZ2" i="13"/>
  <c r="CA2" i="13"/>
  <c r="CB2" i="13"/>
  <c r="CC2" i="13"/>
  <c r="CD2" i="13"/>
  <c r="CE2" i="13"/>
  <c r="CF2" i="13"/>
  <c r="CG2" i="13"/>
  <c r="CH2" i="13"/>
  <c r="CI2" i="13"/>
  <c r="CJ2" i="13"/>
  <c r="CK2" i="13"/>
  <c r="CL2" i="13"/>
  <c r="CM2" i="13"/>
  <c r="CN2" i="13"/>
  <c r="CO2" i="13"/>
  <c r="CP2" i="13"/>
  <c r="CQ2" i="13"/>
  <c r="CR2" i="13"/>
  <c r="CS2" i="13"/>
  <c r="CT2" i="13"/>
  <c r="CU2" i="13"/>
  <c r="CV2" i="13"/>
  <c r="CW2" i="13"/>
  <c r="CX2" i="13"/>
  <c r="X3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AL3" i="13"/>
  <c r="AM3" i="13"/>
  <c r="AN3" i="13"/>
  <c r="AO3" i="13"/>
  <c r="AP3" i="13"/>
  <c r="AQ3" i="13"/>
  <c r="AR3" i="13"/>
  <c r="AS3" i="13"/>
  <c r="AT3" i="13"/>
  <c r="AU3" i="13"/>
  <c r="AV3" i="13"/>
  <c r="AW3" i="13"/>
  <c r="AX3" i="13"/>
  <c r="AY3" i="13"/>
  <c r="AZ3" i="13"/>
  <c r="BA3" i="13"/>
  <c r="BB3" i="13"/>
  <c r="BC3" i="13"/>
  <c r="BD3" i="13"/>
  <c r="BE3" i="13"/>
  <c r="BF3" i="13"/>
  <c r="BG3" i="13"/>
  <c r="BH3" i="13"/>
  <c r="BI3" i="13"/>
  <c r="BJ3" i="13"/>
  <c r="BK3" i="13"/>
  <c r="BL3" i="13"/>
  <c r="BM3" i="13"/>
  <c r="BN3" i="13"/>
  <c r="BO3" i="13"/>
  <c r="BP3" i="13"/>
  <c r="BQ3" i="13"/>
  <c r="BR3" i="13"/>
  <c r="BS3" i="13"/>
  <c r="BT3" i="13"/>
  <c r="BU3" i="13"/>
  <c r="BV3" i="13"/>
  <c r="BW3" i="13"/>
  <c r="BX3" i="13"/>
  <c r="BY3" i="13"/>
  <c r="BZ3" i="13"/>
  <c r="CA3" i="13"/>
  <c r="CB3" i="13"/>
  <c r="CC3" i="13"/>
  <c r="CD3" i="13"/>
  <c r="CE3" i="13"/>
  <c r="CF3" i="13"/>
  <c r="CG3" i="13"/>
  <c r="CH3" i="13"/>
  <c r="CI3" i="13"/>
  <c r="CJ3" i="13"/>
  <c r="CK3" i="13"/>
  <c r="CL3" i="13"/>
  <c r="CM3" i="13"/>
  <c r="CN3" i="13"/>
  <c r="CO3" i="13"/>
  <c r="CP3" i="13"/>
  <c r="CQ3" i="13"/>
  <c r="CR3" i="13"/>
  <c r="CS3" i="13"/>
  <c r="CT3" i="13"/>
  <c r="CU3" i="13"/>
  <c r="CV3" i="13"/>
  <c r="CW3" i="13"/>
  <c r="CX3" i="13"/>
  <c r="W3" i="13"/>
  <c r="W2" i="13"/>
  <c r="DG23" i="12"/>
  <c r="DF23" i="12"/>
  <c r="DE23" i="12"/>
  <c r="DD23" i="12"/>
  <c r="DC23" i="12"/>
  <c r="DB23" i="12"/>
  <c r="DA23" i="12"/>
  <c r="CZ23" i="12"/>
  <c r="CY23" i="12"/>
  <c r="CX23" i="12"/>
  <c r="CW23" i="12"/>
  <c r="CV23" i="12"/>
  <c r="CU23" i="12"/>
  <c r="CT23" i="12"/>
  <c r="CS23" i="12"/>
  <c r="CR23" i="12"/>
  <c r="CQ23" i="12"/>
  <c r="CP23" i="12"/>
  <c r="CO23" i="12"/>
  <c r="CN23" i="12"/>
  <c r="CM23" i="12"/>
  <c r="CL23" i="12"/>
  <c r="CK23" i="12"/>
  <c r="CJ23" i="12"/>
  <c r="CI23" i="12"/>
  <c r="CH23" i="12"/>
  <c r="CG23" i="12"/>
  <c r="CF23" i="12"/>
  <c r="CE23" i="12"/>
  <c r="CD23" i="12"/>
  <c r="CC23" i="12"/>
  <c r="CB23" i="12"/>
  <c r="CA23" i="12"/>
  <c r="BZ23" i="12"/>
  <c r="BY23" i="12"/>
  <c r="BX23" i="12"/>
  <c r="BW23" i="12"/>
  <c r="BV23" i="12"/>
  <c r="BU23" i="12"/>
  <c r="BT23" i="12"/>
  <c r="BS23" i="12"/>
  <c r="BR23" i="12"/>
  <c r="BQ23" i="12"/>
  <c r="BP23" i="12"/>
  <c r="BO23" i="12"/>
  <c r="BN23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AS23" i="12"/>
  <c r="AR23" i="12"/>
  <c r="AQ23" i="12"/>
  <c r="AP23" i="12"/>
  <c r="AO23" i="12"/>
  <c r="AN23" i="12"/>
  <c r="AM23" i="12"/>
  <c r="AL23" i="12"/>
  <c r="AK23" i="12"/>
  <c r="AJ23" i="12"/>
  <c r="AI23" i="12"/>
  <c r="AH23" i="12"/>
  <c r="AG23" i="12"/>
  <c r="AF23" i="12"/>
  <c r="W36" i="13" s="1"/>
  <c r="W32" i="13" l="1"/>
  <c r="W15" i="13"/>
  <c r="W30" i="13"/>
  <c r="W29" i="13"/>
  <c r="BT32" i="4"/>
  <c r="BS32" i="4"/>
  <c r="BR32" i="4"/>
  <c r="BQ32" i="4"/>
  <c r="BP32" i="4"/>
  <c r="BO32" i="4"/>
  <c r="BN32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BT15" i="4"/>
  <c r="BS15" i="4"/>
  <c r="BR15" i="4"/>
  <c r="BQ15" i="4"/>
  <c r="BP15" i="4"/>
  <c r="BO15" i="4"/>
  <c r="BN15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BT30" i="4"/>
  <c r="BS30" i="4"/>
  <c r="BR30" i="4"/>
  <c r="BQ30" i="4"/>
  <c r="BP30" i="4"/>
  <c r="BO30" i="4"/>
  <c r="BN30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BT29" i="4"/>
  <c r="BS29" i="4"/>
  <c r="BR29" i="4"/>
  <c r="BQ29" i="4"/>
  <c r="BP29" i="4"/>
  <c r="BO29" i="4"/>
  <c r="BN29" i="4"/>
  <c r="BM29" i="4"/>
  <c r="BL29" i="4"/>
  <c r="BK29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W13" i="4"/>
  <c r="W12" i="4"/>
  <c r="CY29" i="14" l="1"/>
  <c r="CW12" i="14"/>
  <c r="CX12" i="14"/>
  <c r="CY12" i="14"/>
  <c r="CW13" i="14"/>
  <c r="CX13" i="14"/>
  <c r="CY13" i="14"/>
  <c r="CW29" i="14"/>
  <c r="CX29" i="14"/>
  <c r="CW30" i="14"/>
  <c r="CY30" i="14"/>
  <c r="CX32" i="14"/>
  <c r="CW33" i="14"/>
  <c r="CY33" i="14"/>
  <c r="CX15" i="14"/>
  <c r="CW16" i="14"/>
  <c r="CX16" i="14"/>
  <c r="CY16" i="14"/>
  <c r="CW14" i="14" l="1"/>
  <c r="CY31" i="14"/>
  <c r="CX17" i="14"/>
  <c r="CX14" i="14"/>
  <c r="CW15" i="14"/>
  <c r="CW17" i="14" s="1"/>
  <c r="CW31" i="14"/>
  <c r="CX33" i="14"/>
  <c r="CX34" i="14" s="1"/>
  <c r="CY14" i="14"/>
  <c r="CY32" i="14"/>
  <c r="CY34" i="14" s="1"/>
  <c r="CW32" i="14"/>
  <c r="CW34" i="14" s="1"/>
  <c r="CX30" i="14"/>
  <c r="CX31" i="14" s="1"/>
  <c r="CY15" i="14"/>
  <c r="CY17" i="14" s="1"/>
  <c r="A31" i="6"/>
  <c r="A28" i="6"/>
  <c r="A24" i="6"/>
  <c r="A20" i="6"/>
  <c r="A14" i="6"/>
  <c r="A11" i="6"/>
  <c r="A7" i="6"/>
  <c r="A3" i="6"/>
  <c r="U36" i="12"/>
  <c r="I33" i="13" s="1"/>
  <c r="U35" i="12"/>
  <c r="I32" i="13" s="1"/>
  <c r="U33" i="12"/>
  <c r="I30" i="13" s="1"/>
  <c r="U32" i="12"/>
  <c r="I29" i="13" s="1"/>
  <c r="U30" i="12"/>
  <c r="I27" i="13" s="1"/>
  <c r="U29" i="12"/>
  <c r="I26" i="13" s="1"/>
  <c r="U28" i="12"/>
  <c r="I25" i="13" s="1"/>
  <c r="U26" i="12"/>
  <c r="I23" i="13" s="1"/>
  <c r="U25" i="12"/>
  <c r="I22" i="13" s="1"/>
  <c r="U24" i="12"/>
  <c r="I21" i="13" s="1"/>
  <c r="U19" i="12"/>
  <c r="I16" i="13" s="1"/>
  <c r="U18" i="12"/>
  <c r="I15" i="13" s="1"/>
  <c r="U16" i="12"/>
  <c r="I13" i="13" s="1"/>
  <c r="U15" i="12"/>
  <c r="I12" i="13" s="1"/>
  <c r="U13" i="12"/>
  <c r="I10" i="13" s="1"/>
  <c r="U12" i="12"/>
  <c r="I9" i="13" s="1"/>
  <c r="U11" i="12"/>
  <c r="I8" i="13" s="1"/>
  <c r="U9" i="12"/>
  <c r="I6" i="13" s="1"/>
  <c r="U8" i="12"/>
  <c r="I5" i="13" s="1"/>
  <c r="U7" i="12"/>
  <c r="I4" i="13" s="1"/>
  <c r="S36" i="2"/>
  <c r="S35" i="2"/>
  <c r="S33" i="2"/>
  <c r="S32" i="2"/>
  <c r="S30" i="2"/>
  <c r="S29" i="2"/>
  <c r="S28" i="2"/>
  <c r="S26" i="2"/>
  <c r="S25" i="2"/>
  <c r="S24" i="2"/>
  <c r="S19" i="2"/>
  <c r="S18" i="2"/>
  <c r="S16" i="2"/>
  <c r="S15" i="2"/>
  <c r="S13" i="2"/>
  <c r="S12" i="2"/>
  <c r="S8" i="2"/>
  <c r="S9" i="2"/>
  <c r="J3" i="18" l="1"/>
  <c r="I3" i="18"/>
  <c r="H3" i="18"/>
  <c r="DG2" i="12"/>
  <c r="CJ3" i="14" s="1"/>
  <c r="DF2" i="12"/>
  <c r="CI3" i="14" s="1"/>
  <c r="DE2" i="12"/>
  <c r="CH3" i="14" s="1"/>
  <c r="DD2" i="12"/>
  <c r="CG3" i="14" s="1"/>
  <c r="DC2" i="12"/>
  <c r="CF3" i="14" s="1"/>
  <c r="DB2" i="12"/>
  <c r="CE3" i="14" s="1"/>
  <c r="DA2" i="12"/>
  <c r="CD3" i="14" s="1"/>
  <c r="CZ2" i="12"/>
  <c r="CC3" i="14" s="1"/>
  <c r="CY2" i="12"/>
  <c r="CB3" i="14" s="1"/>
  <c r="CX2" i="12"/>
  <c r="CA3" i="14" s="1"/>
  <c r="CW2" i="12"/>
  <c r="BZ3" i="14" s="1"/>
  <c r="CV2" i="12"/>
  <c r="BY3" i="14" s="1"/>
  <c r="CU2" i="12"/>
  <c r="BX3" i="14" s="1"/>
  <c r="CT2" i="12"/>
  <c r="BW3" i="14" s="1"/>
  <c r="CS2" i="12"/>
  <c r="BV3" i="14" s="1"/>
  <c r="CR2" i="12"/>
  <c r="BU3" i="14" s="1"/>
  <c r="CQ2" i="12"/>
  <c r="BT3" i="14" s="1"/>
  <c r="CP2" i="12"/>
  <c r="BS3" i="14" s="1"/>
  <c r="CO2" i="12"/>
  <c r="BR3" i="14" s="1"/>
  <c r="CN2" i="12"/>
  <c r="BQ3" i="14" s="1"/>
  <c r="CM2" i="12"/>
  <c r="BP3" i="14" s="1"/>
  <c r="CL2" i="12"/>
  <c r="BO3" i="14" s="1"/>
  <c r="CK2" i="12"/>
  <c r="BN3" i="14" s="1"/>
  <c r="CJ2" i="12"/>
  <c r="BM3" i="14" s="1"/>
  <c r="CI2" i="12"/>
  <c r="BL3" i="14" s="1"/>
  <c r="CH2" i="12"/>
  <c r="BK3" i="14" s="1"/>
  <c r="CG2" i="12"/>
  <c r="BJ3" i="14" s="1"/>
  <c r="CF2" i="12"/>
  <c r="BI3" i="14" s="1"/>
  <c r="CE2" i="12"/>
  <c r="BH3" i="14" s="1"/>
  <c r="CD2" i="12"/>
  <c r="BG3" i="14" s="1"/>
  <c r="CC2" i="12"/>
  <c r="BF3" i="14" s="1"/>
  <c r="CB2" i="12"/>
  <c r="BE3" i="14" s="1"/>
  <c r="CA2" i="12"/>
  <c r="BD3" i="14" s="1"/>
  <c r="BZ2" i="12"/>
  <c r="BC3" i="14" s="1"/>
  <c r="BY2" i="12"/>
  <c r="BB3" i="14" s="1"/>
  <c r="BX2" i="12"/>
  <c r="BA3" i="14" s="1"/>
  <c r="BW2" i="12"/>
  <c r="AZ3" i="14" s="1"/>
  <c r="BV2" i="12"/>
  <c r="AY3" i="14" s="1"/>
  <c r="BU2" i="12"/>
  <c r="AX3" i="14" s="1"/>
  <c r="BT2" i="12"/>
  <c r="AW3" i="14" s="1"/>
  <c r="BS2" i="12"/>
  <c r="AV3" i="14" s="1"/>
  <c r="BR2" i="12"/>
  <c r="AU3" i="14" s="1"/>
  <c r="BQ2" i="12"/>
  <c r="AT3" i="14" s="1"/>
  <c r="BP2" i="12"/>
  <c r="AS3" i="14" s="1"/>
  <c r="BO2" i="12"/>
  <c r="AR3" i="14" s="1"/>
  <c r="BN2" i="12"/>
  <c r="AQ3" i="14" s="1"/>
  <c r="BM2" i="12"/>
  <c r="AP3" i="14" s="1"/>
  <c r="BL2" i="12"/>
  <c r="AO3" i="14" s="1"/>
  <c r="BK2" i="12"/>
  <c r="AN3" i="14" s="1"/>
  <c r="BJ2" i="12"/>
  <c r="AM3" i="14" s="1"/>
  <c r="BI2" i="12"/>
  <c r="AL3" i="14" s="1"/>
  <c r="BH2" i="12"/>
  <c r="AK3" i="14" s="1"/>
  <c r="BG2" i="12"/>
  <c r="AJ3" i="14" s="1"/>
  <c r="BF2" i="12"/>
  <c r="AI3" i="14" s="1"/>
  <c r="BE2" i="12"/>
  <c r="AH3" i="14" s="1"/>
  <c r="BD2" i="12"/>
  <c r="AG3" i="14" s="1"/>
  <c r="BC2" i="12"/>
  <c r="AF3" i="14" s="1"/>
  <c r="BB2" i="12"/>
  <c r="AE3" i="14" s="1"/>
  <c r="BA2" i="12"/>
  <c r="AD3" i="14" s="1"/>
  <c r="AZ2" i="12"/>
  <c r="AC3" i="14" s="1"/>
  <c r="AY2" i="12"/>
  <c r="AB3" i="14" s="1"/>
  <c r="AX2" i="12"/>
  <c r="AA3" i="14" s="1"/>
  <c r="AW2" i="12"/>
  <c r="Z3" i="14" s="1"/>
  <c r="AV2" i="12"/>
  <c r="Y3" i="14" s="1"/>
  <c r="AU2" i="12"/>
  <c r="X3" i="14" s="1"/>
  <c r="AT2" i="12"/>
  <c r="W3" i="14" s="1"/>
  <c r="AS2" i="12"/>
  <c r="V3" i="14" s="1"/>
  <c r="AR2" i="12"/>
  <c r="U3" i="14" s="1"/>
  <c r="AQ2" i="12"/>
  <c r="T3" i="14" s="1"/>
  <c r="AP2" i="12"/>
  <c r="S3" i="14" s="1"/>
  <c r="AO2" i="12"/>
  <c r="R3" i="14" s="1"/>
  <c r="AN2" i="12"/>
  <c r="Q3" i="14" s="1"/>
  <c r="AM2" i="12"/>
  <c r="P3" i="14" s="1"/>
  <c r="AL2" i="12"/>
  <c r="O3" i="14" s="1"/>
  <c r="AK2" i="12"/>
  <c r="N3" i="14" s="1"/>
  <c r="AJ2" i="12"/>
  <c r="M3" i="14" s="1"/>
  <c r="AI2" i="12"/>
  <c r="L3" i="14" s="1"/>
  <c r="AH2" i="12"/>
  <c r="K3" i="14" s="1"/>
  <c r="AG2" i="12"/>
  <c r="J3" i="14" s="1"/>
  <c r="AF2" i="12"/>
  <c r="I3" i="14" s="1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W19" i="13" s="1"/>
  <c r="CG3" i="12"/>
  <c r="CG4" i="12" s="1"/>
  <c r="DG3" i="12" l="1"/>
  <c r="DG4" i="12" s="1"/>
  <c r="DF3" i="12"/>
  <c r="DF4" i="12" s="1"/>
  <c r="DE3" i="12"/>
  <c r="DE4" i="12" s="1"/>
  <c r="DD3" i="12"/>
  <c r="DD4" i="12" s="1"/>
  <c r="DC3" i="12"/>
  <c r="DC4" i="12" s="1"/>
  <c r="DB3" i="12"/>
  <c r="DB4" i="12" s="1"/>
  <c r="DA3" i="12"/>
  <c r="DA4" i="12" s="1"/>
  <c r="CZ3" i="12"/>
  <c r="CZ4" i="12" s="1"/>
  <c r="CY3" i="12"/>
  <c r="CY4" i="12" s="1"/>
  <c r="CX3" i="12"/>
  <c r="CX4" i="12" s="1"/>
  <c r="CW3" i="12"/>
  <c r="CW4" i="12" s="1"/>
  <c r="CV3" i="12"/>
  <c r="CV4" i="12" s="1"/>
  <c r="CU3" i="12"/>
  <c r="CU4" i="12" s="1"/>
  <c r="CT3" i="12"/>
  <c r="CT4" i="12" s="1"/>
  <c r="CS3" i="12"/>
  <c r="CS4" i="12" s="1"/>
  <c r="CR3" i="12"/>
  <c r="CR4" i="12" s="1"/>
  <c r="CQ3" i="12"/>
  <c r="CQ4" i="12" s="1"/>
  <c r="CP3" i="12"/>
  <c r="CP4" i="12" s="1"/>
  <c r="CO3" i="12"/>
  <c r="CO4" i="12" s="1"/>
  <c r="CN3" i="12"/>
  <c r="CN4" i="12" s="1"/>
  <c r="CM3" i="12"/>
  <c r="CM4" i="12" s="1"/>
  <c r="CL3" i="12"/>
  <c r="CL4" i="12" s="1"/>
  <c r="CK3" i="12"/>
  <c r="CK4" i="12" s="1"/>
  <c r="CJ3" i="12"/>
  <c r="CJ4" i="12" s="1"/>
  <c r="CI3" i="12"/>
  <c r="CI4" i="12" s="1"/>
  <c r="CH3" i="12"/>
  <c r="CH4" i="12" s="1"/>
  <c r="CF3" i="12"/>
  <c r="CF4" i="12" s="1"/>
  <c r="CE3" i="12"/>
  <c r="CE4" i="12" s="1"/>
  <c r="CD3" i="12"/>
  <c r="CD4" i="12" s="1"/>
  <c r="CC3" i="12"/>
  <c r="CC4" i="12" s="1"/>
  <c r="CB3" i="12"/>
  <c r="CB4" i="12" s="1"/>
  <c r="CA3" i="12"/>
  <c r="CA4" i="12" s="1"/>
  <c r="BZ3" i="12"/>
  <c r="BZ4" i="12" s="1"/>
  <c r="BY3" i="12"/>
  <c r="BY4" i="12" s="1"/>
  <c r="BX3" i="12"/>
  <c r="BX4" i="12" s="1"/>
  <c r="BW3" i="12"/>
  <c r="BW4" i="12" s="1"/>
  <c r="BV3" i="12"/>
  <c r="BV4" i="12" s="1"/>
  <c r="BU3" i="12"/>
  <c r="BU4" i="12" s="1"/>
  <c r="BT3" i="12"/>
  <c r="BT4" i="12" s="1"/>
  <c r="BS3" i="12"/>
  <c r="BS4" i="12" s="1"/>
  <c r="BR3" i="12"/>
  <c r="BR4" i="12" s="1"/>
  <c r="BQ3" i="12"/>
  <c r="BQ4" i="12" s="1"/>
  <c r="BP3" i="12"/>
  <c r="BP4" i="12" s="1"/>
  <c r="BO3" i="12"/>
  <c r="BO4" i="12" s="1"/>
  <c r="BN3" i="12"/>
  <c r="BN4" i="12" s="1"/>
  <c r="BM3" i="12"/>
  <c r="BM4" i="12" s="1"/>
  <c r="BL3" i="12"/>
  <c r="BL4" i="12" s="1"/>
  <c r="BK3" i="12"/>
  <c r="BK4" i="12" s="1"/>
  <c r="BJ3" i="12"/>
  <c r="BJ4" i="12" s="1"/>
  <c r="BI3" i="12"/>
  <c r="BI4" i="12" s="1"/>
  <c r="BH3" i="12"/>
  <c r="BH4" i="12" s="1"/>
  <c r="BG3" i="12"/>
  <c r="BG4" i="12" s="1"/>
  <c r="BF3" i="12"/>
  <c r="BF4" i="12" s="1"/>
  <c r="BE3" i="12"/>
  <c r="BE4" i="12" s="1"/>
  <c r="BD3" i="12"/>
  <c r="BD4" i="12" s="1"/>
  <c r="BC3" i="12"/>
  <c r="BC4" i="12" s="1"/>
  <c r="BB3" i="12"/>
  <c r="BB4" i="12" s="1"/>
  <c r="BA3" i="12"/>
  <c r="BA4" i="12" s="1"/>
  <c r="AZ3" i="12"/>
  <c r="AZ4" i="12" s="1"/>
  <c r="AY3" i="12"/>
  <c r="AY4" i="12" s="1"/>
  <c r="AX3" i="12"/>
  <c r="AX4" i="12" s="1"/>
  <c r="AW3" i="12"/>
  <c r="AW4" i="12" s="1"/>
  <c r="AV3" i="12"/>
  <c r="AV4" i="12" s="1"/>
  <c r="AU3" i="12"/>
  <c r="AU4" i="12" s="1"/>
  <c r="AT3" i="12"/>
  <c r="AT4" i="12" s="1"/>
  <c r="AS3" i="12"/>
  <c r="AS4" i="12" s="1"/>
  <c r="AR3" i="12"/>
  <c r="AR4" i="12" s="1"/>
  <c r="AQ3" i="12"/>
  <c r="AQ4" i="12" s="1"/>
  <c r="AP3" i="12"/>
  <c r="AP4" i="12" s="1"/>
  <c r="AO3" i="12"/>
  <c r="AO4" i="12" s="1"/>
  <c r="AN3" i="12"/>
  <c r="AN4" i="12" s="1"/>
  <c r="AM3" i="12"/>
  <c r="AM4" i="12" s="1"/>
  <c r="AL3" i="12"/>
  <c r="AL4" i="12" s="1"/>
  <c r="AK3" i="12"/>
  <c r="AK4" i="12" s="1"/>
  <c r="AJ3" i="12"/>
  <c r="AJ4" i="12" s="1"/>
  <c r="AI3" i="12"/>
  <c r="AI4" i="12" s="1"/>
  <c r="AH3" i="12"/>
  <c r="AH4" i="12" s="1"/>
  <c r="AG3" i="12"/>
  <c r="AG4" i="12" s="1"/>
  <c r="AF3" i="12"/>
  <c r="AF4" i="12" s="1"/>
  <c r="B35" i="12"/>
  <c r="B32" i="12"/>
  <c r="B28" i="12"/>
  <c r="B24" i="12"/>
  <c r="B18" i="12"/>
  <c r="B15" i="12"/>
  <c r="B11" i="12"/>
  <c r="B7" i="12"/>
  <c r="B32" i="13"/>
  <c r="B29" i="13"/>
  <c r="B25" i="13"/>
  <c r="B21" i="13"/>
  <c r="B15" i="13"/>
  <c r="B12" i="13"/>
  <c r="B8" i="13"/>
  <c r="B4" i="13"/>
  <c r="B32" i="14"/>
  <c r="B29" i="14"/>
  <c r="B25" i="14"/>
  <c r="B21" i="14"/>
  <c r="B15" i="14"/>
  <c r="B12" i="14"/>
  <c r="B8" i="14"/>
  <c r="B4" i="14"/>
  <c r="S3" i="19"/>
  <c r="W3" i="19"/>
  <c r="V3" i="19"/>
  <c r="R3" i="19"/>
  <c r="O3" i="19"/>
  <c r="N3" i="19"/>
  <c r="M3" i="19"/>
  <c r="J3" i="19"/>
  <c r="I3" i="19"/>
  <c r="H3" i="19"/>
  <c r="X4" i="19"/>
  <c r="W4" i="19"/>
  <c r="AM4" i="19" s="1"/>
  <c r="V4" i="19"/>
  <c r="AL4" i="19" s="1"/>
  <c r="T4" i="19"/>
  <c r="S4" i="19"/>
  <c r="AJ4" i="19" s="1"/>
  <c r="R4" i="19"/>
  <c r="AI4" i="19" s="1"/>
  <c r="P4" i="19"/>
  <c r="O4" i="19"/>
  <c r="AG4" i="19" s="1"/>
  <c r="N4" i="19"/>
  <c r="AF4" i="19" s="1"/>
  <c r="M4" i="19"/>
  <c r="AE4" i="19" s="1"/>
  <c r="K4" i="19"/>
  <c r="J4" i="19"/>
  <c r="AC4" i="19" s="1"/>
  <c r="I4" i="19"/>
  <c r="AB4" i="19" s="1"/>
  <c r="H4" i="19"/>
  <c r="AA4" i="19" s="1"/>
  <c r="F4" i="19"/>
  <c r="C16" i="4"/>
  <c r="C15" i="4"/>
  <c r="C13" i="4"/>
  <c r="C12" i="4"/>
  <c r="C10" i="4"/>
  <c r="C9" i="4"/>
  <c r="C8" i="4"/>
  <c r="C6" i="4"/>
  <c r="C5" i="4"/>
  <c r="C4" i="4"/>
  <c r="X3" i="18"/>
  <c r="T3" i="18"/>
  <c r="P3" i="18"/>
  <c r="K3" i="18"/>
  <c r="F4" i="18"/>
  <c r="X4" i="18"/>
  <c r="W4" i="18"/>
  <c r="AM4" i="18" s="1"/>
  <c r="V4" i="18"/>
  <c r="AL4" i="18" s="1"/>
  <c r="T4" i="18"/>
  <c r="S4" i="18"/>
  <c r="AJ4" i="18" s="1"/>
  <c r="R4" i="18"/>
  <c r="AI4" i="18" s="1"/>
  <c r="P4" i="18"/>
  <c r="O4" i="18"/>
  <c r="AG4" i="18" s="1"/>
  <c r="N4" i="18"/>
  <c r="AF4" i="18" s="1"/>
  <c r="M4" i="18"/>
  <c r="AE4" i="18" s="1"/>
  <c r="K4" i="18"/>
  <c r="J4" i="18"/>
  <c r="AC4" i="18" s="1"/>
  <c r="I4" i="18"/>
  <c r="AB4" i="18" s="1"/>
  <c r="H4" i="18"/>
  <c r="AA4" i="18" s="1"/>
  <c r="X3" i="19" l="1"/>
  <c r="T3" i="19"/>
  <c r="P3" i="19"/>
  <c r="K3" i="19"/>
  <c r="F3" i="18"/>
  <c r="C3" i="6"/>
  <c r="B35" i="14"/>
  <c r="C34" i="14"/>
  <c r="E33" i="14"/>
  <c r="D33" i="14"/>
  <c r="D32" i="14"/>
  <c r="C31" i="14"/>
  <c r="E30" i="14"/>
  <c r="D30" i="14"/>
  <c r="E29" i="14"/>
  <c r="D29" i="14"/>
  <c r="C28" i="14"/>
  <c r="E27" i="14"/>
  <c r="D27" i="14"/>
  <c r="E26" i="14"/>
  <c r="D26" i="14"/>
  <c r="E25" i="14"/>
  <c r="D25" i="14"/>
  <c r="C24" i="14"/>
  <c r="E23" i="14"/>
  <c r="D23" i="14"/>
  <c r="E22" i="14"/>
  <c r="D22" i="14"/>
  <c r="E21" i="14"/>
  <c r="D21" i="14"/>
  <c r="B18" i="14"/>
  <c r="C17" i="14"/>
  <c r="E16" i="14"/>
  <c r="D16" i="14"/>
  <c r="C16" i="14"/>
  <c r="E15" i="14"/>
  <c r="D15" i="14"/>
  <c r="C15" i="14"/>
  <c r="C14" i="14"/>
  <c r="E13" i="14"/>
  <c r="D13" i="14"/>
  <c r="C13" i="14"/>
  <c r="E12" i="14"/>
  <c r="D12" i="14"/>
  <c r="C12" i="14"/>
  <c r="C11" i="14"/>
  <c r="E10" i="14"/>
  <c r="D10" i="14"/>
  <c r="C10" i="14"/>
  <c r="E9" i="14"/>
  <c r="D9" i="14"/>
  <c r="C9" i="14"/>
  <c r="E8" i="14"/>
  <c r="D8" i="14"/>
  <c r="C8" i="14"/>
  <c r="C7" i="14"/>
  <c r="E6" i="14"/>
  <c r="D6" i="14"/>
  <c r="C6" i="14"/>
  <c r="E5" i="14"/>
  <c r="D5" i="14"/>
  <c r="C5" i="14"/>
  <c r="E4" i="14"/>
  <c r="D4" i="14"/>
  <c r="C4" i="14"/>
  <c r="B35" i="13"/>
  <c r="C34" i="13"/>
  <c r="E33" i="13"/>
  <c r="D33" i="13"/>
  <c r="D32" i="13"/>
  <c r="C31" i="13"/>
  <c r="E30" i="13"/>
  <c r="D30" i="13"/>
  <c r="E29" i="13"/>
  <c r="D29" i="13"/>
  <c r="C28" i="13"/>
  <c r="E27" i="13"/>
  <c r="D27" i="13"/>
  <c r="E26" i="13"/>
  <c r="D26" i="13"/>
  <c r="E25" i="13"/>
  <c r="D25" i="13"/>
  <c r="C24" i="13"/>
  <c r="E23" i="13"/>
  <c r="D23" i="13"/>
  <c r="E22" i="13"/>
  <c r="D22" i="13"/>
  <c r="E21" i="13"/>
  <c r="D21" i="13"/>
  <c r="B18" i="13"/>
  <c r="C17" i="13"/>
  <c r="E16" i="13"/>
  <c r="D16" i="13"/>
  <c r="C16" i="13"/>
  <c r="E15" i="13"/>
  <c r="D15" i="13"/>
  <c r="C15" i="13"/>
  <c r="C14" i="13"/>
  <c r="E13" i="13"/>
  <c r="D13" i="13"/>
  <c r="C13" i="13"/>
  <c r="E12" i="13"/>
  <c r="D12" i="13"/>
  <c r="C12" i="13"/>
  <c r="C11" i="13"/>
  <c r="E10" i="13"/>
  <c r="D10" i="13"/>
  <c r="C10" i="13"/>
  <c r="E9" i="13"/>
  <c r="D9" i="13"/>
  <c r="C9" i="13"/>
  <c r="E8" i="13"/>
  <c r="D8" i="13"/>
  <c r="C8" i="13"/>
  <c r="C7" i="13"/>
  <c r="E6" i="13"/>
  <c r="D6" i="13"/>
  <c r="C6" i="13"/>
  <c r="E5" i="13"/>
  <c r="D5" i="13"/>
  <c r="C5" i="13"/>
  <c r="E4" i="13"/>
  <c r="D4" i="13"/>
  <c r="C4" i="13"/>
  <c r="AG24" i="12"/>
  <c r="AH24" i="12"/>
  <c r="AI24" i="12"/>
  <c r="AJ24" i="12"/>
  <c r="AK24" i="12"/>
  <c r="AL24" i="12"/>
  <c r="AM24" i="12"/>
  <c r="AN24" i="12"/>
  <c r="AO24" i="12"/>
  <c r="AP24" i="12"/>
  <c r="AQ24" i="12"/>
  <c r="AR24" i="12"/>
  <c r="AS24" i="12"/>
  <c r="AT24" i="12"/>
  <c r="AU24" i="12"/>
  <c r="AV24" i="12"/>
  <c r="AW24" i="12"/>
  <c r="AX24" i="12"/>
  <c r="AY24" i="12"/>
  <c r="AZ24" i="12"/>
  <c r="BA24" i="12"/>
  <c r="BB24" i="12"/>
  <c r="BC24" i="12"/>
  <c r="BD24" i="12"/>
  <c r="BE24" i="12"/>
  <c r="BF24" i="12"/>
  <c r="BG24" i="12"/>
  <c r="BH24" i="12"/>
  <c r="BI24" i="12"/>
  <c r="BJ24" i="12"/>
  <c r="BK24" i="12"/>
  <c r="BL24" i="12"/>
  <c r="BM24" i="12"/>
  <c r="BN24" i="12"/>
  <c r="BO24" i="12"/>
  <c r="BP24" i="12"/>
  <c r="BQ24" i="12"/>
  <c r="BR24" i="12"/>
  <c r="BS24" i="12"/>
  <c r="BT24" i="12"/>
  <c r="BU24" i="12"/>
  <c r="BV24" i="12"/>
  <c r="BW24" i="12"/>
  <c r="BX24" i="12"/>
  <c r="BY24" i="12"/>
  <c r="BZ24" i="12"/>
  <c r="CA24" i="12"/>
  <c r="CB24" i="12"/>
  <c r="CC24" i="12"/>
  <c r="CD24" i="12"/>
  <c r="CE24" i="12"/>
  <c r="CF24" i="12"/>
  <c r="CG24" i="12"/>
  <c r="CH24" i="12"/>
  <c r="CI24" i="12"/>
  <c r="CJ24" i="12"/>
  <c r="CK24" i="12"/>
  <c r="CL24" i="12"/>
  <c r="CM24" i="12"/>
  <c r="CN24" i="12"/>
  <c r="CO24" i="12"/>
  <c r="CP24" i="12"/>
  <c r="CQ24" i="12"/>
  <c r="CR24" i="12"/>
  <c r="CS24" i="12"/>
  <c r="CT24" i="12"/>
  <c r="CU24" i="12"/>
  <c r="CV24" i="12"/>
  <c r="CW24" i="12"/>
  <c r="CX24" i="12"/>
  <c r="CY24" i="12"/>
  <c r="CZ24" i="12"/>
  <c r="DA24" i="12"/>
  <c r="DB24" i="12"/>
  <c r="DC24" i="12"/>
  <c r="DD24" i="12"/>
  <c r="DE24" i="12"/>
  <c r="DF24" i="12"/>
  <c r="DG24" i="12"/>
  <c r="AG25" i="12"/>
  <c r="AH25" i="12"/>
  <c r="AI25" i="12"/>
  <c r="AJ25" i="12"/>
  <c r="AK25" i="12"/>
  <c r="AL25" i="12"/>
  <c r="AM25" i="12"/>
  <c r="AN25" i="12"/>
  <c r="AO25" i="12"/>
  <c r="AP25" i="12"/>
  <c r="AQ25" i="12"/>
  <c r="AR25" i="12"/>
  <c r="AS25" i="12"/>
  <c r="AT25" i="12"/>
  <c r="AU25" i="12"/>
  <c r="AV25" i="12"/>
  <c r="AW25" i="12"/>
  <c r="AX25" i="12"/>
  <c r="AY25" i="12"/>
  <c r="AZ25" i="12"/>
  <c r="BA25" i="12"/>
  <c r="BB25" i="12"/>
  <c r="BC25" i="12"/>
  <c r="BD25" i="12"/>
  <c r="BE25" i="12"/>
  <c r="BF25" i="12"/>
  <c r="BG25" i="12"/>
  <c r="BH25" i="12"/>
  <c r="BI25" i="12"/>
  <c r="BJ25" i="12"/>
  <c r="BK25" i="12"/>
  <c r="BL25" i="12"/>
  <c r="BM25" i="12"/>
  <c r="BN25" i="12"/>
  <c r="BO25" i="12"/>
  <c r="BP25" i="12"/>
  <c r="BQ25" i="12"/>
  <c r="BR25" i="12"/>
  <c r="BS25" i="12"/>
  <c r="BT25" i="12"/>
  <c r="BU25" i="12"/>
  <c r="BV25" i="12"/>
  <c r="BW25" i="12"/>
  <c r="BX25" i="12"/>
  <c r="BY25" i="12"/>
  <c r="BZ25" i="12"/>
  <c r="CA25" i="12"/>
  <c r="CB25" i="12"/>
  <c r="CC25" i="12"/>
  <c r="CD25" i="12"/>
  <c r="CE25" i="12"/>
  <c r="CF25" i="12"/>
  <c r="CG25" i="12"/>
  <c r="CH25" i="12"/>
  <c r="CI25" i="12"/>
  <c r="CJ25" i="12"/>
  <c r="CK25" i="12"/>
  <c r="CL25" i="12"/>
  <c r="CM25" i="12"/>
  <c r="CN25" i="12"/>
  <c r="CO25" i="12"/>
  <c r="CP25" i="12"/>
  <c r="CQ25" i="12"/>
  <c r="CR25" i="12"/>
  <c r="CS25" i="12"/>
  <c r="CT25" i="12"/>
  <c r="CU25" i="12"/>
  <c r="CV25" i="12"/>
  <c r="CW25" i="12"/>
  <c r="CX25" i="12"/>
  <c r="CY25" i="12"/>
  <c r="CZ25" i="12"/>
  <c r="DA25" i="12"/>
  <c r="DB25" i="12"/>
  <c r="DC25" i="12"/>
  <c r="DD25" i="12"/>
  <c r="DE25" i="12"/>
  <c r="DF25" i="12"/>
  <c r="DG25" i="12"/>
  <c r="AG26" i="12"/>
  <c r="AH26" i="12"/>
  <c r="AI26" i="12"/>
  <c r="AJ26" i="12"/>
  <c r="AK26" i="12"/>
  <c r="AL26" i="12"/>
  <c r="AM26" i="12"/>
  <c r="AN26" i="12"/>
  <c r="AO26" i="12"/>
  <c r="AP26" i="12"/>
  <c r="AQ26" i="12"/>
  <c r="AR26" i="12"/>
  <c r="AS26" i="12"/>
  <c r="AT26" i="12"/>
  <c r="AU26" i="12"/>
  <c r="AV26" i="12"/>
  <c r="AW26" i="12"/>
  <c r="AX26" i="12"/>
  <c r="AY26" i="12"/>
  <c r="AZ26" i="12"/>
  <c r="BA26" i="12"/>
  <c r="BB26" i="12"/>
  <c r="BC26" i="12"/>
  <c r="BD26" i="12"/>
  <c r="BE26" i="12"/>
  <c r="BF26" i="12"/>
  <c r="BG26" i="12"/>
  <c r="BH26" i="12"/>
  <c r="BI26" i="12"/>
  <c r="BJ26" i="12"/>
  <c r="BK26" i="12"/>
  <c r="BL26" i="12"/>
  <c r="BM26" i="12"/>
  <c r="BN26" i="12"/>
  <c r="BO26" i="12"/>
  <c r="BP26" i="12"/>
  <c r="BQ26" i="12"/>
  <c r="BR26" i="12"/>
  <c r="BS26" i="12"/>
  <c r="BT26" i="12"/>
  <c r="BU26" i="12"/>
  <c r="BV26" i="12"/>
  <c r="BW26" i="12"/>
  <c r="BX26" i="12"/>
  <c r="BY26" i="12"/>
  <c r="BZ26" i="12"/>
  <c r="CA26" i="12"/>
  <c r="CB26" i="12"/>
  <c r="CC26" i="12"/>
  <c r="CD26" i="12"/>
  <c r="CE26" i="12"/>
  <c r="CF26" i="12"/>
  <c r="CG26" i="12"/>
  <c r="CH26" i="12"/>
  <c r="CI26" i="12"/>
  <c r="CJ26" i="12"/>
  <c r="CK26" i="12"/>
  <c r="CL26" i="12"/>
  <c r="CM26" i="12"/>
  <c r="CN26" i="12"/>
  <c r="CO26" i="12"/>
  <c r="CP26" i="12"/>
  <c r="CQ26" i="12"/>
  <c r="CR26" i="12"/>
  <c r="CS26" i="12"/>
  <c r="CT26" i="12"/>
  <c r="CU26" i="12"/>
  <c r="CV26" i="12"/>
  <c r="CW26" i="12"/>
  <c r="CX26" i="12"/>
  <c r="CY26" i="12"/>
  <c r="CZ26" i="12"/>
  <c r="DA26" i="12"/>
  <c r="DB26" i="12"/>
  <c r="DC26" i="12"/>
  <c r="DD26" i="12"/>
  <c r="DE26" i="12"/>
  <c r="DF26" i="12"/>
  <c r="DG26" i="12"/>
  <c r="AG28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Z28" i="12"/>
  <c r="BA28" i="12"/>
  <c r="BB28" i="12"/>
  <c r="BC28" i="12"/>
  <c r="BD28" i="12"/>
  <c r="BE28" i="12"/>
  <c r="BF28" i="12"/>
  <c r="BG28" i="12"/>
  <c r="BH28" i="12"/>
  <c r="BI28" i="12"/>
  <c r="BJ28" i="12"/>
  <c r="BK28" i="12"/>
  <c r="BL28" i="12"/>
  <c r="BM28" i="12"/>
  <c r="BN28" i="12"/>
  <c r="BO28" i="12"/>
  <c r="BP28" i="12"/>
  <c r="BQ28" i="12"/>
  <c r="BR28" i="12"/>
  <c r="BS28" i="12"/>
  <c r="BT28" i="12"/>
  <c r="BU28" i="12"/>
  <c r="BV28" i="12"/>
  <c r="BW28" i="12"/>
  <c r="BX28" i="12"/>
  <c r="BY28" i="12"/>
  <c r="BZ28" i="12"/>
  <c r="CA28" i="12"/>
  <c r="CB28" i="12"/>
  <c r="CC28" i="12"/>
  <c r="CD28" i="12"/>
  <c r="CE28" i="12"/>
  <c r="CF28" i="12"/>
  <c r="CG28" i="12"/>
  <c r="CH28" i="12"/>
  <c r="CI28" i="12"/>
  <c r="CJ28" i="12"/>
  <c r="CK28" i="12"/>
  <c r="CL28" i="12"/>
  <c r="CM28" i="12"/>
  <c r="CN28" i="12"/>
  <c r="CO28" i="12"/>
  <c r="CP28" i="12"/>
  <c r="CQ28" i="12"/>
  <c r="CR28" i="12"/>
  <c r="CS28" i="12"/>
  <c r="CT28" i="12"/>
  <c r="CU28" i="12"/>
  <c r="CV28" i="12"/>
  <c r="CW28" i="12"/>
  <c r="CX28" i="12"/>
  <c r="CY28" i="12"/>
  <c r="CZ28" i="12"/>
  <c r="DA28" i="12"/>
  <c r="DB28" i="12"/>
  <c r="DC28" i="12"/>
  <c r="DD28" i="12"/>
  <c r="DE28" i="12"/>
  <c r="DF28" i="12"/>
  <c r="DG28" i="12"/>
  <c r="AG29" i="12"/>
  <c r="AH29" i="12"/>
  <c r="AI29" i="12"/>
  <c r="AJ29" i="12"/>
  <c r="AK29" i="12"/>
  <c r="AL29" i="12"/>
  <c r="AM29" i="12"/>
  <c r="AN29" i="12"/>
  <c r="AO29" i="12"/>
  <c r="AP29" i="12"/>
  <c r="AQ29" i="12"/>
  <c r="AR29" i="12"/>
  <c r="AS29" i="12"/>
  <c r="AT29" i="12"/>
  <c r="AU29" i="12"/>
  <c r="AV29" i="12"/>
  <c r="AW29" i="12"/>
  <c r="AX29" i="12"/>
  <c r="AY29" i="12"/>
  <c r="AZ29" i="12"/>
  <c r="BA29" i="12"/>
  <c r="BB29" i="12"/>
  <c r="BC29" i="12"/>
  <c r="BD29" i="12"/>
  <c r="BE29" i="12"/>
  <c r="BF29" i="12"/>
  <c r="BG29" i="12"/>
  <c r="BH29" i="12"/>
  <c r="BI29" i="12"/>
  <c r="BJ29" i="12"/>
  <c r="BK29" i="12"/>
  <c r="BL29" i="12"/>
  <c r="BM29" i="12"/>
  <c r="BN29" i="12"/>
  <c r="BO29" i="12"/>
  <c r="BP29" i="12"/>
  <c r="BQ29" i="12"/>
  <c r="BR29" i="12"/>
  <c r="BS29" i="12"/>
  <c r="BT29" i="12"/>
  <c r="BU29" i="12"/>
  <c r="BV29" i="12"/>
  <c r="BW29" i="12"/>
  <c r="BX29" i="12"/>
  <c r="BY29" i="12"/>
  <c r="BZ29" i="12"/>
  <c r="CA29" i="12"/>
  <c r="CB29" i="12"/>
  <c r="CC29" i="12"/>
  <c r="CD29" i="12"/>
  <c r="CE29" i="12"/>
  <c r="CF29" i="12"/>
  <c r="CG29" i="12"/>
  <c r="CH29" i="12"/>
  <c r="CI29" i="12"/>
  <c r="CJ29" i="12"/>
  <c r="CK29" i="12"/>
  <c r="CL29" i="12"/>
  <c r="CM29" i="12"/>
  <c r="CN29" i="12"/>
  <c r="CO29" i="12"/>
  <c r="CP29" i="12"/>
  <c r="CQ29" i="12"/>
  <c r="CR29" i="12"/>
  <c r="CS29" i="12"/>
  <c r="CT29" i="12"/>
  <c r="CU29" i="12"/>
  <c r="CV29" i="12"/>
  <c r="CW29" i="12"/>
  <c r="CX29" i="12"/>
  <c r="CY29" i="12"/>
  <c r="CZ29" i="12"/>
  <c r="DA29" i="12"/>
  <c r="DB29" i="12"/>
  <c r="DC29" i="12"/>
  <c r="DD29" i="12"/>
  <c r="DE29" i="12"/>
  <c r="DF29" i="12"/>
  <c r="DG29" i="12"/>
  <c r="AG30" i="12"/>
  <c r="AH30" i="12"/>
  <c r="AI30" i="12"/>
  <c r="AJ30" i="12"/>
  <c r="AK30" i="12"/>
  <c r="AL30" i="12"/>
  <c r="AM30" i="12"/>
  <c r="AN30" i="12"/>
  <c r="AO30" i="12"/>
  <c r="AP30" i="12"/>
  <c r="AQ30" i="12"/>
  <c r="AR30" i="12"/>
  <c r="AS30" i="12"/>
  <c r="AT30" i="12"/>
  <c r="AU30" i="12"/>
  <c r="AV30" i="12"/>
  <c r="AW30" i="12"/>
  <c r="AX30" i="12"/>
  <c r="AY30" i="12"/>
  <c r="AZ30" i="12"/>
  <c r="BA30" i="12"/>
  <c r="BB30" i="12"/>
  <c r="BC30" i="12"/>
  <c r="BD30" i="12"/>
  <c r="BE30" i="12"/>
  <c r="BF30" i="12"/>
  <c r="BG30" i="12"/>
  <c r="BH30" i="12"/>
  <c r="BI30" i="12"/>
  <c r="BJ30" i="12"/>
  <c r="BK30" i="12"/>
  <c r="BL30" i="12"/>
  <c r="BM30" i="12"/>
  <c r="BN30" i="12"/>
  <c r="BO30" i="12"/>
  <c r="BP30" i="12"/>
  <c r="BQ30" i="12"/>
  <c r="BR30" i="12"/>
  <c r="BS30" i="12"/>
  <c r="BT30" i="12"/>
  <c r="BU30" i="12"/>
  <c r="BV30" i="12"/>
  <c r="BW30" i="12"/>
  <c r="BX30" i="12"/>
  <c r="BY30" i="12"/>
  <c r="BZ30" i="12"/>
  <c r="CA30" i="12"/>
  <c r="CB30" i="12"/>
  <c r="CC30" i="12"/>
  <c r="CD30" i="12"/>
  <c r="CE30" i="12"/>
  <c r="CF30" i="12"/>
  <c r="CG30" i="12"/>
  <c r="CH30" i="12"/>
  <c r="CI30" i="12"/>
  <c r="CJ30" i="12"/>
  <c r="CK30" i="12"/>
  <c r="CL30" i="12"/>
  <c r="CM30" i="12"/>
  <c r="CN30" i="12"/>
  <c r="CO30" i="12"/>
  <c r="CP30" i="12"/>
  <c r="CQ30" i="12"/>
  <c r="CR30" i="12"/>
  <c r="CS30" i="12"/>
  <c r="CT30" i="12"/>
  <c r="CU30" i="12"/>
  <c r="CV30" i="12"/>
  <c r="CW30" i="12"/>
  <c r="CX30" i="12"/>
  <c r="CY30" i="12"/>
  <c r="CZ30" i="12"/>
  <c r="DA30" i="12"/>
  <c r="DB30" i="12"/>
  <c r="DC30" i="12"/>
  <c r="DD30" i="12"/>
  <c r="DE30" i="12"/>
  <c r="DF30" i="12"/>
  <c r="DG30" i="12"/>
  <c r="AG32" i="12"/>
  <c r="AH32" i="12"/>
  <c r="AI32" i="12"/>
  <c r="AJ32" i="12"/>
  <c r="AK32" i="12"/>
  <c r="AL32" i="12"/>
  <c r="AM32" i="12"/>
  <c r="AN32" i="12"/>
  <c r="AO32" i="12"/>
  <c r="AP32" i="12"/>
  <c r="AQ32" i="12"/>
  <c r="AR32" i="12"/>
  <c r="AS32" i="12"/>
  <c r="AT32" i="12"/>
  <c r="AU32" i="12"/>
  <c r="AV32" i="12"/>
  <c r="AW32" i="12"/>
  <c r="AX32" i="12"/>
  <c r="AY32" i="12"/>
  <c r="AZ32" i="12"/>
  <c r="BA32" i="12"/>
  <c r="BB32" i="12"/>
  <c r="BC32" i="12"/>
  <c r="BD32" i="12"/>
  <c r="BE32" i="12"/>
  <c r="BF32" i="12"/>
  <c r="BG32" i="12"/>
  <c r="BH32" i="12"/>
  <c r="BI32" i="12"/>
  <c r="BJ32" i="12"/>
  <c r="BK32" i="12"/>
  <c r="BL32" i="12"/>
  <c r="BM32" i="12"/>
  <c r="BN32" i="12"/>
  <c r="BO32" i="12"/>
  <c r="BP32" i="12"/>
  <c r="BQ32" i="12"/>
  <c r="BR32" i="12"/>
  <c r="BS32" i="12"/>
  <c r="BT32" i="12"/>
  <c r="BU32" i="12"/>
  <c r="BV32" i="12"/>
  <c r="BW32" i="12"/>
  <c r="BX32" i="12"/>
  <c r="BY32" i="12"/>
  <c r="BZ32" i="12"/>
  <c r="CA32" i="12"/>
  <c r="CB32" i="12"/>
  <c r="CC32" i="12"/>
  <c r="CD32" i="12"/>
  <c r="CE32" i="12"/>
  <c r="CF32" i="12"/>
  <c r="CG32" i="12"/>
  <c r="CH32" i="12"/>
  <c r="CI32" i="12"/>
  <c r="CJ32" i="12"/>
  <c r="CK32" i="12"/>
  <c r="CL32" i="12"/>
  <c r="CM32" i="12"/>
  <c r="CN32" i="12"/>
  <c r="CO32" i="12"/>
  <c r="CP32" i="12"/>
  <c r="CQ32" i="12"/>
  <c r="CR32" i="12"/>
  <c r="CS32" i="12"/>
  <c r="CT32" i="12"/>
  <c r="CU32" i="12"/>
  <c r="CV32" i="12"/>
  <c r="CW32" i="12"/>
  <c r="CX32" i="12"/>
  <c r="CY32" i="12"/>
  <c r="CZ32" i="12"/>
  <c r="DA32" i="12"/>
  <c r="DB32" i="12"/>
  <c r="DC32" i="12"/>
  <c r="DD32" i="12"/>
  <c r="DE32" i="12"/>
  <c r="DF32" i="12"/>
  <c r="DG32" i="12"/>
  <c r="AG33" i="12"/>
  <c r="AH33" i="12"/>
  <c r="AI33" i="12"/>
  <c r="AJ33" i="12"/>
  <c r="AK33" i="12"/>
  <c r="AL33" i="12"/>
  <c r="AM33" i="12"/>
  <c r="AN33" i="12"/>
  <c r="AO33" i="12"/>
  <c r="AP33" i="12"/>
  <c r="AQ33" i="12"/>
  <c r="AR33" i="12"/>
  <c r="AS33" i="12"/>
  <c r="AT33" i="12"/>
  <c r="AU33" i="12"/>
  <c r="AV33" i="12"/>
  <c r="AW33" i="12"/>
  <c r="AX33" i="12"/>
  <c r="AY33" i="12"/>
  <c r="AZ33" i="12"/>
  <c r="BA33" i="12"/>
  <c r="BB33" i="12"/>
  <c r="BC33" i="12"/>
  <c r="BD33" i="12"/>
  <c r="BE33" i="12"/>
  <c r="BF33" i="12"/>
  <c r="BG33" i="12"/>
  <c r="BH33" i="12"/>
  <c r="BI33" i="12"/>
  <c r="BJ33" i="12"/>
  <c r="BK33" i="12"/>
  <c r="BL33" i="12"/>
  <c r="BM33" i="12"/>
  <c r="BN33" i="12"/>
  <c r="BO33" i="12"/>
  <c r="BP33" i="12"/>
  <c r="BQ33" i="12"/>
  <c r="BR33" i="12"/>
  <c r="BS33" i="12"/>
  <c r="BT33" i="12"/>
  <c r="BU33" i="12"/>
  <c r="BV33" i="12"/>
  <c r="BW33" i="12"/>
  <c r="BX33" i="12"/>
  <c r="BY33" i="12"/>
  <c r="BZ33" i="12"/>
  <c r="CA33" i="12"/>
  <c r="CB33" i="12"/>
  <c r="CC33" i="12"/>
  <c r="CD33" i="12"/>
  <c r="CE33" i="12"/>
  <c r="CF33" i="12"/>
  <c r="CG33" i="12"/>
  <c r="CH33" i="12"/>
  <c r="CI33" i="12"/>
  <c r="CJ33" i="12"/>
  <c r="CK33" i="12"/>
  <c r="CL33" i="12"/>
  <c r="CM33" i="12"/>
  <c r="CN33" i="12"/>
  <c r="CO33" i="12"/>
  <c r="CP33" i="12"/>
  <c r="CQ33" i="12"/>
  <c r="CR33" i="12"/>
  <c r="CS33" i="12"/>
  <c r="CT33" i="12"/>
  <c r="CU33" i="12"/>
  <c r="CV33" i="12"/>
  <c r="CW33" i="12"/>
  <c r="CX33" i="12"/>
  <c r="CY33" i="12"/>
  <c r="CZ33" i="12"/>
  <c r="DA33" i="12"/>
  <c r="DB33" i="12"/>
  <c r="DC33" i="12"/>
  <c r="DD33" i="12"/>
  <c r="DE33" i="12"/>
  <c r="DF33" i="12"/>
  <c r="DG33" i="12"/>
  <c r="AG35" i="12"/>
  <c r="AH35" i="12"/>
  <c r="AI35" i="12"/>
  <c r="AJ35" i="12"/>
  <c r="AK35" i="12"/>
  <c r="AL35" i="12"/>
  <c r="AM35" i="12"/>
  <c r="AN35" i="12"/>
  <c r="AO35" i="12"/>
  <c r="AP35" i="12"/>
  <c r="AQ35" i="12"/>
  <c r="AR35" i="12"/>
  <c r="AS35" i="12"/>
  <c r="AT35" i="12"/>
  <c r="AU35" i="12"/>
  <c r="AV35" i="12"/>
  <c r="AW35" i="12"/>
  <c r="AX35" i="12"/>
  <c r="AY35" i="12"/>
  <c r="AZ35" i="12"/>
  <c r="BA35" i="12"/>
  <c r="BB35" i="12"/>
  <c r="BC35" i="12"/>
  <c r="BD35" i="12"/>
  <c r="BE35" i="12"/>
  <c r="BF35" i="12"/>
  <c r="BG35" i="12"/>
  <c r="BH35" i="12"/>
  <c r="BI35" i="12"/>
  <c r="BJ35" i="12"/>
  <c r="BK35" i="12"/>
  <c r="BL35" i="12"/>
  <c r="BM35" i="12"/>
  <c r="BN35" i="12"/>
  <c r="BO35" i="12"/>
  <c r="BP35" i="12"/>
  <c r="BQ35" i="12"/>
  <c r="BR35" i="12"/>
  <c r="BS35" i="12"/>
  <c r="BT35" i="12"/>
  <c r="BU35" i="12"/>
  <c r="BV35" i="12"/>
  <c r="BW35" i="12"/>
  <c r="BX35" i="12"/>
  <c r="BY35" i="12"/>
  <c r="BZ35" i="12"/>
  <c r="CA35" i="12"/>
  <c r="CB35" i="12"/>
  <c r="CC35" i="12"/>
  <c r="CD35" i="12"/>
  <c r="CE35" i="12"/>
  <c r="CF35" i="12"/>
  <c r="CG35" i="12"/>
  <c r="CH35" i="12"/>
  <c r="CI35" i="12"/>
  <c r="CJ35" i="12"/>
  <c r="CK35" i="12"/>
  <c r="CL35" i="12"/>
  <c r="CM35" i="12"/>
  <c r="CN35" i="12"/>
  <c r="CO35" i="12"/>
  <c r="CP35" i="12"/>
  <c r="CQ35" i="12"/>
  <c r="CR35" i="12"/>
  <c r="CS35" i="12"/>
  <c r="CT35" i="12"/>
  <c r="CU35" i="12"/>
  <c r="CV35" i="12"/>
  <c r="CW35" i="12"/>
  <c r="CX35" i="12"/>
  <c r="CY35" i="12"/>
  <c r="CZ35" i="12"/>
  <c r="DA35" i="12"/>
  <c r="DB35" i="12"/>
  <c r="DC35" i="12"/>
  <c r="DD35" i="12"/>
  <c r="DE35" i="12"/>
  <c r="DF35" i="12"/>
  <c r="DG35" i="12"/>
  <c r="AG36" i="12"/>
  <c r="AH36" i="12"/>
  <c r="AI36" i="12"/>
  <c r="AJ36" i="12"/>
  <c r="AK36" i="12"/>
  <c r="AL36" i="12"/>
  <c r="AM36" i="12"/>
  <c r="AN36" i="12"/>
  <c r="AO36" i="12"/>
  <c r="AP36" i="12"/>
  <c r="AQ36" i="12"/>
  <c r="AR36" i="12"/>
  <c r="AS36" i="12"/>
  <c r="AT36" i="12"/>
  <c r="AU36" i="12"/>
  <c r="AV36" i="12"/>
  <c r="AW36" i="12"/>
  <c r="AX36" i="12"/>
  <c r="AY36" i="12"/>
  <c r="AZ36" i="12"/>
  <c r="BA36" i="12"/>
  <c r="BB36" i="12"/>
  <c r="BC36" i="12"/>
  <c r="BD36" i="12"/>
  <c r="BE36" i="12"/>
  <c r="BF36" i="12"/>
  <c r="BG36" i="12"/>
  <c r="BH36" i="12"/>
  <c r="BI36" i="12"/>
  <c r="BJ36" i="12"/>
  <c r="BK36" i="12"/>
  <c r="BL36" i="12"/>
  <c r="BM36" i="12"/>
  <c r="BN36" i="12"/>
  <c r="BO36" i="12"/>
  <c r="BP36" i="12"/>
  <c r="BQ36" i="12"/>
  <c r="BR36" i="12"/>
  <c r="BS36" i="12"/>
  <c r="BT36" i="12"/>
  <c r="BU36" i="12"/>
  <c r="BV36" i="12"/>
  <c r="BW36" i="12"/>
  <c r="BX36" i="12"/>
  <c r="BY36" i="12"/>
  <c r="BZ36" i="12"/>
  <c r="CA36" i="12"/>
  <c r="CB36" i="12"/>
  <c r="CC36" i="12"/>
  <c r="CD36" i="12"/>
  <c r="CE36" i="12"/>
  <c r="CF36" i="12"/>
  <c r="CG36" i="12"/>
  <c r="CH36" i="12"/>
  <c r="CI36" i="12"/>
  <c r="CJ36" i="12"/>
  <c r="CK36" i="12"/>
  <c r="CL36" i="12"/>
  <c r="CM36" i="12"/>
  <c r="CN36" i="12"/>
  <c r="CO36" i="12"/>
  <c r="CP36" i="12"/>
  <c r="CQ36" i="12"/>
  <c r="CR36" i="12"/>
  <c r="CS36" i="12"/>
  <c r="CT36" i="12"/>
  <c r="CU36" i="12"/>
  <c r="CV36" i="12"/>
  <c r="CW36" i="12"/>
  <c r="CX36" i="12"/>
  <c r="CY36" i="12"/>
  <c r="CZ36" i="12"/>
  <c r="DA36" i="12"/>
  <c r="DB36" i="12"/>
  <c r="DC36" i="12"/>
  <c r="DD36" i="12"/>
  <c r="DE36" i="12"/>
  <c r="DF36" i="12"/>
  <c r="DG36" i="12"/>
  <c r="AG7" i="12"/>
  <c r="AH7" i="12"/>
  <c r="AI7" i="12"/>
  <c r="AJ7" i="12"/>
  <c r="AK7" i="12"/>
  <c r="AL7" i="12"/>
  <c r="AM7" i="12"/>
  <c r="AN7" i="12"/>
  <c r="AO7" i="12"/>
  <c r="AP7" i="12"/>
  <c r="AQ7" i="12"/>
  <c r="AR7" i="12"/>
  <c r="AS7" i="12"/>
  <c r="AT7" i="12"/>
  <c r="AU7" i="12"/>
  <c r="AV7" i="12"/>
  <c r="AW7" i="12"/>
  <c r="AX7" i="12"/>
  <c r="AY7" i="12"/>
  <c r="AZ7" i="12"/>
  <c r="BA7" i="12"/>
  <c r="BB7" i="12"/>
  <c r="BC7" i="12"/>
  <c r="BD7" i="12"/>
  <c r="BE7" i="12"/>
  <c r="BF7" i="12"/>
  <c r="BG7" i="12"/>
  <c r="BH7" i="12"/>
  <c r="BI7" i="12"/>
  <c r="BJ7" i="12"/>
  <c r="BK7" i="12"/>
  <c r="BL7" i="12"/>
  <c r="BM7" i="12"/>
  <c r="BN7" i="12"/>
  <c r="BO7" i="12"/>
  <c r="BP7" i="12"/>
  <c r="BQ7" i="12"/>
  <c r="BR7" i="12"/>
  <c r="BS7" i="12"/>
  <c r="BT7" i="12"/>
  <c r="BU7" i="12"/>
  <c r="BV7" i="12"/>
  <c r="BW7" i="12"/>
  <c r="BX7" i="12"/>
  <c r="BY7" i="12"/>
  <c r="BZ7" i="12"/>
  <c r="CA7" i="12"/>
  <c r="CB7" i="12"/>
  <c r="CC7" i="12"/>
  <c r="CD7" i="12"/>
  <c r="CE7" i="12"/>
  <c r="CF7" i="12"/>
  <c r="CG7" i="12"/>
  <c r="CH7" i="12"/>
  <c r="CI7" i="12"/>
  <c r="CJ7" i="12"/>
  <c r="CK7" i="12"/>
  <c r="CL7" i="12"/>
  <c r="CM7" i="12"/>
  <c r="CN7" i="12"/>
  <c r="CO7" i="12"/>
  <c r="CP7" i="12"/>
  <c r="CQ7" i="12"/>
  <c r="CR7" i="12"/>
  <c r="CS7" i="12"/>
  <c r="CT7" i="12"/>
  <c r="CU7" i="12"/>
  <c r="CV7" i="12"/>
  <c r="CW7" i="12"/>
  <c r="CX7" i="12"/>
  <c r="CY7" i="12"/>
  <c r="CZ7" i="12"/>
  <c r="DA7" i="12"/>
  <c r="DB7" i="12"/>
  <c r="DC7" i="12"/>
  <c r="DD7" i="12"/>
  <c r="DE7" i="12"/>
  <c r="DF7" i="12"/>
  <c r="DG7" i="12"/>
  <c r="AG8" i="12"/>
  <c r="AH8" i="12"/>
  <c r="AI8" i="12"/>
  <c r="AJ8" i="12"/>
  <c r="AK8" i="12"/>
  <c r="AL8" i="12"/>
  <c r="AM8" i="12"/>
  <c r="AN8" i="12"/>
  <c r="AO8" i="12"/>
  <c r="AP8" i="12"/>
  <c r="AQ8" i="12"/>
  <c r="AR8" i="12"/>
  <c r="AS8" i="12"/>
  <c r="AT8" i="12"/>
  <c r="AU8" i="12"/>
  <c r="AV8" i="12"/>
  <c r="AW8" i="12"/>
  <c r="AX8" i="12"/>
  <c r="AY8" i="12"/>
  <c r="AZ8" i="12"/>
  <c r="BA8" i="12"/>
  <c r="BB8" i="12"/>
  <c r="BC8" i="12"/>
  <c r="BD8" i="12"/>
  <c r="BE8" i="12"/>
  <c r="BF8" i="12"/>
  <c r="BG8" i="12"/>
  <c r="BH8" i="12"/>
  <c r="BI8" i="12"/>
  <c r="BJ8" i="12"/>
  <c r="BK8" i="12"/>
  <c r="BL8" i="12"/>
  <c r="BM8" i="12"/>
  <c r="BN8" i="12"/>
  <c r="BO8" i="12"/>
  <c r="BP8" i="12"/>
  <c r="BQ8" i="12"/>
  <c r="BR8" i="12"/>
  <c r="BS8" i="12"/>
  <c r="BT8" i="12"/>
  <c r="BU8" i="12"/>
  <c r="BV8" i="12"/>
  <c r="BW8" i="12"/>
  <c r="BX8" i="12"/>
  <c r="BY8" i="12"/>
  <c r="BZ8" i="12"/>
  <c r="CA8" i="12"/>
  <c r="CB8" i="12"/>
  <c r="CC8" i="12"/>
  <c r="CD8" i="12"/>
  <c r="CE8" i="12"/>
  <c r="CF8" i="12"/>
  <c r="CG8" i="12"/>
  <c r="CH8" i="12"/>
  <c r="CI8" i="12"/>
  <c r="CJ8" i="12"/>
  <c r="CK8" i="12"/>
  <c r="CL8" i="12"/>
  <c r="CM8" i="12"/>
  <c r="CN8" i="12"/>
  <c r="CO8" i="12"/>
  <c r="CP8" i="12"/>
  <c r="CQ8" i="12"/>
  <c r="CR8" i="12"/>
  <c r="CS8" i="12"/>
  <c r="CT8" i="12"/>
  <c r="CU8" i="12"/>
  <c r="CV8" i="12"/>
  <c r="CW8" i="12"/>
  <c r="CX8" i="12"/>
  <c r="CY8" i="12"/>
  <c r="CZ8" i="12"/>
  <c r="DA8" i="12"/>
  <c r="DB8" i="12"/>
  <c r="DC8" i="12"/>
  <c r="DD8" i="12"/>
  <c r="DE8" i="12"/>
  <c r="DF8" i="12"/>
  <c r="DG8" i="12"/>
  <c r="AG9" i="12"/>
  <c r="AH9" i="12"/>
  <c r="AI9" i="12"/>
  <c r="AJ9" i="12"/>
  <c r="AK9" i="12"/>
  <c r="AL9" i="12"/>
  <c r="AM9" i="12"/>
  <c r="AN9" i="12"/>
  <c r="AO9" i="12"/>
  <c r="AP9" i="12"/>
  <c r="AQ9" i="12"/>
  <c r="AR9" i="12"/>
  <c r="AS9" i="12"/>
  <c r="AT9" i="12"/>
  <c r="AU9" i="12"/>
  <c r="AV9" i="12"/>
  <c r="AW9" i="12"/>
  <c r="AX9" i="12"/>
  <c r="AY9" i="12"/>
  <c r="AZ9" i="12"/>
  <c r="BA9" i="12"/>
  <c r="BB9" i="12"/>
  <c r="BC9" i="12"/>
  <c r="BD9" i="12"/>
  <c r="BE9" i="12"/>
  <c r="BF9" i="12"/>
  <c r="BG9" i="12"/>
  <c r="BH9" i="12"/>
  <c r="BI9" i="12"/>
  <c r="BJ9" i="12"/>
  <c r="BK9" i="12"/>
  <c r="BL9" i="12"/>
  <c r="BM9" i="12"/>
  <c r="BN9" i="12"/>
  <c r="BO9" i="12"/>
  <c r="BP9" i="12"/>
  <c r="BQ9" i="12"/>
  <c r="BR9" i="12"/>
  <c r="BS9" i="12"/>
  <c r="BT9" i="12"/>
  <c r="BU9" i="12"/>
  <c r="BV9" i="12"/>
  <c r="BW9" i="12"/>
  <c r="BX9" i="12"/>
  <c r="BY9" i="12"/>
  <c r="BZ9" i="12"/>
  <c r="CA9" i="12"/>
  <c r="CB9" i="12"/>
  <c r="CC9" i="12"/>
  <c r="CD9" i="12"/>
  <c r="CE9" i="12"/>
  <c r="CF9" i="12"/>
  <c r="CG9" i="12"/>
  <c r="CH9" i="12"/>
  <c r="CI9" i="12"/>
  <c r="CJ9" i="12"/>
  <c r="CK9" i="12"/>
  <c r="CL9" i="12"/>
  <c r="CM9" i="12"/>
  <c r="CN9" i="12"/>
  <c r="CO9" i="12"/>
  <c r="CP9" i="12"/>
  <c r="CQ9" i="12"/>
  <c r="CR9" i="12"/>
  <c r="CS9" i="12"/>
  <c r="CT9" i="12"/>
  <c r="CU9" i="12"/>
  <c r="CV9" i="12"/>
  <c r="CW9" i="12"/>
  <c r="CX9" i="12"/>
  <c r="CY9" i="12"/>
  <c r="CZ9" i="12"/>
  <c r="DA9" i="12"/>
  <c r="DB9" i="12"/>
  <c r="DC9" i="12"/>
  <c r="DD9" i="12"/>
  <c r="DE9" i="12"/>
  <c r="DF9" i="12"/>
  <c r="DG9" i="12"/>
  <c r="AG11" i="12"/>
  <c r="AH11" i="12"/>
  <c r="AI11" i="12"/>
  <c r="AJ11" i="12"/>
  <c r="AK11" i="12"/>
  <c r="AL11" i="12"/>
  <c r="AM11" i="12"/>
  <c r="AN11" i="12"/>
  <c r="AO11" i="12"/>
  <c r="AP11" i="12"/>
  <c r="AQ11" i="12"/>
  <c r="AR11" i="12"/>
  <c r="AS11" i="12"/>
  <c r="AT11" i="12"/>
  <c r="AU11" i="12"/>
  <c r="AV11" i="12"/>
  <c r="AW11" i="12"/>
  <c r="AX11" i="12"/>
  <c r="AY11" i="12"/>
  <c r="AZ11" i="12"/>
  <c r="BA11" i="12"/>
  <c r="BB11" i="12"/>
  <c r="BC11" i="12"/>
  <c r="BD11" i="12"/>
  <c r="BE11" i="12"/>
  <c r="BF11" i="12"/>
  <c r="BG11" i="12"/>
  <c r="BH11" i="12"/>
  <c r="BI11" i="12"/>
  <c r="BJ11" i="12"/>
  <c r="BK11" i="12"/>
  <c r="BL11" i="12"/>
  <c r="BM11" i="12"/>
  <c r="BN11" i="12"/>
  <c r="BO11" i="12"/>
  <c r="BP11" i="12"/>
  <c r="BQ11" i="12"/>
  <c r="BR11" i="12"/>
  <c r="BS11" i="12"/>
  <c r="BT11" i="12"/>
  <c r="BU11" i="12"/>
  <c r="BV11" i="12"/>
  <c r="BW11" i="12"/>
  <c r="BX11" i="12"/>
  <c r="BY11" i="12"/>
  <c r="BZ11" i="12"/>
  <c r="CA11" i="12"/>
  <c r="CB11" i="12"/>
  <c r="CC11" i="12"/>
  <c r="CD11" i="12"/>
  <c r="CE11" i="12"/>
  <c r="CF11" i="12"/>
  <c r="CG11" i="12"/>
  <c r="CH11" i="12"/>
  <c r="CI11" i="12"/>
  <c r="CJ11" i="12"/>
  <c r="CK11" i="12"/>
  <c r="CL11" i="12"/>
  <c r="CM11" i="12"/>
  <c r="CN11" i="12"/>
  <c r="CO11" i="12"/>
  <c r="CP11" i="12"/>
  <c r="CQ11" i="12"/>
  <c r="CR11" i="12"/>
  <c r="CS11" i="12"/>
  <c r="CT11" i="12"/>
  <c r="CU11" i="12"/>
  <c r="CV11" i="12"/>
  <c r="CW11" i="12"/>
  <c r="CX11" i="12"/>
  <c r="CY11" i="12"/>
  <c r="CZ11" i="12"/>
  <c r="DA11" i="12"/>
  <c r="DB11" i="12"/>
  <c r="DC11" i="12"/>
  <c r="DD11" i="12"/>
  <c r="DE11" i="12"/>
  <c r="DF11" i="12"/>
  <c r="DG11" i="12"/>
  <c r="AG12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AT12" i="12"/>
  <c r="AU12" i="12"/>
  <c r="AV12" i="12"/>
  <c r="AW12" i="12"/>
  <c r="AX12" i="12"/>
  <c r="AY12" i="12"/>
  <c r="AZ12" i="12"/>
  <c r="BA12" i="12"/>
  <c r="BB12" i="12"/>
  <c r="BC12" i="12"/>
  <c r="BD12" i="12"/>
  <c r="BE12" i="12"/>
  <c r="BF12" i="12"/>
  <c r="BG12" i="12"/>
  <c r="BH12" i="12"/>
  <c r="BI12" i="12"/>
  <c r="BJ12" i="12"/>
  <c r="BK12" i="12"/>
  <c r="BL12" i="12"/>
  <c r="BM12" i="12"/>
  <c r="BN12" i="12"/>
  <c r="BO12" i="12"/>
  <c r="BP12" i="12"/>
  <c r="BQ12" i="12"/>
  <c r="BR12" i="12"/>
  <c r="BS12" i="12"/>
  <c r="BT12" i="12"/>
  <c r="BU12" i="12"/>
  <c r="BV12" i="12"/>
  <c r="BW12" i="12"/>
  <c r="BX12" i="12"/>
  <c r="BY12" i="12"/>
  <c r="BZ12" i="12"/>
  <c r="CA12" i="12"/>
  <c r="CB12" i="12"/>
  <c r="CC12" i="12"/>
  <c r="CD12" i="12"/>
  <c r="CE12" i="12"/>
  <c r="CF12" i="12"/>
  <c r="CG12" i="12"/>
  <c r="CH12" i="12"/>
  <c r="CI12" i="12"/>
  <c r="CJ12" i="12"/>
  <c r="CK12" i="12"/>
  <c r="CL12" i="12"/>
  <c r="CM12" i="12"/>
  <c r="CN12" i="12"/>
  <c r="CO12" i="12"/>
  <c r="CP12" i="12"/>
  <c r="CQ12" i="12"/>
  <c r="CR12" i="12"/>
  <c r="CS12" i="12"/>
  <c r="CT12" i="12"/>
  <c r="CU12" i="12"/>
  <c r="CV12" i="12"/>
  <c r="CW12" i="12"/>
  <c r="CX12" i="12"/>
  <c r="CY12" i="12"/>
  <c r="CZ12" i="12"/>
  <c r="DA12" i="12"/>
  <c r="DB12" i="12"/>
  <c r="DC12" i="12"/>
  <c r="DD12" i="12"/>
  <c r="DE12" i="12"/>
  <c r="DF12" i="12"/>
  <c r="DG12" i="12"/>
  <c r="AG13" i="12"/>
  <c r="AH13" i="12"/>
  <c r="AI13" i="12"/>
  <c r="AJ13" i="12"/>
  <c r="AK13" i="12"/>
  <c r="AL13" i="12"/>
  <c r="AM13" i="12"/>
  <c r="AN13" i="12"/>
  <c r="AO13" i="12"/>
  <c r="AP13" i="12"/>
  <c r="AQ13" i="12"/>
  <c r="AR13" i="12"/>
  <c r="AS13" i="12"/>
  <c r="AT13" i="12"/>
  <c r="AU13" i="12"/>
  <c r="AV13" i="12"/>
  <c r="AW13" i="12"/>
  <c r="AX13" i="12"/>
  <c r="AY13" i="12"/>
  <c r="AZ13" i="12"/>
  <c r="BA13" i="12"/>
  <c r="BB13" i="12"/>
  <c r="BC13" i="12"/>
  <c r="BD13" i="12"/>
  <c r="BE13" i="12"/>
  <c r="BF13" i="12"/>
  <c r="BG13" i="12"/>
  <c r="BH13" i="12"/>
  <c r="BI13" i="12"/>
  <c r="BJ13" i="12"/>
  <c r="BK13" i="12"/>
  <c r="BL13" i="12"/>
  <c r="BM13" i="12"/>
  <c r="BN13" i="12"/>
  <c r="BO13" i="12"/>
  <c r="BP13" i="12"/>
  <c r="BQ13" i="12"/>
  <c r="BR13" i="12"/>
  <c r="BS13" i="12"/>
  <c r="BT13" i="12"/>
  <c r="BU13" i="12"/>
  <c r="BV13" i="12"/>
  <c r="BW13" i="12"/>
  <c r="BX13" i="12"/>
  <c r="BY13" i="12"/>
  <c r="BZ13" i="12"/>
  <c r="CA13" i="12"/>
  <c r="CB13" i="12"/>
  <c r="CC13" i="12"/>
  <c r="CD13" i="12"/>
  <c r="CE13" i="12"/>
  <c r="CF13" i="12"/>
  <c r="CG13" i="12"/>
  <c r="CH13" i="12"/>
  <c r="CI13" i="12"/>
  <c r="CJ13" i="12"/>
  <c r="CK13" i="12"/>
  <c r="CL13" i="12"/>
  <c r="CM13" i="12"/>
  <c r="CN13" i="12"/>
  <c r="CO13" i="12"/>
  <c r="CP13" i="12"/>
  <c r="CQ13" i="12"/>
  <c r="CR13" i="12"/>
  <c r="CS13" i="12"/>
  <c r="CT13" i="12"/>
  <c r="CU13" i="12"/>
  <c r="CV13" i="12"/>
  <c r="CW13" i="12"/>
  <c r="CX13" i="12"/>
  <c r="CY13" i="12"/>
  <c r="CZ13" i="12"/>
  <c r="DA13" i="12"/>
  <c r="DB13" i="12"/>
  <c r="DC13" i="12"/>
  <c r="DD13" i="12"/>
  <c r="DE13" i="12"/>
  <c r="DF13" i="12"/>
  <c r="DG13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AT15" i="12"/>
  <c r="AU15" i="12"/>
  <c r="AV15" i="12"/>
  <c r="AW15" i="12"/>
  <c r="AX15" i="12"/>
  <c r="AY15" i="12"/>
  <c r="AZ15" i="12"/>
  <c r="BA15" i="12"/>
  <c r="BB15" i="12"/>
  <c r="BC15" i="12"/>
  <c r="BD15" i="12"/>
  <c r="BE15" i="12"/>
  <c r="BF15" i="12"/>
  <c r="BG15" i="12"/>
  <c r="BH15" i="12"/>
  <c r="BI15" i="12"/>
  <c r="BJ15" i="12"/>
  <c r="BK15" i="12"/>
  <c r="BL15" i="12"/>
  <c r="BM15" i="12"/>
  <c r="BN15" i="12"/>
  <c r="BO15" i="12"/>
  <c r="BP15" i="12"/>
  <c r="BQ15" i="12"/>
  <c r="BR15" i="12"/>
  <c r="BS15" i="12"/>
  <c r="BT15" i="12"/>
  <c r="BU15" i="12"/>
  <c r="BV15" i="12"/>
  <c r="BW15" i="12"/>
  <c r="BX15" i="12"/>
  <c r="BY15" i="12"/>
  <c r="BZ15" i="12"/>
  <c r="CA15" i="12"/>
  <c r="CB15" i="12"/>
  <c r="CC15" i="12"/>
  <c r="CD15" i="12"/>
  <c r="CE15" i="12"/>
  <c r="CF15" i="12"/>
  <c r="CG15" i="12"/>
  <c r="CH15" i="12"/>
  <c r="CI15" i="12"/>
  <c r="CJ15" i="12"/>
  <c r="CK15" i="12"/>
  <c r="CL15" i="12"/>
  <c r="CM15" i="12"/>
  <c r="CN15" i="12"/>
  <c r="CO15" i="12"/>
  <c r="CP15" i="12"/>
  <c r="CQ15" i="12"/>
  <c r="CR15" i="12"/>
  <c r="CS15" i="12"/>
  <c r="CT15" i="12"/>
  <c r="CU15" i="12"/>
  <c r="CV15" i="12"/>
  <c r="CW15" i="12"/>
  <c r="CX15" i="12"/>
  <c r="CY15" i="12"/>
  <c r="CZ15" i="12"/>
  <c r="DA15" i="12"/>
  <c r="DB15" i="12"/>
  <c r="DC15" i="12"/>
  <c r="DD15" i="12"/>
  <c r="DE15" i="12"/>
  <c r="DF15" i="12"/>
  <c r="DG15" i="12"/>
  <c r="AG16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AT16" i="12"/>
  <c r="AU16" i="12"/>
  <c r="AV16" i="12"/>
  <c r="AW16" i="12"/>
  <c r="AX16" i="12"/>
  <c r="AY16" i="12"/>
  <c r="AZ16" i="12"/>
  <c r="BA16" i="12"/>
  <c r="BB16" i="12"/>
  <c r="BC16" i="12"/>
  <c r="BD16" i="12"/>
  <c r="BE16" i="12"/>
  <c r="BF16" i="12"/>
  <c r="BG16" i="12"/>
  <c r="BH16" i="12"/>
  <c r="BI16" i="12"/>
  <c r="BJ16" i="12"/>
  <c r="BK16" i="12"/>
  <c r="BL16" i="12"/>
  <c r="BM16" i="12"/>
  <c r="BN16" i="12"/>
  <c r="BO16" i="12"/>
  <c r="BP16" i="12"/>
  <c r="BQ16" i="12"/>
  <c r="BR16" i="12"/>
  <c r="BS16" i="12"/>
  <c r="BT16" i="12"/>
  <c r="BU16" i="12"/>
  <c r="BV16" i="12"/>
  <c r="BW16" i="12"/>
  <c r="BX16" i="12"/>
  <c r="BY16" i="12"/>
  <c r="BZ16" i="12"/>
  <c r="CA16" i="12"/>
  <c r="CB16" i="12"/>
  <c r="CC16" i="12"/>
  <c r="CD16" i="12"/>
  <c r="CE16" i="12"/>
  <c r="CF16" i="12"/>
  <c r="CG16" i="12"/>
  <c r="CH16" i="12"/>
  <c r="CI16" i="12"/>
  <c r="CJ16" i="12"/>
  <c r="CK16" i="12"/>
  <c r="CL16" i="12"/>
  <c r="CM16" i="12"/>
  <c r="CN16" i="12"/>
  <c r="CO16" i="12"/>
  <c r="CP16" i="12"/>
  <c r="CQ16" i="12"/>
  <c r="CR16" i="12"/>
  <c r="CS16" i="12"/>
  <c r="CT16" i="12"/>
  <c r="CU16" i="12"/>
  <c r="CV16" i="12"/>
  <c r="CW16" i="12"/>
  <c r="CX16" i="12"/>
  <c r="CY16" i="12"/>
  <c r="CZ16" i="12"/>
  <c r="DA16" i="12"/>
  <c r="DB16" i="12"/>
  <c r="DC16" i="12"/>
  <c r="DD16" i="12"/>
  <c r="DE16" i="12"/>
  <c r="DF16" i="12"/>
  <c r="DG16" i="12"/>
  <c r="AG18" i="12"/>
  <c r="AH18" i="12"/>
  <c r="AI18" i="12"/>
  <c r="AJ18" i="12"/>
  <c r="AK18" i="12"/>
  <c r="AL18" i="12"/>
  <c r="AM18" i="12"/>
  <c r="AN18" i="12"/>
  <c r="AO18" i="12"/>
  <c r="AP18" i="12"/>
  <c r="AQ18" i="12"/>
  <c r="AR18" i="12"/>
  <c r="AS18" i="12"/>
  <c r="AT18" i="12"/>
  <c r="AU18" i="12"/>
  <c r="AV18" i="12"/>
  <c r="AW18" i="12"/>
  <c r="AX18" i="12"/>
  <c r="AY18" i="12"/>
  <c r="AZ18" i="12"/>
  <c r="BA18" i="12"/>
  <c r="BB18" i="12"/>
  <c r="BC18" i="12"/>
  <c r="BD18" i="12"/>
  <c r="BE18" i="12"/>
  <c r="BF18" i="12"/>
  <c r="BG18" i="12"/>
  <c r="BH18" i="12"/>
  <c r="BI18" i="12"/>
  <c r="BJ18" i="12"/>
  <c r="BK18" i="12"/>
  <c r="BL18" i="12"/>
  <c r="BM18" i="12"/>
  <c r="BN18" i="12"/>
  <c r="BO18" i="12"/>
  <c r="BP18" i="12"/>
  <c r="BQ18" i="12"/>
  <c r="BR18" i="12"/>
  <c r="BS18" i="12"/>
  <c r="BT18" i="12"/>
  <c r="BU18" i="12"/>
  <c r="BV18" i="12"/>
  <c r="BW18" i="12"/>
  <c r="BX18" i="12"/>
  <c r="BY18" i="12"/>
  <c r="BZ18" i="12"/>
  <c r="CA18" i="12"/>
  <c r="CB18" i="12"/>
  <c r="CC18" i="12"/>
  <c r="CD18" i="12"/>
  <c r="CE18" i="12"/>
  <c r="CF18" i="12"/>
  <c r="CG18" i="12"/>
  <c r="CH18" i="12"/>
  <c r="CI18" i="12"/>
  <c r="CJ18" i="12"/>
  <c r="CK18" i="12"/>
  <c r="CL18" i="12"/>
  <c r="CM18" i="12"/>
  <c r="CN18" i="12"/>
  <c r="CO18" i="12"/>
  <c r="CP18" i="12"/>
  <c r="CQ18" i="12"/>
  <c r="CR18" i="12"/>
  <c r="CS18" i="12"/>
  <c r="CT18" i="12"/>
  <c r="CU18" i="12"/>
  <c r="CV18" i="12"/>
  <c r="CW18" i="12"/>
  <c r="CX18" i="12"/>
  <c r="CY18" i="12"/>
  <c r="CZ18" i="12"/>
  <c r="DA18" i="12"/>
  <c r="DB18" i="12"/>
  <c r="DC18" i="12"/>
  <c r="DD18" i="12"/>
  <c r="DE18" i="12"/>
  <c r="DF18" i="12"/>
  <c r="DG18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AT19" i="12"/>
  <c r="AU19" i="12"/>
  <c r="AV19" i="12"/>
  <c r="AW19" i="12"/>
  <c r="AX19" i="12"/>
  <c r="AY19" i="12"/>
  <c r="AZ19" i="12"/>
  <c r="BA19" i="12"/>
  <c r="BB19" i="12"/>
  <c r="BC19" i="12"/>
  <c r="BD19" i="12"/>
  <c r="BE19" i="12"/>
  <c r="BF19" i="12"/>
  <c r="BG19" i="12"/>
  <c r="BH19" i="12"/>
  <c r="BI19" i="12"/>
  <c r="BJ19" i="12"/>
  <c r="BK19" i="12"/>
  <c r="BL19" i="12"/>
  <c r="BM19" i="12"/>
  <c r="BN19" i="12"/>
  <c r="BO19" i="12"/>
  <c r="BP19" i="12"/>
  <c r="BQ19" i="12"/>
  <c r="BR19" i="12"/>
  <c r="BS19" i="12"/>
  <c r="BT19" i="12"/>
  <c r="BU19" i="12"/>
  <c r="BV19" i="12"/>
  <c r="BW19" i="12"/>
  <c r="BX19" i="12"/>
  <c r="BY19" i="12"/>
  <c r="BZ19" i="12"/>
  <c r="CA19" i="12"/>
  <c r="CB19" i="12"/>
  <c r="CC19" i="12"/>
  <c r="CD19" i="12"/>
  <c r="CE19" i="12"/>
  <c r="CF19" i="12"/>
  <c r="CG19" i="12"/>
  <c r="CH19" i="12"/>
  <c r="CI19" i="12"/>
  <c r="CJ19" i="12"/>
  <c r="CK19" i="12"/>
  <c r="CL19" i="12"/>
  <c r="CM19" i="12"/>
  <c r="CN19" i="12"/>
  <c r="CO19" i="12"/>
  <c r="CP19" i="12"/>
  <c r="CQ19" i="12"/>
  <c r="CR19" i="12"/>
  <c r="CS19" i="12"/>
  <c r="CT19" i="12"/>
  <c r="CU19" i="12"/>
  <c r="CV19" i="12"/>
  <c r="CW19" i="12"/>
  <c r="CX19" i="12"/>
  <c r="CY19" i="12"/>
  <c r="CZ19" i="12"/>
  <c r="DA19" i="12"/>
  <c r="DB19" i="12"/>
  <c r="DC19" i="12"/>
  <c r="DD19" i="12"/>
  <c r="DE19" i="12"/>
  <c r="DF19" i="12"/>
  <c r="DG19" i="12"/>
  <c r="AF36" i="12"/>
  <c r="AF35" i="12"/>
  <c r="AF33" i="12"/>
  <c r="AF32" i="12"/>
  <c r="AF30" i="12"/>
  <c r="AF29" i="12"/>
  <c r="AF28" i="12"/>
  <c r="AF26" i="12"/>
  <c r="AF25" i="12"/>
  <c r="AF24" i="12"/>
  <c r="AF18" i="12"/>
  <c r="AF19" i="12"/>
  <c r="AF16" i="12"/>
  <c r="AF15" i="12"/>
  <c r="AF13" i="12"/>
  <c r="AF12" i="12"/>
  <c r="AF11" i="12"/>
  <c r="AF9" i="12"/>
  <c r="AF8" i="12"/>
  <c r="AF7" i="12"/>
  <c r="B38" i="12"/>
  <c r="C37" i="12"/>
  <c r="F36" i="12"/>
  <c r="D36" i="12"/>
  <c r="D35" i="12"/>
  <c r="C34" i="12"/>
  <c r="F33" i="12"/>
  <c r="D33" i="12"/>
  <c r="F32" i="12"/>
  <c r="D32" i="12"/>
  <c r="C31" i="12"/>
  <c r="F30" i="12"/>
  <c r="D30" i="12"/>
  <c r="F29" i="12"/>
  <c r="D29" i="12"/>
  <c r="F28" i="12"/>
  <c r="D28" i="12"/>
  <c r="C27" i="12"/>
  <c r="F26" i="12"/>
  <c r="D26" i="12"/>
  <c r="F25" i="12"/>
  <c r="D25" i="12"/>
  <c r="F24" i="12"/>
  <c r="D24" i="12"/>
  <c r="B21" i="12"/>
  <c r="C20" i="12"/>
  <c r="F19" i="12"/>
  <c r="D19" i="12"/>
  <c r="C19" i="12"/>
  <c r="F18" i="12"/>
  <c r="D18" i="12"/>
  <c r="C18" i="12"/>
  <c r="C17" i="12"/>
  <c r="F16" i="12"/>
  <c r="D16" i="12"/>
  <c r="C16" i="12"/>
  <c r="F15" i="12"/>
  <c r="D15" i="12"/>
  <c r="C15" i="12"/>
  <c r="C14" i="12"/>
  <c r="F13" i="12"/>
  <c r="D13" i="12"/>
  <c r="C13" i="12"/>
  <c r="F12" i="12"/>
  <c r="D12" i="12"/>
  <c r="C12" i="12"/>
  <c r="F11" i="12"/>
  <c r="D11" i="12"/>
  <c r="C11" i="12"/>
  <c r="C10" i="12"/>
  <c r="F9" i="12"/>
  <c r="D9" i="12"/>
  <c r="C9" i="12"/>
  <c r="F8" i="12"/>
  <c r="D8" i="12"/>
  <c r="C8" i="12"/>
  <c r="F7" i="12"/>
  <c r="D7" i="12"/>
  <c r="C7" i="12"/>
  <c r="I33" i="4"/>
  <c r="H33" i="4"/>
  <c r="G33" i="4"/>
  <c r="F33" i="4"/>
  <c r="I32" i="4"/>
  <c r="H32" i="4"/>
  <c r="G32" i="4"/>
  <c r="F32" i="4"/>
  <c r="I30" i="4"/>
  <c r="H30" i="4"/>
  <c r="G30" i="4"/>
  <c r="F30" i="4"/>
  <c r="I29" i="4"/>
  <c r="H29" i="4"/>
  <c r="G29" i="4"/>
  <c r="F29" i="4"/>
  <c r="I27" i="4"/>
  <c r="H27" i="4"/>
  <c r="G27" i="4"/>
  <c r="F27" i="4"/>
  <c r="I26" i="4"/>
  <c r="H26" i="4"/>
  <c r="G26" i="4"/>
  <c r="F26" i="4"/>
  <c r="I25" i="4"/>
  <c r="H25" i="4"/>
  <c r="G25" i="4"/>
  <c r="F25" i="4"/>
  <c r="F22" i="4"/>
  <c r="G22" i="4"/>
  <c r="H22" i="4"/>
  <c r="I22" i="4"/>
  <c r="F23" i="4"/>
  <c r="G23" i="4"/>
  <c r="H23" i="4"/>
  <c r="I23" i="4"/>
  <c r="G21" i="4"/>
  <c r="H21" i="4"/>
  <c r="I21" i="4"/>
  <c r="F21" i="4"/>
  <c r="CO15" i="14" l="1"/>
  <c r="F3" i="19"/>
  <c r="B34" i="6"/>
  <c r="C33" i="6"/>
  <c r="E32" i="6"/>
  <c r="D32" i="6"/>
  <c r="D31" i="6"/>
  <c r="C30" i="6"/>
  <c r="E29" i="6"/>
  <c r="D29" i="6"/>
  <c r="E28" i="6"/>
  <c r="D28" i="6"/>
  <c r="C27" i="6"/>
  <c r="E26" i="6"/>
  <c r="D26" i="6"/>
  <c r="E25" i="6"/>
  <c r="D25" i="6"/>
  <c r="E24" i="6"/>
  <c r="D24" i="6"/>
  <c r="C23" i="6"/>
  <c r="E22" i="6"/>
  <c r="D22" i="6"/>
  <c r="E21" i="6"/>
  <c r="D21" i="6"/>
  <c r="E20" i="6"/>
  <c r="D20" i="6"/>
  <c r="C16" i="6"/>
  <c r="B17" i="15" s="1"/>
  <c r="C13" i="6"/>
  <c r="B14" i="15" s="1"/>
  <c r="C10" i="6"/>
  <c r="B11" i="15" s="1"/>
  <c r="C6" i="6"/>
  <c r="B7" i="15" s="1"/>
  <c r="E15" i="6"/>
  <c r="E14" i="6"/>
  <c r="E12" i="6"/>
  <c r="E11" i="6"/>
  <c r="E9" i="6"/>
  <c r="E8" i="6"/>
  <c r="E7" i="6"/>
  <c r="E5" i="6"/>
  <c r="E4" i="6"/>
  <c r="E3" i="6"/>
  <c r="C15" i="6"/>
  <c r="D15" i="6"/>
  <c r="B16" i="15" s="1"/>
  <c r="D14" i="6"/>
  <c r="B15" i="15" s="1"/>
  <c r="C14" i="6"/>
  <c r="C12" i="6"/>
  <c r="D12" i="6"/>
  <c r="B13" i="15" s="1"/>
  <c r="B31" i="15" s="1"/>
  <c r="D11" i="6"/>
  <c r="B12" i="15" s="1"/>
  <c r="C11" i="6"/>
  <c r="C9" i="6"/>
  <c r="D9" i="6"/>
  <c r="B10" i="15" s="1"/>
  <c r="B28" i="15" s="1"/>
  <c r="D8" i="6"/>
  <c r="B9" i="15" s="1"/>
  <c r="C8" i="6"/>
  <c r="C7" i="6"/>
  <c r="D7" i="6"/>
  <c r="B8" i="15" s="1"/>
  <c r="D5" i="6"/>
  <c r="B6" i="15" s="1"/>
  <c r="C5" i="6"/>
  <c r="C4" i="6"/>
  <c r="D4" i="6"/>
  <c r="B5" i="15" s="1"/>
  <c r="B23" i="15" s="1"/>
  <c r="D3" i="6"/>
  <c r="B4" i="15" s="1"/>
  <c r="B17" i="6"/>
  <c r="B18" i="15" s="1"/>
  <c r="B36" i="15" s="1"/>
  <c r="B35" i="4"/>
  <c r="B32" i="4"/>
  <c r="B29" i="4"/>
  <c r="B25" i="4"/>
  <c r="B21" i="4"/>
  <c r="C32" i="4"/>
  <c r="C33" i="4"/>
  <c r="C32" i="6" s="1"/>
  <c r="C34" i="4"/>
  <c r="D33" i="4"/>
  <c r="E33" i="4"/>
  <c r="E32" i="4"/>
  <c r="E31" i="6" s="1"/>
  <c r="D32" i="4"/>
  <c r="C31" i="4"/>
  <c r="E30" i="4"/>
  <c r="E29" i="4"/>
  <c r="D30" i="4"/>
  <c r="D29" i="4"/>
  <c r="C30" i="4"/>
  <c r="C29" i="6" s="1"/>
  <c r="C29" i="4"/>
  <c r="C28" i="6" s="1"/>
  <c r="C26" i="4"/>
  <c r="C27" i="4"/>
  <c r="C26" i="6" s="1"/>
  <c r="C25" i="4"/>
  <c r="C24" i="6" s="1"/>
  <c r="C28" i="4"/>
  <c r="D26" i="4"/>
  <c r="E26" i="4"/>
  <c r="D27" i="4"/>
  <c r="E27" i="4"/>
  <c r="C24" i="4"/>
  <c r="E25" i="4"/>
  <c r="D25" i="4"/>
  <c r="E23" i="4"/>
  <c r="D23" i="4"/>
  <c r="E22" i="4"/>
  <c r="D22" i="4"/>
  <c r="C22" i="4"/>
  <c r="C21" i="6" s="1"/>
  <c r="C23" i="4"/>
  <c r="C22" i="6" s="1"/>
  <c r="D21" i="4"/>
  <c r="E21" i="4"/>
  <c r="C21" i="4"/>
  <c r="A15" i="4"/>
  <c r="A12" i="4"/>
  <c r="A8" i="4"/>
  <c r="A4" i="4"/>
  <c r="E32" i="14" l="1"/>
  <c r="F35" i="12"/>
  <c r="E32" i="13"/>
  <c r="G2" i="15"/>
  <c r="B25" i="15"/>
  <c r="D2" i="15"/>
  <c r="C2" i="15"/>
  <c r="B22" i="15"/>
  <c r="I2" i="15"/>
  <c r="B27" i="15"/>
  <c r="O2" i="15"/>
  <c r="B33" i="15"/>
  <c r="N2" i="15"/>
  <c r="K2" i="15"/>
  <c r="B29" i="15"/>
  <c r="J2" i="15"/>
  <c r="H2" i="15"/>
  <c r="B26" i="15"/>
  <c r="P2" i="15"/>
  <c r="B34" i="15"/>
  <c r="Q2" i="15"/>
  <c r="B35" i="15"/>
  <c r="B32" i="15"/>
  <c r="M2" i="15"/>
  <c r="F2" i="15"/>
  <c r="B24" i="15"/>
  <c r="E2" i="15"/>
  <c r="L2" i="15"/>
  <c r="B30" i="15"/>
  <c r="A18" i="12"/>
  <c r="A15" i="13"/>
  <c r="A15" i="14"/>
  <c r="A15" i="12"/>
  <c r="A12" i="13"/>
  <c r="A12" i="14"/>
  <c r="A8" i="13"/>
  <c r="A11" i="12"/>
  <c r="A8" i="14"/>
  <c r="A7" i="12"/>
  <c r="A4" i="13"/>
  <c r="A4" i="14"/>
  <c r="C33" i="14"/>
  <c r="C33" i="13"/>
  <c r="C36" i="12"/>
  <c r="A32" i="4"/>
  <c r="C35" i="12"/>
  <c r="C32" i="14"/>
  <c r="C32" i="13"/>
  <c r="C31" i="6"/>
  <c r="C33" i="12"/>
  <c r="C30" i="13"/>
  <c r="C30" i="14"/>
  <c r="C29" i="13"/>
  <c r="C29" i="14"/>
  <c r="C32" i="12"/>
  <c r="A29" i="4"/>
  <c r="C27" i="14"/>
  <c r="C30" i="12"/>
  <c r="C27" i="13"/>
  <c r="C26" i="13"/>
  <c r="C26" i="14"/>
  <c r="C29" i="12"/>
  <c r="C25" i="6"/>
  <c r="A25" i="4"/>
  <c r="C25" i="14"/>
  <c r="C25" i="13"/>
  <c r="C28" i="12"/>
  <c r="C23" i="13"/>
  <c r="C23" i="14"/>
  <c r="C26" i="12"/>
  <c r="C22" i="14"/>
  <c r="C22" i="13"/>
  <c r="C25" i="12"/>
  <c r="C24" i="12"/>
  <c r="C21" i="14"/>
  <c r="C21" i="13"/>
  <c r="C20" i="6"/>
  <c r="A21" i="4"/>
  <c r="A18" i="4"/>
  <c r="A35" i="12" l="1"/>
  <c r="A32" i="14"/>
  <c r="A32" i="13"/>
  <c r="A24" i="12"/>
  <c r="A21" i="14"/>
  <c r="A21" i="13"/>
  <c r="A25" i="13"/>
  <c r="A28" i="12"/>
  <c r="A25" i="14"/>
  <c r="A32" i="12"/>
  <c r="A29" i="14"/>
  <c r="A29" i="13"/>
  <c r="A18" i="13"/>
  <c r="A18" i="14"/>
  <c r="A35" i="4"/>
  <c r="A38" i="12" s="1"/>
  <c r="A21" i="12"/>
  <c r="A17" i="6"/>
  <c r="A35" i="14" l="1"/>
  <c r="A35" i="13"/>
  <c r="A34" i="6"/>
  <c r="P33" i="4"/>
  <c r="K33" i="13" s="1"/>
  <c r="P32" i="4"/>
  <c r="K32" i="13" s="1"/>
  <c r="T30" i="4"/>
  <c r="O30" i="13" s="1"/>
  <c r="T29" i="4"/>
  <c r="O29" i="13" s="1"/>
  <c r="R27" i="4"/>
  <c r="M27" i="13" s="1"/>
  <c r="R26" i="4"/>
  <c r="M26" i="13" s="1"/>
  <c r="R25" i="4"/>
  <c r="M25" i="13" s="1"/>
  <c r="P23" i="4"/>
  <c r="K23" i="13" s="1"/>
  <c r="P22" i="4"/>
  <c r="K22" i="13" s="1"/>
  <c r="P21" i="4"/>
  <c r="K21" i="13" s="1"/>
  <c r="P16" i="4"/>
  <c r="K16" i="13" s="1"/>
  <c r="P15" i="4"/>
  <c r="K15" i="13" s="1"/>
  <c r="T13" i="4"/>
  <c r="O13" i="13" s="1"/>
  <c r="T12" i="4"/>
  <c r="O12" i="13" s="1"/>
  <c r="R10" i="4"/>
  <c r="M10" i="13" s="1"/>
  <c r="R9" i="4"/>
  <c r="M9" i="13" s="1"/>
  <c r="R8" i="4"/>
  <c r="M8" i="13" s="1"/>
  <c r="P6" i="4"/>
  <c r="K6" i="13" s="1"/>
  <c r="P5" i="4"/>
  <c r="K5" i="13" s="1"/>
  <c r="P4" i="4"/>
  <c r="K4" i="13" s="1"/>
  <c r="AF9" i="2"/>
  <c r="Y8" i="12" l="1"/>
  <c r="Y19" i="12"/>
  <c r="AC16" i="12"/>
  <c r="AA12" i="12"/>
  <c r="Y7" i="12"/>
  <c r="Y18" i="12"/>
  <c r="Y9" i="12"/>
  <c r="AC15" i="12"/>
  <c r="AA11" i="12"/>
  <c r="AA13" i="12"/>
  <c r="Y26" i="12"/>
  <c r="AC32" i="12"/>
  <c r="AA30" i="12"/>
  <c r="Y25" i="12"/>
  <c r="Y36" i="12"/>
  <c r="AA29" i="12"/>
  <c r="AC33" i="12"/>
  <c r="Y24" i="12"/>
  <c r="Y35" i="12"/>
  <c r="AA28" i="12"/>
  <c r="BG7" i="2"/>
  <c r="BG24" i="2"/>
  <c r="BG8" i="2"/>
  <c r="BG25" i="2"/>
  <c r="BG9" i="2"/>
  <c r="BG26" i="2"/>
  <c r="BG11" i="2"/>
  <c r="BG28" i="2"/>
  <c r="BG12" i="2"/>
  <c r="BG29" i="2"/>
  <c r="BG13" i="2"/>
  <c r="BG30" i="2"/>
  <c r="BG15" i="2"/>
  <c r="BG32" i="2"/>
  <c r="BG16" i="2"/>
  <c r="BG33" i="2"/>
  <c r="BG18" i="2"/>
  <c r="BG35" i="2"/>
  <c r="BG19" i="2"/>
  <c r="BG36" i="2"/>
  <c r="BF25" i="2"/>
  <c r="BF26" i="2"/>
  <c r="BF28" i="2"/>
  <c r="BF29" i="2"/>
  <c r="BF30" i="2"/>
  <c r="BF32" i="2"/>
  <c r="BF33" i="2"/>
  <c r="BF35" i="2"/>
  <c r="BF36" i="2"/>
  <c r="BH80" i="1"/>
  <c r="BG73" i="1"/>
  <c r="BG59" i="1"/>
  <c r="BG60" i="1" s="1"/>
  <c r="BG43" i="1"/>
  <c r="BG19" i="1"/>
  <c r="BG32" i="1"/>
  <c r="BG35" i="1" s="1"/>
  <c r="BH35" i="1"/>
  <c r="BH19" i="1"/>
  <c r="BH36" i="1" s="1"/>
  <c r="BH43" i="1"/>
  <c r="BH59" i="1"/>
  <c r="BH60" i="1" s="1"/>
  <c r="BH73" i="1"/>
  <c r="BH75" i="1" s="1"/>
  <c r="BH91" i="1"/>
  <c r="E35" i="1"/>
  <c r="E59" i="1"/>
  <c r="AF7" i="2"/>
  <c r="F35" i="1"/>
  <c r="AF24" i="2" s="1"/>
  <c r="F59" i="1"/>
  <c r="G35" i="1"/>
  <c r="AG7" i="2" s="1"/>
  <c r="G59" i="1"/>
  <c r="H35" i="1"/>
  <c r="H59" i="1"/>
  <c r="AG35" i="2" s="1"/>
  <c r="AG24" i="2"/>
  <c r="I32" i="1"/>
  <c r="I35" i="1" s="1"/>
  <c r="I36" i="1" s="1"/>
  <c r="I59" i="1"/>
  <c r="J32" i="1"/>
  <c r="J35" i="1" s="1"/>
  <c r="AH35" i="2" s="1"/>
  <c r="J59" i="1"/>
  <c r="AH24" i="2"/>
  <c r="K35" i="1"/>
  <c r="AI18" i="2" s="1"/>
  <c r="K59" i="1"/>
  <c r="L35" i="1"/>
  <c r="AI24" i="2" s="1"/>
  <c r="L59" i="1"/>
  <c r="M35" i="1"/>
  <c r="M58" i="1"/>
  <c r="N35" i="1"/>
  <c r="AJ24" i="2" s="1"/>
  <c r="N58" i="1"/>
  <c r="N59" i="1"/>
  <c r="O35" i="1"/>
  <c r="O59" i="1"/>
  <c r="P35" i="1"/>
  <c r="AK24" i="2" s="1"/>
  <c r="P59" i="1"/>
  <c r="Q32" i="1"/>
  <c r="Q35" i="1" s="1"/>
  <c r="AL18" i="2" s="1"/>
  <c r="Q59" i="1"/>
  <c r="AL7" i="2"/>
  <c r="R32" i="1"/>
  <c r="R35" i="1" s="1"/>
  <c r="R59" i="1"/>
  <c r="S35" i="1"/>
  <c r="S59" i="1"/>
  <c r="AM7" i="2"/>
  <c r="T35" i="1"/>
  <c r="T59" i="1"/>
  <c r="U35" i="1"/>
  <c r="AN7" i="2" s="1"/>
  <c r="U59" i="1"/>
  <c r="V35" i="1"/>
  <c r="V59" i="1"/>
  <c r="AN24" i="2"/>
  <c r="W23" i="1"/>
  <c r="W35" i="1" s="1"/>
  <c r="W32" i="1"/>
  <c r="W59" i="1"/>
  <c r="X23" i="1"/>
  <c r="X32" i="1"/>
  <c r="X35" i="1"/>
  <c r="X59" i="1"/>
  <c r="Y35" i="1"/>
  <c r="AP7" i="2" s="1"/>
  <c r="Y59" i="1"/>
  <c r="Z35" i="1"/>
  <c r="Z59" i="1"/>
  <c r="AP35" i="2" s="1"/>
  <c r="AP24" i="2"/>
  <c r="AA35" i="1"/>
  <c r="AQ18" i="2" s="1"/>
  <c r="AA59" i="1"/>
  <c r="AB35" i="1"/>
  <c r="AQ24" i="2" s="1"/>
  <c r="AB59" i="1"/>
  <c r="AC35" i="1"/>
  <c r="AC59" i="1"/>
  <c r="AD35" i="1"/>
  <c r="AR24" i="2" s="1"/>
  <c r="AD59" i="1"/>
  <c r="AE32" i="1"/>
  <c r="AE35" i="1" s="1"/>
  <c r="AS18" i="2" s="1"/>
  <c r="AE59" i="1"/>
  <c r="AS7" i="2"/>
  <c r="AF32" i="1"/>
  <c r="AF35" i="1" s="1"/>
  <c r="AF59" i="1"/>
  <c r="AG35" i="1"/>
  <c r="AG59" i="1"/>
  <c r="AT7" i="2"/>
  <c r="AH35" i="1"/>
  <c r="AH59" i="1"/>
  <c r="AI23" i="1"/>
  <c r="AI35" i="1" s="1"/>
  <c r="AI59" i="1"/>
  <c r="AJ35" i="1"/>
  <c r="AU35" i="2" s="1"/>
  <c r="AJ59" i="1"/>
  <c r="AU24" i="2" s="1"/>
  <c r="AK35" i="1"/>
  <c r="AV7" i="2" s="1"/>
  <c r="AK59" i="1"/>
  <c r="AL35" i="1"/>
  <c r="AL59" i="1"/>
  <c r="AV24" i="2"/>
  <c r="AM35" i="1"/>
  <c r="AM59" i="1"/>
  <c r="AN35" i="1"/>
  <c r="AW24" i="2" s="1"/>
  <c r="AN59" i="1"/>
  <c r="AO35" i="1"/>
  <c r="AO59" i="1"/>
  <c r="AX18" i="2" s="1"/>
  <c r="AX7" i="2"/>
  <c r="AP35" i="1"/>
  <c r="AX35" i="2" s="1"/>
  <c r="AP59" i="1"/>
  <c r="AQ32" i="1"/>
  <c r="AQ35" i="1"/>
  <c r="AQ59" i="1"/>
  <c r="AY7" i="2"/>
  <c r="AR32" i="1"/>
  <c r="AR35" i="1" s="1"/>
  <c r="AR59" i="1"/>
  <c r="AS35" i="1"/>
  <c r="AZ7" i="2" s="1"/>
  <c r="AS59" i="1"/>
  <c r="AT35" i="1"/>
  <c r="AT59" i="1"/>
  <c r="AZ24" i="2" s="1"/>
  <c r="AU23" i="1"/>
  <c r="AU35" i="1" s="1"/>
  <c r="AU59" i="1"/>
  <c r="AV23" i="1"/>
  <c r="AV35" i="1"/>
  <c r="AV59" i="1"/>
  <c r="AW32" i="1"/>
  <c r="AW35" i="1" s="1"/>
  <c r="AW59" i="1"/>
  <c r="AX32" i="1"/>
  <c r="AX35" i="1"/>
  <c r="AX59" i="1"/>
  <c r="BB24" i="2" s="1"/>
  <c r="AY32" i="1"/>
  <c r="AY35" i="1" s="1"/>
  <c r="AY59" i="1"/>
  <c r="AZ32" i="1"/>
  <c r="AZ35" i="1"/>
  <c r="BC35" i="2" s="1"/>
  <c r="AZ59" i="1"/>
  <c r="BC24" i="2" s="1"/>
  <c r="BA32" i="1"/>
  <c r="BA35" i="1" s="1"/>
  <c r="BA59" i="1"/>
  <c r="BB32" i="1"/>
  <c r="BB35" i="1"/>
  <c r="BB59" i="1"/>
  <c r="BD24" i="2" s="1"/>
  <c r="BC32" i="1"/>
  <c r="BC35" i="1" s="1"/>
  <c r="BC59" i="1"/>
  <c r="BD32" i="1"/>
  <c r="BD35" i="1"/>
  <c r="BD59" i="1"/>
  <c r="BE24" i="2" s="1"/>
  <c r="BE32" i="1"/>
  <c r="BE35" i="1" s="1"/>
  <c r="BE59" i="1"/>
  <c r="BF32" i="1"/>
  <c r="BF35" i="1"/>
  <c r="BF59" i="1"/>
  <c r="BF60" i="1" s="1"/>
  <c r="BF93" i="1" s="1"/>
  <c r="BI32" i="1"/>
  <c r="BI35" i="1"/>
  <c r="BI59" i="1"/>
  <c r="BH7" i="2"/>
  <c r="BJ32" i="1"/>
  <c r="BJ35" i="1" s="1"/>
  <c r="BH24" i="2" s="1"/>
  <c r="BJ59" i="1"/>
  <c r="BL32" i="1"/>
  <c r="BL35" i="1"/>
  <c r="BL59" i="1"/>
  <c r="BI7" i="2"/>
  <c r="BK32" i="1"/>
  <c r="BK35" i="1" s="1"/>
  <c r="BK59" i="1"/>
  <c r="BM35" i="1"/>
  <c r="BJ7" i="2" s="1"/>
  <c r="BM59" i="1"/>
  <c r="BN35" i="1"/>
  <c r="BJ35" i="2" s="1"/>
  <c r="BN59" i="1"/>
  <c r="BJ24" i="2" s="1"/>
  <c r="BO32" i="1"/>
  <c r="BO35" i="1" s="1"/>
  <c r="BO59" i="1"/>
  <c r="BP32" i="1"/>
  <c r="BP35" i="1"/>
  <c r="BK35" i="2" s="1"/>
  <c r="BP59" i="1"/>
  <c r="BK24" i="2" s="1"/>
  <c r="BQ35" i="1"/>
  <c r="BL7" i="2" s="1"/>
  <c r="BQ59" i="1"/>
  <c r="BR35" i="1"/>
  <c r="BR59" i="1"/>
  <c r="BL24" i="2"/>
  <c r="BS35" i="1"/>
  <c r="BS59" i="1"/>
  <c r="BT35" i="1"/>
  <c r="BM24" i="2" s="1"/>
  <c r="BT59" i="1"/>
  <c r="BU22" i="1"/>
  <c r="BU32" i="1"/>
  <c r="BU33" i="1"/>
  <c r="BU35" i="1" s="1"/>
  <c r="BU59" i="1"/>
  <c r="BV22" i="1"/>
  <c r="BV32" i="1"/>
  <c r="BV33" i="1"/>
  <c r="BV35" i="1"/>
  <c r="BV59" i="1"/>
  <c r="BW32" i="1"/>
  <c r="BW35" i="1" s="1"/>
  <c r="BW59" i="1"/>
  <c r="BX32" i="1"/>
  <c r="BX35" i="1"/>
  <c r="BX59" i="1"/>
  <c r="BO24" i="2" s="1"/>
  <c r="BY35" i="1"/>
  <c r="BP7" i="2" s="1"/>
  <c r="BY59" i="1"/>
  <c r="BZ35" i="1"/>
  <c r="BZ59" i="1"/>
  <c r="BP24" i="2"/>
  <c r="CA35" i="1"/>
  <c r="CA59" i="1"/>
  <c r="CB35" i="1"/>
  <c r="BQ24" i="2" s="1"/>
  <c r="CB59" i="1"/>
  <c r="CC35" i="1"/>
  <c r="CC59" i="1"/>
  <c r="BR18" i="2" s="1"/>
  <c r="BR7" i="2"/>
  <c r="CD35" i="1"/>
  <c r="BR35" i="2" s="1"/>
  <c r="CD59" i="1"/>
  <c r="CE35" i="1"/>
  <c r="BS7" i="2" s="1"/>
  <c r="CE59" i="1"/>
  <c r="CF35" i="1"/>
  <c r="CF59" i="1"/>
  <c r="CG35" i="1"/>
  <c r="BT7" i="2" s="1"/>
  <c r="CG59" i="1"/>
  <c r="CH35" i="1"/>
  <c r="CH59" i="1"/>
  <c r="BT24" i="2"/>
  <c r="CI35" i="1"/>
  <c r="CI59" i="1"/>
  <c r="CJ35" i="1"/>
  <c r="BU24" i="2" s="1"/>
  <c r="CJ59" i="1"/>
  <c r="CK35" i="1"/>
  <c r="CK59" i="1"/>
  <c r="BV18" i="2" s="1"/>
  <c r="BV7" i="2"/>
  <c r="CL35" i="1"/>
  <c r="BV35" i="2" s="1"/>
  <c r="CL59" i="1"/>
  <c r="CM35" i="1"/>
  <c r="BW7" i="2" s="1"/>
  <c r="CM59" i="1"/>
  <c r="CN35" i="1"/>
  <c r="BW35" i="2" s="1"/>
  <c r="CN59" i="1"/>
  <c r="BW24" i="2" s="1"/>
  <c r="CO35" i="1"/>
  <c r="BX7" i="2" s="1"/>
  <c r="CO59" i="1"/>
  <c r="CP35" i="1"/>
  <c r="CP59" i="1"/>
  <c r="BX24" i="2"/>
  <c r="CQ35" i="1"/>
  <c r="CQ59" i="1"/>
  <c r="CR35" i="1"/>
  <c r="BY24" i="2" s="1"/>
  <c r="CR59" i="1"/>
  <c r="CS35" i="1"/>
  <c r="CS59" i="1"/>
  <c r="BZ18" i="2" s="1"/>
  <c r="BZ7" i="2"/>
  <c r="CT35" i="1"/>
  <c r="BZ35" i="2" s="1"/>
  <c r="CT59" i="1"/>
  <c r="CU35" i="1"/>
  <c r="CA7" i="2" s="1"/>
  <c r="CU59" i="1"/>
  <c r="CV35" i="1"/>
  <c r="CV59" i="1"/>
  <c r="CA24" i="2" s="1"/>
  <c r="CW35" i="1"/>
  <c r="CB7" i="2" s="1"/>
  <c r="CW59" i="1"/>
  <c r="CX35" i="1"/>
  <c r="CX59" i="1"/>
  <c r="CB24" i="2"/>
  <c r="CY32" i="1"/>
  <c r="CY35" i="1" s="1"/>
  <c r="CY59" i="1"/>
  <c r="CZ32" i="1"/>
  <c r="CZ35" i="1"/>
  <c r="CZ59" i="1"/>
  <c r="CC24" i="2"/>
  <c r="AF35" i="2"/>
  <c r="AG18" i="2"/>
  <c r="AI35" i="2"/>
  <c r="AJ35" i="2"/>
  <c r="AK35" i="2"/>
  <c r="AM18" i="2"/>
  <c r="AN18" i="2"/>
  <c r="AN35" i="2"/>
  <c r="AP18" i="2"/>
  <c r="AQ35" i="2"/>
  <c r="AR35" i="2"/>
  <c r="AT18" i="2"/>
  <c r="AV18" i="2"/>
  <c r="AV35" i="2"/>
  <c r="AW35" i="2"/>
  <c r="AY18" i="2"/>
  <c r="AZ18" i="2"/>
  <c r="AZ35" i="2"/>
  <c r="BD35" i="2"/>
  <c r="BH18" i="2"/>
  <c r="BH35" i="2"/>
  <c r="BI18" i="2"/>
  <c r="BJ18" i="2"/>
  <c r="BL18" i="2"/>
  <c r="BL35" i="2"/>
  <c r="BM35" i="2"/>
  <c r="BP18" i="2"/>
  <c r="BP35" i="2"/>
  <c r="BQ35" i="2"/>
  <c r="BS18" i="2"/>
  <c r="BT18" i="2"/>
  <c r="BT35" i="2"/>
  <c r="BU35" i="2"/>
  <c r="BW18" i="2"/>
  <c r="BX18" i="2"/>
  <c r="BX35" i="2"/>
  <c r="BY35" i="2"/>
  <c r="CA18" i="2"/>
  <c r="CB18" i="2"/>
  <c r="CB35" i="2"/>
  <c r="CC35" i="2"/>
  <c r="AF18" i="2"/>
  <c r="AF16" i="2"/>
  <c r="AF36" i="2"/>
  <c r="AG19" i="2"/>
  <c r="AG36" i="2"/>
  <c r="AH19" i="2"/>
  <c r="AH36" i="2"/>
  <c r="AI19" i="2"/>
  <c r="AI36" i="2"/>
  <c r="AJ19" i="2"/>
  <c r="AJ36" i="2"/>
  <c r="AK19" i="2"/>
  <c r="AK36" i="2"/>
  <c r="AL19" i="2"/>
  <c r="AL36" i="2"/>
  <c r="AM19" i="2"/>
  <c r="AM36" i="2"/>
  <c r="AN19" i="2"/>
  <c r="AN36" i="2"/>
  <c r="AO19" i="2"/>
  <c r="AO36" i="2"/>
  <c r="AP19" i="2"/>
  <c r="AP36" i="2"/>
  <c r="AQ19" i="2"/>
  <c r="AQ36" i="2"/>
  <c r="AR19" i="2"/>
  <c r="AR36" i="2"/>
  <c r="AS19" i="2"/>
  <c r="AS36" i="2"/>
  <c r="AT19" i="2"/>
  <c r="AT36" i="2"/>
  <c r="AU19" i="2"/>
  <c r="AU36" i="2"/>
  <c r="AV19" i="2"/>
  <c r="AV36" i="2"/>
  <c r="AW19" i="2"/>
  <c r="AW36" i="2"/>
  <c r="AX19" i="2"/>
  <c r="AX36" i="2"/>
  <c r="AY19" i="2"/>
  <c r="AY36" i="2"/>
  <c r="AZ19" i="2"/>
  <c r="AZ36" i="2"/>
  <c r="BA19" i="2"/>
  <c r="BA36" i="2"/>
  <c r="BB19" i="2"/>
  <c r="BB36" i="2"/>
  <c r="BC19" i="2"/>
  <c r="BC36" i="2"/>
  <c r="BD19" i="2"/>
  <c r="BD36" i="2"/>
  <c r="BE19" i="2"/>
  <c r="BE36" i="2"/>
  <c r="BF19" i="2"/>
  <c r="BI19" i="2"/>
  <c r="BI36" i="2"/>
  <c r="BJ19" i="2"/>
  <c r="BJ36" i="2"/>
  <c r="BK19" i="2"/>
  <c r="BK36" i="2"/>
  <c r="BM19" i="2"/>
  <c r="BM36" i="2"/>
  <c r="BN19" i="2"/>
  <c r="BN36" i="2"/>
  <c r="BO19" i="2"/>
  <c r="BO36" i="2"/>
  <c r="BP19" i="2"/>
  <c r="BP36" i="2"/>
  <c r="BQ19" i="2"/>
  <c r="BQ36" i="2"/>
  <c r="BR36" i="2"/>
  <c r="BS19" i="2"/>
  <c r="BS36" i="2"/>
  <c r="BT19" i="2"/>
  <c r="BT36" i="2"/>
  <c r="BU19" i="2"/>
  <c r="BU36" i="2"/>
  <c r="BV19" i="2"/>
  <c r="BV36" i="2"/>
  <c r="BW19" i="2"/>
  <c r="BW36" i="2"/>
  <c r="BX19" i="2"/>
  <c r="BX36" i="2"/>
  <c r="BY19" i="2"/>
  <c r="BY36" i="2"/>
  <c r="BZ36" i="2"/>
  <c r="CA19" i="2"/>
  <c r="CA36" i="2"/>
  <c r="CC19" i="2"/>
  <c r="CC36" i="2"/>
  <c r="AF19" i="2"/>
  <c r="AF33" i="2"/>
  <c r="AG16" i="2"/>
  <c r="AG33" i="2"/>
  <c r="AH16" i="2"/>
  <c r="AH33" i="2"/>
  <c r="AI16" i="2"/>
  <c r="AI33" i="2"/>
  <c r="AK16" i="2"/>
  <c r="AK33" i="2"/>
  <c r="AL16" i="2"/>
  <c r="AL33" i="2"/>
  <c r="AM16" i="2"/>
  <c r="AM33" i="2"/>
  <c r="AN16" i="2"/>
  <c r="AN33" i="2"/>
  <c r="AO16" i="2"/>
  <c r="AO33" i="2"/>
  <c r="AP16" i="2"/>
  <c r="AP33" i="2"/>
  <c r="AQ16" i="2"/>
  <c r="AQ33" i="2"/>
  <c r="AR16" i="2"/>
  <c r="AR33" i="2"/>
  <c r="AS16" i="2"/>
  <c r="AS33" i="2"/>
  <c r="AT16" i="2"/>
  <c r="AT33" i="2"/>
  <c r="AU16" i="2"/>
  <c r="AU33" i="2"/>
  <c r="AV16" i="2"/>
  <c r="AV33" i="2"/>
  <c r="AW16" i="2"/>
  <c r="AW33" i="2"/>
  <c r="AX16" i="2"/>
  <c r="AX33" i="2"/>
  <c r="AY16" i="2"/>
  <c r="AY33" i="2"/>
  <c r="AZ16" i="2"/>
  <c r="AZ33" i="2"/>
  <c r="BA16" i="2"/>
  <c r="BA33" i="2"/>
  <c r="BB16" i="2"/>
  <c r="BB33" i="2"/>
  <c r="BC16" i="2"/>
  <c r="BC33" i="2"/>
  <c r="BD16" i="2"/>
  <c r="BD33" i="2"/>
  <c r="BE16" i="2"/>
  <c r="BE33" i="2"/>
  <c r="BF16" i="2"/>
  <c r="BH16" i="2"/>
  <c r="BH33" i="2"/>
  <c r="BI16" i="2"/>
  <c r="BI33" i="2"/>
  <c r="BJ16" i="2"/>
  <c r="BJ33" i="2"/>
  <c r="BK16" i="2"/>
  <c r="BK33" i="2"/>
  <c r="BL16" i="2"/>
  <c r="BL33" i="2"/>
  <c r="BM16" i="2"/>
  <c r="BM33" i="2"/>
  <c r="BN16" i="2"/>
  <c r="BN33" i="2"/>
  <c r="BO16" i="2"/>
  <c r="BO33" i="2"/>
  <c r="BP16" i="2"/>
  <c r="BP33" i="2"/>
  <c r="BQ16" i="2"/>
  <c r="BQ33" i="2"/>
  <c r="BR16" i="2"/>
  <c r="BR33" i="2"/>
  <c r="BS16" i="2"/>
  <c r="BS33" i="2"/>
  <c r="BT16" i="2"/>
  <c r="BT33" i="2"/>
  <c r="BU16" i="2"/>
  <c r="BU33" i="2"/>
  <c r="BV16" i="2"/>
  <c r="BV33" i="2"/>
  <c r="BW16" i="2"/>
  <c r="BW33" i="2"/>
  <c r="BX16" i="2"/>
  <c r="BX33" i="2"/>
  <c r="BY16" i="2"/>
  <c r="BY33" i="2"/>
  <c r="BZ16" i="2"/>
  <c r="BZ33" i="2"/>
  <c r="CA16" i="2"/>
  <c r="CA33" i="2"/>
  <c r="CB16" i="2"/>
  <c r="CB33" i="2"/>
  <c r="CC16" i="2"/>
  <c r="CC33" i="2"/>
  <c r="E19" i="1"/>
  <c r="E36" i="1" s="1"/>
  <c r="AF15" i="2" s="1"/>
  <c r="F19" i="1"/>
  <c r="F36" i="1" s="1"/>
  <c r="AF28" i="2" s="1"/>
  <c r="G19" i="1"/>
  <c r="G36" i="1"/>
  <c r="H19" i="1"/>
  <c r="H36" i="1" s="1"/>
  <c r="AG32" i="2" s="1"/>
  <c r="I19" i="1"/>
  <c r="J19" i="1"/>
  <c r="J36" i="1" s="1"/>
  <c r="AH32" i="2" s="1"/>
  <c r="K19" i="1"/>
  <c r="L19" i="1"/>
  <c r="L36" i="1"/>
  <c r="AI32" i="2"/>
  <c r="M19" i="1"/>
  <c r="M36" i="1" s="1"/>
  <c r="N19" i="1"/>
  <c r="N36" i="1" s="1"/>
  <c r="AJ28" i="2" s="1"/>
  <c r="O19" i="1"/>
  <c r="O36" i="1" s="1"/>
  <c r="P19" i="1"/>
  <c r="P36" i="1" s="1"/>
  <c r="AK32" i="2" s="1"/>
  <c r="Q19" i="1"/>
  <c r="Q36" i="1"/>
  <c r="AL15" i="2" s="1"/>
  <c r="R19" i="1"/>
  <c r="R36" i="1" s="1"/>
  <c r="AL32" i="2" s="1"/>
  <c r="S19" i="1"/>
  <c r="S36" i="1"/>
  <c r="AM15" i="2" s="1"/>
  <c r="T19" i="1"/>
  <c r="T36" i="1"/>
  <c r="AM32" i="2" s="1"/>
  <c r="U19" i="1"/>
  <c r="U36" i="1" s="1"/>
  <c r="AN15" i="2" s="1"/>
  <c r="V19" i="1"/>
  <c r="V36" i="1" s="1"/>
  <c r="AN32" i="2"/>
  <c r="W19" i="1"/>
  <c r="W36" i="1" s="1"/>
  <c r="AO15" i="2" s="1"/>
  <c r="X19" i="1"/>
  <c r="X36" i="1" s="1"/>
  <c r="AO32" i="2" s="1"/>
  <c r="Y19" i="1"/>
  <c r="Y36" i="1"/>
  <c r="AP15" i="2"/>
  <c r="Z19" i="1"/>
  <c r="Z36" i="1" s="1"/>
  <c r="AP32" i="2" s="1"/>
  <c r="AA19" i="1"/>
  <c r="AB19" i="1"/>
  <c r="AB36" i="1" s="1"/>
  <c r="AC19" i="1"/>
  <c r="AC36" i="1" s="1"/>
  <c r="AR15" i="2" s="1"/>
  <c r="AD19" i="1"/>
  <c r="AD36" i="1" s="1"/>
  <c r="AR32" i="2"/>
  <c r="AE19" i="1"/>
  <c r="AE36" i="1"/>
  <c r="AF19" i="1"/>
  <c r="AG19" i="1"/>
  <c r="AG36" i="1"/>
  <c r="AT15" i="2"/>
  <c r="AH19" i="1"/>
  <c r="AI19" i="1"/>
  <c r="AJ19" i="1"/>
  <c r="AJ36" i="1"/>
  <c r="AU28" i="2" s="1"/>
  <c r="AK19" i="1"/>
  <c r="AK36" i="1" s="1"/>
  <c r="AV15" i="2" s="1"/>
  <c r="AL19" i="1"/>
  <c r="AL36" i="1" s="1"/>
  <c r="AV32" i="2"/>
  <c r="AM19" i="1"/>
  <c r="AN19" i="1"/>
  <c r="AN36" i="1" s="1"/>
  <c r="AW32" i="2" s="1"/>
  <c r="AO19" i="1"/>
  <c r="AO36" i="1"/>
  <c r="AX15" i="2" s="1"/>
  <c r="AP19" i="1"/>
  <c r="AP36" i="1" s="1"/>
  <c r="AX32" i="2" s="1"/>
  <c r="AQ19" i="1"/>
  <c r="AQ36" i="1"/>
  <c r="AY15" i="2" s="1"/>
  <c r="AR19" i="1"/>
  <c r="AR36" i="1" s="1"/>
  <c r="AY28" i="2" s="1"/>
  <c r="AS19" i="1"/>
  <c r="AS36" i="1" s="1"/>
  <c r="AZ15" i="2" s="1"/>
  <c r="AT19" i="1"/>
  <c r="AT36" i="1" s="1"/>
  <c r="AZ32" i="2" s="1"/>
  <c r="AU19" i="1"/>
  <c r="AU36" i="1" s="1"/>
  <c r="AV19" i="1"/>
  <c r="AV36" i="1" s="1"/>
  <c r="BA32" i="2" s="1"/>
  <c r="AW19" i="1"/>
  <c r="AX19" i="1"/>
  <c r="AX36" i="1" s="1"/>
  <c r="BB32" i="2" s="1"/>
  <c r="AY19" i="1"/>
  <c r="AZ19" i="1"/>
  <c r="AZ36" i="1" s="1"/>
  <c r="BC32" i="2" s="1"/>
  <c r="BA19" i="1"/>
  <c r="BA36" i="1" s="1"/>
  <c r="BD15" i="2" s="1"/>
  <c r="BB19" i="1"/>
  <c r="BB36" i="1" s="1"/>
  <c r="BD32" i="2" s="1"/>
  <c r="BC19" i="1"/>
  <c r="BC36" i="1" s="1"/>
  <c r="BD19" i="1"/>
  <c r="BD36" i="1" s="1"/>
  <c r="BE32" i="2" s="1"/>
  <c r="BE19" i="1"/>
  <c r="BE36" i="1"/>
  <c r="BF15" i="2" s="1"/>
  <c r="BF19" i="1"/>
  <c r="BF36" i="1" s="1"/>
  <c r="BI19" i="1"/>
  <c r="BI36" i="1"/>
  <c r="BH15" i="2"/>
  <c r="BJ19" i="1"/>
  <c r="BJ36" i="1" s="1"/>
  <c r="BH32" i="2" s="1"/>
  <c r="BL19" i="1"/>
  <c r="BL36" i="1"/>
  <c r="BI15" i="2" s="1"/>
  <c r="BK19" i="1"/>
  <c r="BK36" i="1"/>
  <c r="BM19" i="1"/>
  <c r="BM36" i="1" s="1"/>
  <c r="BJ15" i="2" s="1"/>
  <c r="BN19" i="1"/>
  <c r="BN36" i="1" s="1"/>
  <c r="BJ32" i="2" s="1"/>
  <c r="BO19" i="1"/>
  <c r="BO36" i="1" s="1"/>
  <c r="BK15" i="2" s="1"/>
  <c r="BP19" i="1"/>
  <c r="BP36" i="1" s="1"/>
  <c r="BQ19" i="1"/>
  <c r="BQ36" i="1"/>
  <c r="BL15" i="2"/>
  <c r="BR19" i="1"/>
  <c r="BR36" i="1"/>
  <c r="BL32" i="2" s="1"/>
  <c r="BS19" i="1"/>
  <c r="BT19" i="1"/>
  <c r="BT36" i="1" s="1"/>
  <c r="BU19" i="1"/>
  <c r="BU36" i="1" s="1"/>
  <c r="BN15" i="2" s="1"/>
  <c r="BV19" i="1"/>
  <c r="BV36" i="1" s="1"/>
  <c r="BN32" i="2" s="1"/>
  <c r="BW19" i="1"/>
  <c r="BW36" i="1" s="1"/>
  <c r="BX19" i="1"/>
  <c r="BX36" i="1" s="1"/>
  <c r="BO32" i="2" s="1"/>
  <c r="BY19" i="1"/>
  <c r="BY36" i="1"/>
  <c r="BP15" i="2"/>
  <c r="BZ19" i="1"/>
  <c r="BZ36" i="1"/>
  <c r="BP32" i="2" s="1"/>
  <c r="CA19" i="1"/>
  <c r="CB19" i="1"/>
  <c r="CB36" i="1"/>
  <c r="CC19" i="1"/>
  <c r="CC36" i="1" s="1"/>
  <c r="BR15" i="2" s="1"/>
  <c r="CD19" i="1"/>
  <c r="CD36" i="1" s="1"/>
  <c r="BR32" i="2" s="1"/>
  <c r="CE19" i="1"/>
  <c r="CE36" i="1" s="1"/>
  <c r="BS15" i="2"/>
  <c r="CF19" i="1"/>
  <c r="CF36" i="1" s="1"/>
  <c r="CG19" i="1"/>
  <c r="CG36" i="1"/>
  <c r="BT15" i="2"/>
  <c r="CH19" i="1"/>
  <c r="CH36" i="1"/>
  <c r="BT32" i="2" s="1"/>
  <c r="CI19" i="1"/>
  <c r="CJ19" i="1"/>
  <c r="CJ36" i="1" s="1"/>
  <c r="CK19" i="1"/>
  <c r="CK36" i="1" s="1"/>
  <c r="BV15" i="2" s="1"/>
  <c r="CL19" i="1"/>
  <c r="CL36" i="1" s="1"/>
  <c r="BV32" i="2" s="1"/>
  <c r="CM19" i="1"/>
  <c r="CM36" i="1" s="1"/>
  <c r="BW15" i="2"/>
  <c r="CN19" i="1"/>
  <c r="CN36" i="1" s="1"/>
  <c r="BW32" i="2" s="1"/>
  <c r="CO19" i="1"/>
  <c r="CO36" i="1"/>
  <c r="BX15" i="2"/>
  <c r="CP19" i="1"/>
  <c r="CP36" i="1"/>
  <c r="BX32" i="2" s="1"/>
  <c r="CQ19" i="1"/>
  <c r="CR19" i="1"/>
  <c r="CR36" i="1"/>
  <c r="BY32" i="2" s="1"/>
  <c r="CS19" i="1"/>
  <c r="CS36" i="1" s="1"/>
  <c r="BZ15" i="2" s="1"/>
  <c r="CT19" i="1"/>
  <c r="CT36" i="1" s="1"/>
  <c r="BZ32" i="2" s="1"/>
  <c r="CU19" i="1"/>
  <c r="CU36" i="1" s="1"/>
  <c r="CA11" i="2" s="1"/>
  <c r="CA15" i="2"/>
  <c r="CV19" i="1"/>
  <c r="CV36" i="1" s="1"/>
  <c r="CA32" i="2" s="1"/>
  <c r="CW19" i="1"/>
  <c r="CW36" i="1"/>
  <c r="CB15" i="2"/>
  <c r="CX19" i="1"/>
  <c r="CX36" i="1"/>
  <c r="CY19" i="1"/>
  <c r="CZ19" i="1"/>
  <c r="CZ36" i="1" s="1"/>
  <c r="E91" i="1"/>
  <c r="AF13" i="2" s="1"/>
  <c r="F91" i="1"/>
  <c r="AF30" i="2"/>
  <c r="G91" i="1"/>
  <c r="AG13" i="2"/>
  <c r="H91" i="1"/>
  <c r="AG30" i="2"/>
  <c r="I91" i="1"/>
  <c r="J91" i="1"/>
  <c r="AH30" i="2"/>
  <c r="K91" i="1"/>
  <c r="AI13" i="2"/>
  <c r="L91" i="1"/>
  <c r="AI29" i="2" s="1"/>
  <c r="AI30" i="2"/>
  <c r="AJ13" i="2"/>
  <c r="AJ30" i="2"/>
  <c r="O91" i="1"/>
  <c r="AK13" i="2"/>
  <c r="P91" i="1"/>
  <c r="AK30" i="2"/>
  <c r="Q91" i="1"/>
  <c r="AL13" i="2"/>
  <c r="R91" i="1"/>
  <c r="S91" i="1"/>
  <c r="AM13" i="2"/>
  <c r="T91" i="1"/>
  <c r="AM30" i="2"/>
  <c r="U91" i="1"/>
  <c r="V91" i="1"/>
  <c r="W91" i="1"/>
  <c r="AO13" i="2"/>
  <c r="X91" i="1"/>
  <c r="AO30" i="2"/>
  <c r="Y91" i="1"/>
  <c r="AP13" i="2"/>
  <c r="Z91" i="1"/>
  <c r="AA91" i="1"/>
  <c r="AQ13" i="2"/>
  <c r="AB91" i="1"/>
  <c r="AQ30" i="2"/>
  <c r="AC91" i="1"/>
  <c r="AR12" i="2" s="1"/>
  <c r="AD91" i="1"/>
  <c r="AE91" i="1"/>
  <c r="AS13" i="2"/>
  <c r="AF91" i="1"/>
  <c r="AS30" i="2"/>
  <c r="AG91" i="1"/>
  <c r="AT13" i="2"/>
  <c r="AH91" i="1"/>
  <c r="AI91" i="1"/>
  <c r="AU13" i="2"/>
  <c r="AJ91" i="1"/>
  <c r="AU30" i="2"/>
  <c r="AK91" i="1"/>
  <c r="AV12" i="2" s="1"/>
  <c r="AV13" i="2"/>
  <c r="AL91" i="1"/>
  <c r="AM91" i="1"/>
  <c r="AW13" i="2"/>
  <c r="AN91" i="1"/>
  <c r="AW30" i="2"/>
  <c r="AO91" i="1"/>
  <c r="AP91" i="1"/>
  <c r="AQ91" i="1"/>
  <c r="AY13" i="2"/>
  <c r="AR91" i="1"/>
  <c r="AY30" i="2"/>
  <c r="AS91" i="1"/>
  <c r="AZ13" i="2" s="1"/>
  <c r="AT91" i="1"/>
  <c r="AU91" i="1"/>
  <c r="BA13" i="2"/>
  <c r="AV91" i="1"/>
  <c r="BA30" i="2"/>
  <c r="AW91" i="1"/>
  <c r="BB13" i="2"/>
  <c r="AX91" i="1"/>
  <c r="AY91" i="1"/>
  <c r="BC13" i="2"/>
  <c r="AZ91" i="1"/>
  <c r="BC30" i="2"/>
  <c r="BA91" i="1"/>
  <c r="BB91" i="1"/>
  <c r="BC91" i="1"/>
  <c r="BE13" i="2"/>
  <c r="BD91" i="1"/>
  <c r="BE30" i="2"/>
  <c r="BE91" i="1"/>
  <c r="BF13" i="2"/>
  <c r="BF91" i="1"/>
  <c r="BG91" i="1"/>
  <c r="BI91" i="1"/>
  <c r="BH13" i="2"/>
  <c r="BJ91" i="1"/>
  <c r="BH29" i="2" s="1"/>
  <c r="BL91" i="1"/>
  <c r="BI13" i="2"/>
  <c r="BK91" i="1"/>
  <c r="BI30" i="2" s="1"/>
  <c r="BM91" i="1"/>
  <c r="BN91" i="1"/>
  <c r="BJ30" i="2"/>
  <c r="BO91" i="1"/>
  <c r="BK13" i="2"/>
  <c r="BP91" i="1"/>
  <c r="BK30" i="2" s="1"/>
  <c r="BQ91" i="1"/>
  <c r="BL12" i="2" s="1"/>
  <c r="BR91" i="1"/>
  <c r="BL30" i="2"/>
  <c r="BS91" i="1"/>
  <c r="BM13" i="2"/>
  <c r="BT91" i="1"/>
  <c r="BM30" i="2" s="1"/>
  <c r="BU91" i="1"/>
  <c r="BN13" i="2"/>
  <c r="BV91" i="1"/>
  <c r="BW91" i="1"/>
  <c r="BO13" i="2"/>
  <c r="BX91" i="1"/>
  <c r="BO30" i="2" s="1"/>
  <c r="BY91" i="1"/>
  <c r="BZ91" i="1"/>
  <c r="BP29" i="2" s="1"/>
  <c r="BP30" i="2"/>
  <c r="CA91" i="1"/>
  <c r="BQ13" i="2"/>
  <c r="CB91" i="1"/>
  <c r="BQ30" i="2" s="1"/>
  <c r="CC91" i="1"/>
  <c r="BR13" i="2"/>
  <c r="CD91" i="1"/>
  <c r="BR28" i="2" s="1"/>
  <c r="BR30" i="2"/>
  <c r="CE91" i="1"/>
  <c r="BS13" i="2"/>
  <c r="CF91" i="1"/>
  <c r="BS30" i="2" s="1"/>
  <c r="CG91" i="1"/>
  <c r="BT13" i="2" s="1"/>
  <c r="CH91" i="1"/>
  <c r="CI91" i="1"/>
  <c r="BU13" i="2"/>
  <c r="CJ91" i="1"/>
  <c r="BU30" i="2" s="1"/>
  <c r="CK91" i="1"/>
  <c r="BV13" i="2"/>
  <c r="CL91" i="1"/>
  <c r="BV30" i="2"/>
  <c r="CM91" i="1"/>
  <c r="BW13" i="2"/>
  <c r="CN91" i="1"/>
  <c r="CO91" i="1"/>
  <c r="BX13" i="2"/>
  <c r="CP91" i="1"/>
  <c r="BX30" i="2" s="1"/>
  <c r="CQ91" i="1"/>
  <c r="BY13" i="2"/>
  <c r="CR91" i="1"/>
  <c r="CS91" i="1"/>
  <c r="CT91" i="1"/>
  <c r="BZ30" i="2"/>
  <c r="CU91" i="1"/>
  <c r="CA13" i="2"/>
  <c r="CV91" i="1"/>
  <c r="CA30" i="2" s="1"/>
  <c r="CW91" i="1"/>
  <c r="CB12" i="2" s="1"/>
  <c r="CB13" i="2"/>
  <c r="CX91" i="1"/>
  <c r="CB30" i="2"/>
  <c r="CY91" i="1"/>
  <c r="CC13" i="2"/>
  <c r="CZ91" i="1"/>
  <c r="E73" i="1"/>
  <c r="AF12" i="2"/>
  <c r="F73" i="1"/>
  <c r="AF29" i="2" s="1"/>
  <c r="G73" i="1"/>
  <c r="AG12" i="2"/>
  <c r="H73" i="1"/>
  <c r="I73" i="1"/>
  <c r="AH12" i="2" s="1"/>
  <c r="J73" i="1"/>
  <c r="AH29" i="2" s="1"/>
  <c r="K73" i="1"/>
  <c r="AI12" i="2"/>
  <c r="L73" i="1"/>
  <c r="M73" i="1"/>
  <c r="AJ12" i="2"/>
  <c r="N73" i="1"/>
  <c r="AJ29" i="2"/>
  <c r="O73" i="1"/>
  <c r="AK12" i="2"/>
  <c r="P73" i="1"/>
  <c r="AK29" i="2" s="1"/>
  <c r="Q73" i="1"/>
  <c r="R73" i="1"/>
  <c r="S62" i="1"/>
  <c r="S64" i="1"/>
  <c r="S73" i="1"/>
  <c r="AM12" i="2" s="1"/>
  <c r="T62" i="1"/>
  <c r="T73" i="1" s="1"/>
  <c r="T64" i="1"/>
  <c r="AM29" i="2"/>
  <c r="U73" i="1"/>
  <c r="V73" i="1"/>
  <c r="V75" i="1" s="1"/>
  <c r="V94" i="1" s="1"/>
  <c r="W73" i="1"/>
  <c r="AO12" i="2" s="1"/>
  <c r="X73" i="1"/>
  <c r="AO29" i="2"/>
  <c r="Y73" i="1"/>
  <c r="Z73" i="1"/>
  <c r="AA73" i="1"/>
  <c r="AQ12" i="2"/>
  <c r="AB73" i="1"/>
  <c r="AC73" i="1"/>
  <c r="AD73" i="1"/>
  <c r="AE73" i="1"/>
  <c r="AS12" i="2"/>
  <c r="AF73" i="1"/>
  <c r="AS29" i="2"/>
  <c r="AG73" i="1"/>
  <c r="AH73" i="1"/>
  <c r="AI73" i="1"/>
  <c r="AU12" i="2"/>
  <c r="AJ73" i="1"/>
  <c r="AU29" i="2"/>
  <c r="AK73" i="1"/>
  <c r="AL73" i="1"/>
  <c r="AM73" i="1"/>
  <c r="AW12" i="2" s="1"/>
  <c r="AN73" i="1"/>
  <c r="AW29" i="2"/>
  <c r="AO73" i="1"/>
  <c r="AP73" i="1"/>
  <c r="AQ73" i="1"/>
  <c r="AY12" i="2"/>
  <c r="AR73" i="1"/>
  <c r="AS73" i="1"/>
  <c r="AT73" i="1"/>
  <c r="AU73" i="1"/>
  <c r="BA12" i="2"/>
  <c r="AV73" i="1"/>
  <c r="BA29" i="2"/>
  <c r="AW73" i="1"/>
  <c r="AX73" i="1"/>
  <c r="AY73" i="1"/>
  <c r="BC12" i="2"/>
  <c r="AZ73" i="1"/>
  <c r="BC29" i="2"/>
  <c r="BA73" i="1"/>
  <c r="BB73" i="1"/>
  <c r="BC73" i="1"/>
  <c r="BE12" i="2" s="1"/>
  <c r="BD73" i="1"/>
  <c r="BE29" i="2"/>
  <c r="BE73" i="1"/>
  <c r="BF73" i="1"/>
  <c r="BI73" i="1"/>
  <c r="BH12" i="2" s="1"/>
  <c r="BJ73" i="1"/>
  <c r="BL73" i="1"/>
  <c r="BI12" i="2" s="1"/>
  <c r="BK71" i="1"/>
  <c r="BK73" i="1"/>
  <c r="BI29" i="2" s="1"/>
  <c r="BM73" i="1"/>
  <c r="BN73" i="1"/>
  <c r="BJ29" i="2"/>
  <c r="BO73" i="1"/>
  <c r="BK12" i="2"/>
  <c r="BP73" i="1"/>
  <c r="BK29" i="2"/>
  <c r="BQ73" i="1"/>
  <c r="BR73" i="1"/>
  <c r="BL29" i="2"/>
  <c r="BS73" i="1"/>
  <c r="BM12" i="2"/>
  <c r="BT73" i="1"/>
  <c r="BM29" i="2" s="1"/>
  <c r="BU73" i="1"/>
  <c r="BV73" i="1"/>
  <c r="BN29" i="2"/>
  <c r="BW73" i="1"/>
  <c r="BO12" i="2"/>
  <c r="BX73" i="1"/>
  <c r="BO29" i="2"/>
  <c r="BY73" i="1"/>
  <c r="BZ73" i="1"/>
  <c r="CA73" i="1"/>
  <c r="BQ12" i="2"/>
  <c r="CB73" i="1"/>
  <c r="BQ29" i="2"/>
  <c r="CC73" i="1"/>
  <c r="CD73" i="1"/>
  <c r="BR29" i="2"/>
  <c r="CE73" i="1"/>
  <c r="BS12" i="2"/>
  <c r="CF73" i="1"/>
  <c r="BS29" i="2" s="1"/>
  <c r="CG73" i="1"/>
  <c r="CH73" i="1"/>
  <c r="CI73" i="1"/>
  <c r="BU12" i="2"/>
  <c r="CJ73" i="1"/>
  <c r="CJ75" i="1" s="1"/>
  <c r="BU29" i="2"/>
  <c r="CK73" i="1"/>
  <c r="CL73" i="1"/>
  <c r="BV29" i="2"/>
  <c r="CM73" i="1"/>
  <c r="BW12" i="2"/>
  <c r="CN73" i="1"/>
  <c r="CO73" i="1"/>
  <c r="CP73" i="1"/>
  <c r="BX29" i="2"/>
  <c r="CQ73" i="1"/>
  <c r="BY12" i="2"/>
  <c r="CR73" i="1"/>
  <c r="CS73" i="1"/>
  <c r="CS75" i="1" s="1"/>
  <c r="CS94" i="1" s="1"/>
  <c r="CT73" i="1"/>
  <c r="BZ29" i="2"/>
  <c r="CU73" i="1"/>
  <c r="CA12" i="2"/>
  <c r="CV73" i="1"/>
  <c r="CA29" i="2"/>
  <c r="CW73" i="1"/>
  <c r="CX73" i="1"/>
  <c r="CB29" i="2"/>
  <c r="CY73" i="1"/>
  <c r="CC12" i="2"/>
  <c r="CZ73" i="1"/>
  <c r="AH28" i="2"/>
  <c r="AJ11" i="2"/>
  <c r="AK28" i="2"/>
  <c r="AM11" i="2"/>
  <c r="AM28" i="2"/>
  <c r="AN11" i="2"/>
  <c r="AO11" i="2"/>
  <c r="AO28" i="2"/>
  <c r="AP28" i="2"/>
  <c r="AR11" i="2"/>
  <c r="AV11" i="2"/>
  <c r="AV28" i="2"/>
  <c r="AW28" i="2"/>
  <c r="AX28" i="2"/>
  <c r="AY11" i="2"/>
  <c r="AZ28" i="2"/>
  <c r="BA28" i="2"/>
  <c r="BC28" i="2"/>
  <c r="BE28" i="2"/>
  <c r="BH11" i="2"/>
  <c r="BH28" i="2"/>
  <c r="BI11" i="2"/>
  <c r="BJ28" i="2"/>
  <c r="BK11" i="2"/>
  <c r="BL11" i="2"/>
  <c r="BL28" i="2"/>
  <c r="BO28" i="2"/>
  <c r="BT11" i="2"/>
  <c r="BV11" i="2"/>
  <c r="BV28" i="2"/>
  <c r="BX11" i="2"/>
  <c r="BY28" i="2"/>
  <c r="BZ28" i="2"/>
  <c r="CB11" i="2"/>
  <c r="AF26" i="2"/>
  <c r="AG9" i="2"/>
  <c r="AG26" i="2"/>
  <c r="AH9" i="2"/>
  <c r="AH26" i="2"/>
  <c r="AI9" i="2"/>
  <c r="AI26" i="2"/>
  <c r="AJ26" i="2"/>
  <c r="AK26" i="2"/>
  <c r="AL9" i="2"/>
  <c r="AL26" i="2"/>
  <c r="AM9" i="2"/>
  <c r="AM26" i="2"/>
  <c r="AN9" i="2"/>
  <c r="AN26" i="2"/>
  <c r="AO9" i="2"/>
  <c r="AO26" i="2"/>
  <c r="AP9" i="2"/>
  <c r="AP26" i="2"/>
  <c r="AQ9" i="2"/>
  <c r="AQ26" i="2"/>
  <c r="AR9" i="2"/>
  <c r="AR26" i="2"/>
  <c r="AS9" i="2"/>
  <c r="AS26" i="2"/>
  <c r="AT9" i="2"/>
  <c r="AT26" i="2"/>
  <c r="AU9" i="2"/>
  <c r="AU26" i="2"/>
  <c r="AV9" i="2"/>
  <c r="AV26" i="2"/>
  <c r="AW9" i="2"/>
  <c r="AW26" i="2"/>
  <c r="AX9" i="2"/>
  <c r="AX26" i="2"/>
  <c r="AY9" i="2"/>
  <c r="AY26" i="2"/>
  <c r="AZ9" i="2"/>
  <c r="AZ26" i="2"/>
  <c r="BA9" i="2"/>
  <c r="BB9" i="2"/>
  <c r="BB26" i="2"/>
  <c r="BC9" i="2"/>
  <c r="BC26" i="2"/>
  <c r="BD9" i="2"/>
  <c r="BD26" i="2"/>
  <c r="BE9" i="2"/>
  <c r="BE26" i="2"/>
  <c r="BF9" i="2"/>
  <c r="BH9" i="2"/>
  <c r="BH26" i="2"/>
  <c r="BI9" i="2"/>
  <c r="BI26" i="2"/>
  <c r="BJ9" i="2"/>
  <c r="BJ26" i="2"/>
  <c r="BK9" i="2"/>
  <c r="BK26" i="2"/>
  <c r="BL9" i="2"/>
  <c r="BL26" i="2"/>
  <c r="BM9" i="2"/>
  <c r="BM26" i="2"/>
  <c r="BN9" i="2"/>
  <c r="BO9" i="2"/>
  <c r="BO26" i="2"/>
  <c r="BP9" i="2"/>
  <c r="BP26" i="2"/>
  <c r="BQ9" i="2"/>
  <c r="BQ26" i="2"/>
  <c r="BR9" i="2"/>
  <c r="BR26" i="2"/>
  <c r="BS9" i="2"/>
  <c r="BS26" i="2"/>
  <c r="BT9" i="2"/>
  <c r="BT26" i="2"/>
  <c r="BU9" i="2"/>
  <c r="BU26" i="2"/>
  <c r="BV9" i="2"/>
  <c r="BV26" i="2"/>
  <c r="BW9" i="2"/>
  <c r="BW26" i="2"/>
  <c r="BX9" i="2"/>
  <c r="BX26" i="2"/>
  <c r="BY9" i="2"/>
  <c r="BY26" i="2"/>
  <c r="BZ9" i="2"/>
  <c r="BZ26" i="2"/>
  <c r="CA9" i="2"/>
  <c r="CA26" i="2"/>
  <c r="CB9" i="2"/>
  <c r="CB26" i="2"/>
  <c r="CC9" i="2"/>
  <c r="CC26" i="2"/>
  <c r="AF8" i="2"/>
  <c r="AF25" i="2"/>
  <c r="AG8" i="2"/>
  <c r="AG25" i="2"/>
  <c r="AH8" i="2"/>
  <c r="AH25" i="2"/>
  <c r="AI8" i="2"/>
  <c r="AI25" i="2"/>
  <c r="AJ25" i="2"/>
  <c r="AK8" i="2"/>
  <c r="AK25" i="2"/>
  <c r="AL8" i="2"/>
  <c r="AL25" i="2"/>
  <c r="AM8" i="2"/>
  <c r="AM25" i="2"/>
  <c r="AN8" i="2"/>
  <c r="AN25" i="2"/>
  <c r="AO8" i="2"/>
  <c r="AO25" i="2"/>
  <c r="AP8" i="2"/>
  <c r="AP25" i="2"/>
  <c r="AQ8" i="2"/>
  <c r="AQ25" i="2"/>
  <c r="AR8" i="2"/>
  <c r="AR25" i="2"/>
  <c r="AS8" i="2"/>
  <c r="AS25" i="2"/>
  <c r="AT8" i="2"/>
  <c r="AT25" i="2"/>
  <c r="AU8" i="2"/>
  <c r="AU25" i="2"/>
  <c r="AV8" i="2"/>
  <c r="AV25" i="2"/>
  <c r="AW8" i="2"/>
  <c r="AW25" i="2"/>
  <c r="AX8" i="2"/>
  <c r="AX25" i="2"/>
  <c r="AY8" i="2"/>
  <c r="AY25" i="2"/>
  <c r="AZ8" i="2"/>
  <c r="AZ25" i="2"/>
  <c r="BA8" i="2"/>
  <c r="BA25" i="2"/>
  <c r="BB8" i="2"/>
  <c r="BB25" i="2"/>
  <c r="BC8" i="2"/>
  <c r="BC25" i="2"/>
  <c r="BD8" i="2"/>
  <c r="BD25" i="2"/>
  <c r="BE8" i="2"/>
  <c r="BE25" i="2"/>
  <c r="BF8" i="2"/>
  <c r="BH8" i="2"/>
  <c r="BH25" i="2"/>
  <c r="BI8" i="2"/>
  <c r="BI25" i="2"/>
  <c r="BJ8" i="2"/>
  <c r="BJ25" i="2"/>
  <c r="BK8" i="2"/>
  <c r="BK25" i="2"/>
  <c r="BL8" i="2"/>
  <c r="BL25" i="2"/>
  <c r="BM8" i="2"/>
  <c r="BM25" i="2"/>
  <c r="BN8" i="2"/>
  <c r="BO8" i="2"/>
  <c r="BO25" i="2"/>
  <c r="BP8" i="2"/>
  <c r="BP25" i="2"/>
  <c r="BQ8" i="2"/>
  <c r="BQ25" i="2"/>
  <c r="BR8" i="2"/>
  <c r="BR25" i="2"/>
  <c r="BS8" i="2"/>
  <c r="BT8" i="2"/>
  <c r="BT25" i="2"/>
  <c r="BU8" i="2"/>
  <c r="BU25" i="2"/>
  <c r="BV8" i="2"/>
  <c r="BV25" i="2"/>
  <c r="BW8" i="2"/>
  <c r="BW25" i="2"/>
  <c r="BX8" i="2"/>
  <c r="BX25" i="2"/>
  <c r="BY8" i="2"/>
  <c r="BY25" i="2"/>
  <c r="BZ8" i="2"/>
  <c r="BZ25" i="2"/>
  <c r="CA8" i="2"/>
  <c r="CA25" i="2"/>
  <c r="CB8" i="2"/>
  <c r="CB25" i="2"/>
  <c r="CC8" i="2"/>
  <c r="CC25" i="2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CM43" i="1"/>
  <c r="CM60" i="1"/>
  <c r="CM75" i="1" s="1"/>
  <c r="CM94" i="1" s="1"/>
  <c r="CN43" i="1"/>
  <c r="CN60" i="1"/>
  <c r="CN75" i="1" s="1"/>
  <c r="CN94" i="1" s="1"/>
  <c r="CO43" i="1"/>
  <c r="CO60" i="1" s="1"/>
  <c r="CP43" i="1"/>
  <c r="CP60" i="1" s="1"/>
  <c r="CP75" i="1" s="1"/>
  <c r="CP94" i="1" s="1"/>
  <c r="CQ43" i="1"/>
  <c r="CQ60" i="1" s="1"/>
  <c r="CQ75" i="1"/>
  <c r="CR43" i="1"/>
  <c r="CR60" i="1"/>
  <c r="CR75" i="1"/>
  <c r="CR94" i="1" s="1"/>
  <c r="CS43" i="1"/>
  <c r="CS60" i="1"/>
  <c r="CT43" i="1"/>
  <c r="CT60" i="1"/>
  <c r="CT93" i="1" s="1"/>
  <c r="CT75" i="1"/>
  <c r="CT94" i="1" s="1"/>
  <c r="CU43" i="1"/>
  <c r="CU60" i="1"/>
  <c r="CU75" i="1" s="1"/>
  <c r="CV43" i="1"/>
  <c r="CV60" i="1"/>
  <c r="CV75" i="1" s="1"/>
  <c r="CW43" i="1"/>
  <c r="CW60" i="1"/>
  <c r="CW93" i="1" s="1"/>
  <c r="CW75" i="1"/>
  <c r="CW94" i="1" s="1"/>
  <c r="CX43" i="1"/>
  <c r="CX60" i="1" s="1"/>
  <c r="CX75" i="1" s="1"/>
  <c r="CX94" i="1" s="1"/>
  <c r="CY43" i="1"/>
  <c r="CY60" i="1" s="1"/>
  <c r="CY75" i="1"/>
  <c r="CZ43" i="1"/>
  <c r="CZ60" i="1" s="1"/>
  <c r="CZ75" i="1" s="1"/>
  <c r="CZ94" i="1" s="1"/>
  <c r="CG43" i="1"/>
  <c r="CG60" i="1"/>
  <c r="CG75" i="1"/>
  <c r="CH43" i="1"/>
  <c r="CH60" i="1"/>
  <c r="CH75" i="1"/>
  <c r="CI43" i="1"/>
  <c r="CI60" i="1" s="1"/>
  <c r="CI75" i="1" s="1"/>
  <c r="CJ43" i="1"/>
  <c r="CJ60" i="1"/>
  <c r="CH80" i="1"/>
  <c r="CG80" i="1"/>
  <c r="CI80" i="1"/>
  <c r="CJ80" i="1"/>
  <c r="CV94" i="1"/>
  <c r="CU94" i="1"/>
  <c r="CV93" i="1"/>
  <c r="CS93" i="1"/>
  <c r="CR93" i="1"/>
  <c r="CN93" i="1"/>
  <c r="CL43" i="1"/>
  <c r="CL60" i="1"/>
  <c r="CL93" i="1" s="1"/>
  <c r="CK43" i="1"/>
  <c r="CK60" i="1"/>
  <c r="CK75" i="1"/>
  <c r="CK94" i="1" s="1"/>
  <c r="CH94" i="1"/>
  <c r="CG94" i="1"/>
  <c r="CK93" i="1"/>
  <c r="CH93" i="1"/>
  <c r="CG93" i="1"/>
  <c r="CL80" i="1"/>
  <c r="CK80" i="1"/>
  <c r="N80" i="1"/>
  <c r="M80" i="1"/>
  <c r="CF43" i="1"/>
  <c r="CE43" i="1"/>
  <c r="CE60" i="1" s="1"/>
  <c r="CE75" i="1" s="1"/>
  <c r="CE94" i="1" s="1"/>
  <c r="CD43" i="1"/>
  <c r="CD60" i="1" s="1"/>
  <c r="CD75" i="1"/>
  <c r="CD94" i="1" s="1"/>
  <c r="CC43" i="1"/>
  <c r="CC60" i="1"/>
  <c r="CC75" i="1" s="1"/>
  <c r="CC94" i="1" s="1"/>
  <c r="CB43" i="1"/>
  <c r="CB60" i="1" s="1"/>
  <c r="CB75" i="1"/>
  <c r="CB94" i="1" s="1"/>
  <c r="CA43" i="1"/>
  <c r="CA60" i="1"/>
  <c r="CA75" i="1" s="1"/>
  <c r="BZ43" i="1"/>
  <c r="BZ60" i="1" s="1"/>
  <c r="BZ75" i="1" s="1"/>
  <c r="BZ94" i="1" s="1"/>
  <c r="BY43" i="1"/>
  <c r="BY60" i="1"/>
  <c r="BY75" i="1" s="1"/>
  <c r="BY94" i="1" s="1"/>
  <c r="BX43" i="1"/>
  <c r="BX60" i="1" s="1"/>
  <c r="BX75" i="1"/>
  <c r="BX94" i="1"/>
  <c r="BW43" i="1"/>
  <c r="BW60" i="1" s="1"/>
  <c r="BW75" i="1" s="1"/>
  <c r="BW94" i="1" s="1"/>
  <c r="BV43" i="1"/>
  <c r="BU43" i="1"/>
  <c r="BU60" i="1"/>
  <c r="BT43" i="1"/>
  <c r="BT60" i="1" s="1"/>
  <c r="BT75" i="1" s="1"/>
  <c r="BT94" i="1" s="1"/>
  <c r="BS43" i="1"/>
  <c r="BS60" i="1"/>
  <c r="BS75" i="1" s="1"/>
  <c r="BR43" i="1"/>
  <c r="BR60" i="1" s="1"/>
  <c r="BR75" i="1" s="1"/>
  <c r="BR94" i="1" s="1"/>
  <c r="BQ43" i="1"/>
  <c r="BQ60" i="1" s="1"/>
  <c r="BP43" i="1"/>
  <c r="BP60" i="1" s="1"/>
  <c r="BP93" i="1" s="1"/>
  <c r="BP75" i="1"/>
  <c r="BP94" i="1"/>
  <c r="BO43" i="1"/>
  <c r="BO60" i="1"/>
  <c r="BO75" i="1" s="1"/>
  <c r="BO94" i="1"/>
  <c r="BN43" i="1"/>
  <c r="BN60" i="1" s="1"/>
  <c r="BN75" i="1" s="1"/>
  <c r="BN94" i="1" s="1"/>
  <c r="BM43" i="1"/>
  <c r="BM60" i="1"/>
  <c r="BM93" i="1" s="1"/>
  <c r="BK43" i="1"/>
  <c r="BK60" i="1" s="1"/>
  <c r="BL43" i="1"/>
  <c r="BL60" i="1" s="1"/>
  <c r="BJ43" i="1"/>
  <c r="BJ60" i="1"/>
  <c r="BJ75" i="1" s="1"/>
  <c r="BJ94" i="1" s="1"/>
  <c r="BI43" i="1"/>
  <c r="BI60" i="1"/>
  <c r="BI75" i="1" s="1"/>
  <c r="BI94" i="1" s="1"/>
  <c r="BF43" i="1"/>
  <c r="BE43" i="1"/>
  <c r="BE60" i="1" s="1"/>
  <c r="BD43" i="1"/>
  <c r="BD60" i="1" s="1"/>
  <c r="BC43" i="1"/>
  <c r="BC60" i="1"/>
  <c r="BC93" i="1" s="1"/>
  <c r="BC75" i="1"/>
  <c r="BC94" i="1" s="1"/>
  <c r="BB43" i="1"/>
  <c r="BB60" i="1"/>
  <c r="BA43" i="1"/>
  <c r="BA60" i="1" s="1"/>
  <c r="AZ43" i="1"/>
  <c r="AZ60" i="1"/>
  <c r="AZ75" i="1" s="1"/>
  <c r="AZ94" i="1" s="1"/>
  <c r="AY43" i="1"/>
  <c r="AY60" i="1"/>
  <c r="AY75" i="1" s="1"/>
  <c r="AX43" i="1"/>
  <c r="AX60" i="1"/>
  <c r="AX75" i="1" s="1"/>
  <c r="AX94" i="1"/>
  <c r="AW43" i="1"/>
  <c r="AW60" i="1" s="1"/>
  <c r="AW75" i="1" s="1"/>
  <c r="AV43" i="1"/>
  <c r="AV60" i="1" s="1"/>
  <c r="AU43" i="1"/>
  <c r="AU60" i="1"/>
  <c r="AU75" i="1"/>
  <c r="AU94" i="1" s="1"/>
  <c r="AT43" i="1"/>
  <c r="AT60" i="1"/>
  <c r="AT75" i="1" s="1"/>
  <c r="AT94" i="1"/>
  <c r="AS43" i="1"/>
  <c r="AS60" i="1" s="1"/>
  <c r="AS75" i="1" s="1"/>
  <c r="AS94" i="1" s="1"/>
  <c r="AR43" i="1"/>
  <c r="AR60" i="1"/>
  <c r="AR93" i="1" s="1"/>
  <c r="AQ43" i="1"/>
  <c r="AQ60" i="1"/>
  <c r="AQ75" i="1" s="1"/>
  <c r="AQ94" i="1" s="1"/>
  <c r="AP43" i="1"/>
  <c r="AP60" i="1"/>
  <c r="AP93" i="1" s="1"/>
  <c r="AO43" i="1"/>
  <c r="AO60" i="1" s="1"/>
  <c r="AO75" i="1" s="1"/>
  <c r="AO94" i="1" s="1"/>
  <c r="AN43" i="1"/>
  <c r="AN60" i="1" s="1"/>
  <c r="AM43" i="1"/>
  <c r="AM60" i="1"/>
  <c r="AM75" i="1"/>
  <c r="AL43" i="1"/>
  <c r="AL60" i="1"/>
  <c r="AL93" i="1" s="1"/>
  <c r="AK43" i="1"/>
  <c r="AK60" i="1" s="1"/>
  <c r="AJ43" i="1"/>
  <c r="AJ60" i="1"/>
  <c r="AJ75" i="1" s="1"/>
  <c r="AJ94" i="1" s="1"/>
  <c r="AI43" i="1"/>
  <c r="AI60" i="1"/>
  <c r="AI75" i="1" s="1"/>
  <c r="AH43" i="1"/>
  <c r="AH60" i="1"/>
  <c r="AH75" i="1" s="1"/>
  <c r="AG43" i="1"/>
  <c r="AG60" i="1" s="1"/>
  <c r="AF43" i="1"/>
  <c r="AF60" i="1" s="1"/>
  <c r="AF75" i="1" s="1"/>
  <c r="AE43" i="1"/>
  <c r="AE60" i="1"/>
  <c r="AE75" i="1"/>
  <c r="AE94" i="1" s="1"/>
  <c r="AD43" i="1"/>
  <c r="AD60" i="1"/>
  <c r="AD75" i="1" s="1"/>
  <c r="AD94" i="1"/>
  <c r="AC43" i="1"/>
  <c r="AC60" i="1" s="1"/>
  <c r="AB43" i="1"/>
  <c r="AB60" i="1"/>
  <c r="AB93" i="1" s="1"/>
  <c r="AA43" i="1"/>
  <c r="AA60" i="1"/>
  <c r="AA75" i="1" s="1"/>
  <c r="Z43" i="1"/>
  <c r="Z60" i="1"/>
  <c r="Z93" i="1" s="1"/>
  <c r="Y43" i="1"/>
  <c r="Y60" i="1" s="1"/>
  <c r="X43" i="1"/>
  <c r="X60" i="1" s="1"/>
  <c r="W43" i="1"/>
  <c r="W60" i="1"/>
  <c r="W75" i="1"/>
  <c r="W94" i="1" s="1"/>
  <c r="V43" i="1"/>
  <c r="V60" i="1"/>
  <c r="V93" i="1" s="1"/>
  <c r="U43" i="1"/>
  <c r="U60" i="1" s="1"/>
  <c r="T43" i="1"/>
  <c r="T60" i="1"/>
  <c r="T93" i="1" s="1"/>
  <c r="S43" i="1"/>
  <c r="S60" i="1"/>
  <c r="S75" i="1" s="1"/>
  <c r="S94" i="1" s="1"/>
  <c r="R43" i="1"/>
  <c r="R60" i="1"/>
  <c r="R93" i="1" s="1"/>
  <c r="Q43" i="1"/>
  <c r="Q60" i="1" s="1"/>
  <c r="P43" i="1"/>
  <c r="P60" i="1" s="1"/>
  <c r="O43" i="1"/>
  <c r="O60" i="1"/>
  <c r="O75" i="1"/>
  <c r="O94" i="1" s="1"/>
  <c r="N43" i="1"/>
  <c r="N60" i="1"/>
  <c r="N75" i="1" s="1"/>
  <c r="M43" i="1"/>
  <c r="L43" i="1"/>
  <c r="L60" i="1"/>
  <c r="L75" i="1" s="1"/>
  <c r="L94" i="1" s="1"/>
  <c r="K43" i="1"/>
  <c r="K60" i="1"/>
  <c r="K75" i="1" s="1"/>
  <c r="J43" i="1"/>
  <c r="J60" i="1"/>
  <c r="J93" i="1" s="1"/>
  <c r="I43" i="1"/>
  <c r="I60" i="1" s="1"/>
  <c r="H43" i="1"/>
  <c r="H60" i="1" s="1"/>
  <c r="G43" i="1"/>
  <c r="G60" i="1"/>
  <c r="G75" i="1"/>
  <c r="G94" i="1" s="1"/>
  <c r="F60" i="1"/>
  <c r="F75" i="1"/>
  <c r="F94" i="1" s="1"/>
  <c r="E60" i="1"/>
  <c r="E75" i="1" s="1"/>
  <c r="E94" i="1" s="1"/>
  <c r="CD93" i="1"/>
  <c r="CC93" i="1"/>
  <c r="BZ93" i="1"/>
  <c r="BX93" i="1"/>
  <c r="BU93" i="1"/>
  <c r="BR93" i="1"/>
  <c r="BN93" i="1"/>
  <c r="BI93" i="1"/>
  <c r="BB93" i="1"/>
  <c r="AU93" i="1"/>
  <c r="AT93" i="1"/>
  <c r="AE93" i="1"/>
  <c r="W93" i="1"/>
  <c r="O93" i="1"/>
  <c r="G93" i="1"/>
  <c r="F93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K80" i="1"/>
  <c r="BL80" i="1"/>
  <c r="BJ80" i="1"/>
  <c r="BI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L80" i="1"/>
  <c r="K80" i="1"/>
  <c r="J80" i="1"/>
  <c r="I80" i="1"/>
  <c r="AA33" i="2" l="1" a="1"/>
  <c r="AA33" i="2" s="1"/>
  <c r="AQ15" i="14"/>
  <c r="AU15" i="14"/>
  <c r="BP15" i="14"/>
  <c r="AX15" i="14"/>
  <c r="AJ15" i="14"/>
  <c r="L15" i="14"/>
  <c r="AG15" i="14"/>
  <c r="CJ15" i="14"/>
  <c r="M15" i="14"/>
  <c r="CC15" i="14"/>
  <c r="AM15" i="14"/>
  <c r="K15" i="14"/>
  <c r="BM15" i="14"/>
  <c r="CI15" i="14"/>
  <c r="DW33" i="2" a="1"/>
  <c r="DW33" i="2" s="1"/>
  <c r="DO33" i="2" a="1"/>
  <c r="DO33" i="2" s="1"/>
  <c r="DG33" i="2" a="1"/>
  <c r="DG33" i="2" s="1"/>
  <c r="CY33" i="2" a="1"/>
  <c r="CY33" i="2" s="1"/>
  <c r="CQ33" i="2" a="1"/>
  <c r="CQ33" i="2" s="1"/>
  <c r="CI33" i="2" a="1"/>
  <c r="CI33" i="2" s="1"/>
  <c r="DV33" i="2" a="1"/>
  <c r="DV33" i="2" s="1"/>
  <c r="DN33" i="2" a="1"/>
  <c r="DN33" i="2" s="1"/>
  <c r="DF33" i="2" a="1"/>
  <c r="DF33" i="2" s="1"/>
  <c r="CX33" i="2" a="1"/>
  <c r="CX33" i="2" s="1"/>
  <c r="CP33" i="2" a="1"/>
  <c r="CP33" i="2" s="1"/>
  <c r="CH33" i="2" a="1"/>
  <c r="CH33" i="2" s="1"/>
  <c r="EC33" i="2" a="1"/>
  <c r="EC33" i="2" s="1"/>
  <c r="DU33" i="2" a="1"/>
  <c r="DU33" i="2" s="1"/>
  <c r="DM33" i="2" a="1"/>
  <c r="DM33" i="2" s="1"/>
  <c r="DE33" i="2" a="1"/>
  <c r="DE33" i="2" s="1"/>
  <c r="CW33" i="2" a="1"/>
  <c r="CW33" i="2" s="1"/>
  <c r="CO33" i="2" a="1"/>
  <c r="CO33" i="2" s="1"/>
  <c r="CG33" i="2" a="1"/>
  <c r="CG33" i="2" s="1"/>
  <c r="EB33" i="2" a="1"/>
  <c r="EB33" i="2" s="1"/>
  <c r="DT33" i="2" a="1"/>
  <c r="DT33" i="2" s="1"/>
  <c r="DL33" i="2" a="1"/>
  <c r="DL33" i="2" s="1"/>
  <c r="DD33" i="2" a="1"/>
  <c r="DD33" i="2" s="1"/>
  <c r="CV33" i="2" a="1"/>
  <c r="CV33" i="2" s="1"/>
  <c r="CN33" i="2" a="1"/>
  <c r="CN33" i="2" s="1"/>
  <c r="CF33" i="2" a="1"/>
  <c r="CF33" i="2" s="1"/>
  <c r="EA33" i="2" a="1"/>
  <c r="EA33" i="2" s="1"/>
  <c r="DS33" i="2" a="1"/>
  <c r="DS33" i="2" s="1"/>
  <c r="DK33" i="2" a="1"/>
  <c r="DK33" i="2" s="1"/>
  <c r="DC33" i="2" a="1"/>
  <c r="DC33" i="2" s="1"/>
  <c r="CU33" i="2" a="1"/>
  <c r="CU33" i="2" s="1"/>
  <c r="CM33" i="2" a="1"/>
  <c r="CM33" i="2" s="1"/>
  <c r="DZ33" i="2" a="1"/>
  <c r="DZ33" i="2" s="1"/>
  <c r="DR33" i="2" a="1"/>
  <c r="DR33" i="2" s="1"/>
  <c r="DJ33" i="2" a="1"/>
  <c r="DJ33" i="2" s="1"/>
  <c r="DB33" i="2" a="1"/>
  <c r="DB33" i="2" s="1"/>
  <c r="CT33" i="2" a="1"/>
  <c r="CT33" i="2" s="1"/>
  <c r="CL33" i="2" a="1"/>
  <c r="CL33" i="2" s="1"/>
  <c r="DX33" i="2" a="1"/>
  <c r="DX33" i="2" s="1"/>
  <c r="FW33" i="2" s="1"/>
  <c r="DP33" i="2" a="1"/>
  <c r="DP33" i="2" s="1"/>
  <c r="FO33" i="2" s="1"/>
  <c r="DH33" i="2" a="1"/>
  <c r="DH33" i="2" s="1"/>
  <c r="CZ33" i="2" a="1"/>
  <c r="CZ33" i="2" s="1"/>
  <c r="EY33" i="2" s="1"/>
  <c r="CR33" i="2" a="1"/>
  <c r="CR33" i="2" s="1"/>
  <c r="CJ33" i="2" a="1"/>
  <c r="CJ33" i="2" s="1"/>
  <c r="DQ33" i="2" a="1"/>
  <c r="DQ33" i="2" s="1"/>
  <c r="DI33" i="2" a="1"/>
  <c r="DI33" i="2" s="1"/>
  <c r="FH33" i="2" s="1"/>
  <c r="DA33" i="2" a="1"/>
  <c r="DA33" i="2" s="1"/>
  <c r="CS33" i="2" a="1"/>
  <c r="CS33" i="2" s="1"/>
  <c r="CK33" i="2" a="1"/>
  <c r="CK33" i="2" s="1"/>
  <c r="EJ33" i="2" s="1"/>
  <c r="DY33" i="2" a="1"/>
  <c r="DY33" i="2" s="1"/>
  <c r="EA36" i="2"/>
  <c r="DS36" i="2"/>
  <c r="DK36" i="2"/>
  <c r="DC36" i="2"/>
  <c r="CU36" i="2"/>
  <c r="CM36" i="2"/>
  <c r="DZ36" i="2"/>
  <c r="DR36" i="2"/>
  <c r="DJ36" i="2"/>
  <c r="DB36" i="2"/>
  <c r="CT36" i="2"/>
  <c r="CL36" i="2"/>
  <c r="DY36" i="2"/>
  <c r="DQ36" i="2"/>
  <c r="DI36" i="2"/>
  <c r="DA36" i="2"/>
  <c r="CS36" i="2"/>
  <c r="CK36" i="2"/>
  <c r="DX36" i="2"/>
  <c r="DP36" i="2"/>
  <c r="DH36" i="2"/>
  <c r="CZ36" i="2"/>
  <c r="CR36" i="2"/>
  <c r="CJ36" i="2"/>
  <c r="DW36" i="2"/>
  <c r="DO36" i="2"/>
  <c r="DG36" i="2"/>
  <c r="CY36" i="2"/>
  <c r="CQ36" i="2"/>
  <c r="CI36" i="2"/>
  <c r="DV36" i="2"/>
  <c r="DN36" i="2"/>
  <c r="DF36" i="2"/>
  <c r="CX36" i="2"/>
  <c r="CP36" i="2"/>
  <c r="CH36" i="2"/>
  <c r="EB36" i="2"/>
  <c r="DT36" i="2"/>
  <c r="FS36" i="2" s="1"/>
  <c r="DL36" i="2"/>
  <c r="DD36" i="2"/>
  <c r="CV36" i="2"/>
  <c r="CN36" i="2"/>
  <c r="CF36" i="2"/>
  <c r="CG36" i="2"/>
  <c r="EC36" i="2"/>
  <c r="GB36" i="2" s="1"/>
  <c r="DU36" i="2"/>
  <c r="FT36" i="2" s="1"/>
  <c r="DM36" i="2"/>
  <c r="FL36" i="2" s="1"/>
  <c r="DE36" i="2"/>
  <c r="FD36" i="2" s="1"/>
  <c r="CW36" i="2"/>
  <c r="CO36" i="2"/>
  <c r="EN36" i="2" s="1"/>
  <c r="DZ16" i="2" a="1"/>
  <c r="DZ16" i="2" s="1"/>
  <c r="DS16" i="2" a="1"/>
  <c r="DS16" i="2" s="1"/>
  <c r="DY16" i="2" a="1"/>
  <c r="DY16" i="2" s="1"/>
  <c r="DL16" i="2" a="1"/>
  <c r="DL16" i="2" s="1"/>
  <c r="DX16" i="2" a="1"/>
  <c r="DX16" i="2" s="1"/>
  <c r="DR16" i="2" a="1"/>
  <c r="DR16" i="2" s="1"/>
  <c r="AA16" i="2" a="1"/>
  <c r="AA16" i="2" s="1"/>
  <c r="EC16" i="2" a="1"/>
  <c r="EC16" i="2" s="1"/>
  <c r="EB16" i="2" a="1"/>
  <c r="EB16" i="2" s="1"/>
  <c r="DT16" i="2" a="1"/>
  <c r="DT16" i="2" s="1"/>
  <c r="DN16" i="2" a="1"/>
  <c r="DN16" i="2" s="1"/>
  <c r="DK16" i="2" a="1"/>
  <c r="DK16" i="2" s="1"/>
  <c r="DE16" i="2" a="1"/>
  <c r="DE16" i="2" s="1"/>
  <c r="CW16" i="2" a="1"/>
  <c r="CW16" i="2" s="1"/>
  <c r="CO16" i="2" a="1"/>
  <c r="CO16" i="2" s="1"/>
  <c r="CG16" i="2" a="1"/>
  <c r="CG16" i="2" s="1"/>
  <c r="DV16" i="2" a="1"/>
  <c r="DV16" i="2" s="1"/>
  <c r="DD16" i="2" a="1"/>
  <c r="DD16" i="2" s="1"/>
  <c r="CV16" i="2" a="1"/>
  <c r="CV16" i="2" s="1"/>
  <c r="CN16" i="2" a="1"/>
  <c r="CN16" i="2" s="1"/>
  <c r="CQ16" i="2" a="1"/>
  <c r="CQ16" i="2" s="1"/>
  <c r="DU16" i="2" a="1"/>
  <c r="DU16" i="2" s="1"/>
  <c r="DJ16" i="2" a="1"/>
  <c r="DJ16" i="2" s="1"/>
  <c r="DC16" i="2" a="1"/>
  <c r="DC16" i="2" s="1"/>
  <c r="CU16" i="2" a="1"/>
  <c r="CU16" i="2" s="1"/>
  <c r="CM16" i="2" a="1"/>
  <c r="CM16" i="2" s="1"/>
  <c r="DQ16" i="2" a="1"/>
  <c r="DQ16" i="2" s="1"/>
  <c r="DI16" i="2" a="1"/>
  <c r="DI16" i="2" s="1"/>
  <c r="DB16" i="2" a="1"/>
  <c r="DB16" i="2" s="1"/>
  <c r="CT16" i="2" a="1"/>
  <c r="CT16" i="2" s="1"/>
  <c r="CL16" i="2" a="1"/>
  <c r="CL16" i="2" s="1"/>
  <c r="CK16" i="2" a="1"/>
  <c r="CK16" i="2" s="1"/>
  <c r="CY16" i="2" a="1"/>
  <c r="CY16" i="2" s="1"/>
  <c r="DP16" i="2" a="1"/>
  <c r="DP16" i="2" s="1"/>
  <c r="DH16" i="2" a="1"/>
  <c r="DH16" i="2" s="1"/>
  <c r="DA16" i="2" a="1"/>
  <c r="DA16" i="2" s="1"/>
  <c r="CS16" i="2" a="1"/>
  <c r="CS16" i="2" s="1"/>
  <c r="EA16" i="2" a="1"/>
  <c r="EA16" i="2" s="1"/>
  <c r="DO16" i="2" a="1"/>
  <c r="DO16" i="2" s="1"/>
  <c r="DG16" i="2" a="1"/>
  <c r="DG16" i="2" s="1"/>
  <c r="CZ16" i="2" a="1"/>
  <c r="CZ16" i="2" s="1"/>
  <c r="CR16" i="2" a="1"/>
  <c r="CR16" i="2" s="1"/>
  <c r="EQ16" i="2" s="1"/>
  <c r="CJ16" i="2" a="1"/>
  <c r="CJ16" i="2" s="1"/>
  <c r="CI16" i="2" a="1"/>
  <c r="CI16" i="2" s="1"/>
  <c r="DW16" i="2" a="1"/>
  <c r="DW16" i="2" s="1"/>
  <c r="DM16" i="2" a="1"/>
  <c r="DM16" i="2" s="1"/>
  <c r="DF16" i="2" a="1"/>
  <c r="DF16" i="2" s="1"/>
  <c r="FE16" i="2" s="1"/>
  <c r="CX16" i="2" a="1"/>
  <c r="CX16" i="2" s="1"/>
  <c r="EW16" i="2" s="1"/>
  <c r="CP16" i="2" a="1"/>
  <c r="CP16" i="2" s="1"/>
  <c r="CH16" i="2" a="1"/>
  <c r="CH16" i="2" s="1"/>
  <c r="CF16" i="2" a="1"/>
  <c r="CF16" i="2" s="1"/>
  <c r="DV19" i="2"/>
  <c r="DW19" i="2"/>
  <c r="DX19" i="2"/>
  <c r="DY19" i="2"/>
  <c r="DR19" i="2"/>
  <c r="DZ19" i="2"/>
  <c r="EB19" i="2"/>
  <c r="DS19" i="2"/>
  <c r="EA19" i="2"/>
  <c r="DT19" i="2"/>
  <c r="DU19" i="2"/>
  <c r="EC19" i="2"/>
  <c r="DP19" i="2"/>
  <c r="DH19" i="2"/>
  <c r="CZ19" i="2"/>
  <c r="CR19" i="2"/>
  <c r="CJ19" i="2"/>
  <c r="DN19" i="2"/>
  <c r="DF19" i="2"/>
  <c r="CX19" i="2"/>
  <c r="CP19" i="2"/>
  <c r="CH19" i="2"/>
  <c r="DM19" i="2"/>
  <c r="DE19" i="2"/>
  <c r="CW19" i="2"/>
  <c r="CO19" i="2"/>
  <c r="CG19" i="2"/>
  <c r="DK19" i="2"/>
  <c r="DC19" i="2"/>
  <c r="CU19" i="2"/>
  <c r="CM19" i="2"/>
  <c r="EL19" i="2" s="1"/>
  <c r="DJ19" i="2"/>
  <c r="DB19" i="2"/>
  <c r="CT19" i="2"/>
  <c r="CL19" i="2"/>
  <c r="DO19" i="2"/>
  <c r="CS19" i="2"/>
  <c r="DL19" i="2"/>
  <c r="CQ19" i="2"/>
  <c r="DI19" i="2"/>
  <c r="CN19" i="2"/>
  <c r="DG19" i="2"/>
  <c r="FF19" i="2" s="1"/>
  <c r="CK19" i="2"/>
  <c r="DD19" i="2"/>
  <c r="CI19" i="2"/>
  <c r="DA19" i="2"/>
  <c r="CF19" i="2"/>
  <c r="CY19" i="2"/>
  <c r="DQ19" i="2"/>
  <c r="CV19" i="2"/>
  <c r="L33" i="2"/>
  <c r="M33" i="2"/>
  <c r="P36" i="2"/>
  <c r="V36" i="2"/>
  <c r="N33" i="2"/>
  <c r="O33" i="2"/>
  <c r="P33" i="2"/>
  <c r="L36" i="2"/>
  <c r="V33" i="2"/>
  <c r="M36" i="2"/>
  <c r="N36" i="2"/>
  <c r="AA36" i="2" s="1"/>
  <c r="O36" i="2"/>
  <c r="N16" i="2"/>
  <c r="L19" i="2"/>
  <c r="V16" i="2"/>
  <c r="P19" i="2"/>
  <c r="V19" i="2"/>
  <c r="M16" i="2"/>
  <c r="L16" i="2"/>
  <c r="O19" i="2"/>
  <c r="N19" i="2"/>
  <c r="AA19" i="2" s="1"/>
  <c r="P16" i="2"/>
  <c r="M19" i="2"/>
  <c r="O16" i="2"/>
  <c r="AK93" i="1"/>
  <c r="AK75" i="1"/>
  <c r="AK94" i="1" s="1"/>
  <c r="X75" i="1"/>
  <c r="X94" i="1" s="1"/>
  <c r="X93" i="1"/>
  <c r="AC93" i="1"/>
  <c r="AC75" i="1"/>
  <c r="AC94" i="1" s="1"/>
  <c r="AG75" i="1"/>
  <c r="AG94" i="1" s="1"/>
  <c r="AG93" i="1"/>
  <c r="I93" i="1"/>
  <c r="AH15" i="2"/>
  <c r="Y75" i="1"/>
  <c r="Y94" i="1" s="1"/>
  <c r="Y93" i="1"/>
  <c r="U93" i="1"/>
  <c r="U75" i="1"/>
  <c r="U94" i="1" s="1"/>
  <c r="BL93" i="1"/>
  <c r="BL75" i="1"/>
  <c r="BL94" i="1" s="1"/>
  <c r="P75" i="1"/>
  <c r="P94" i="1" s="1"/>
  <c r="P93" i="1"/>
  <c r="Q93" i="1"/>
  <c r="Q75" i="1"/>
  <c r="Q94" i="1" s="1"/>
  <c r="BD93" i="1"/>
  <c r="BD75" i="1"/>
  <c r="BD94" i="1" s="1"/>
  <c r="H75" i="1"/>
  <c r="H94" i="1" s="1"/>
  <c r="H93" i="1"/>
  <c r="AV75" i="1"/>
  <c r="AV94" i="1" s="1"/>
  <c r="AV93" i="1"/>
  <c r="BE75" i="1"/>
  <c r="BE94" i="1" s="1"/>
  <c r="BE93" i="1"/>
  <c r="CC32" i="2"/>
  <c r="CZ93" i="1"/>
  <c r="CC28" i="2"/>
  <c r="AN75" i="1"/>
  <c r="AN94" i="1" s="1"/>
  <c r="AN93" i="1"/>
  <c r="AW94" i="1"/>
  <c r="BA93" i="1"/>
  <c r="BA75" i="1"/>
  <c r="BA94" i="1" s="1"/>
  <c r="BQ75" i="1"/>
  <c r="BQ94" i="1" s="1"/>
  <c r="BQ93" i="1"/>
  <c r="CO93" i="1"/>
  <c r="CO75" i="1"/>
  <c r="CO94" i="1" s="1"/>
  <c r="BU32" i="2"/>
  <c r="CJ94" i="1"/>
  <c r="CJ93" i="1"/>
  <c r="BU28" i="2"/>
  <c r="BM32" i="2"/>
  <c r="BM28" i="2"/>
  <c r="BT93" i="1"/>
  <c r="BB7" i="2"/>
  <c r="BB18" i="2"/>
  <c r="BS94" i="1"/>
  <c r="AF11" i="2"/>
  <c r="BM75" i="1"/>
  <c r="BM94" i="1" s="1"/>
  <c r="BF75" i="1"/>
  <c r="BF94" i="1" s="1"/>
  <c r="AG29" i="2"/>
  <c r="AG28" i="2"/>
  <c r="BS32" i="2"/>
  <c r="BS28" i="2"/>
  <c r="AJ32" i="2"/>
  <c r="CQ36" i="1"/>
  <c r="BY18" i="2"/>
  <c r="BY7" i="2"/>
  <c r="BS24" i="2"/>
  <c r="BS25" i="2"/>
  <c r="CF60" i="1"/>
  <c r="BN35" i="2"/>
  <c r="BE7" i="2"/>
  <c r="BE18" i="2"/>
  <c r="BA24" i="2"/>
  <c r="BA26" i="2"/>
  <c r="AU18" i="2"/>
  <c r="AI36" i="1"/>
  <c r="AU7" i="2"/>
  <c r="AK7" i="2"/>
  <c r="AK18" i="2"/>
  <c r="AK9" i="2"/>
  <c r="AX93" i="1"/>
  <c r="BJ93" i="1"/>
  <c r="BZ12" i="2"/>
  <c r="BZ13" i="2"/>
  <c r="BZ11" i="2"/>
  <c r="BB29" i="2"/>
  <c r="BB30" i="2"/>
  <c r="BB28" i="2"/>
  <c r="AN12" i="2"/>
  <c r="AN13" i="2"/>
  <c r="CE93" i="1"/>
  <c r="BS11" i="2"/>
  <c r="BK32" i="2"/>
  <c r="BK28" i="2"/>
  <c r="AY32" i="2"/>
  <c r="BW93" i="1"/>
  <c r="BO11" i="2"/>
  <c r="BF24" i="2"/>
  <c r="AH7" i="2"/>
  <c r="AH18" i="2"/>
  <c r="BW30" i="2"/>
  <c r="BW28" i="2"/>
  <c r="AN29" i="2"/>
  <c r="AN30" i="2"/>
  <c r="AN28" i="2"/>
  <c r="S93" i="1"/>
  <c r="AQ93" i="1"/>
  <c r="CL75" i="1"/>
  <c r="CL94" i="1" s="1"/>
  <c r="BU75" i="1"/>
  <c r="BU94" i="1" s="1"/>
  <c r="AY29" i="2"/>
  <c r="AR75" i="1"/>
  <c r="AR94" i="1" s="1"/>
  <c r="AL75" i="1"/>
  <c r="AL94" i="1" s="1"/>
  <c r="BY30" i="2"/>
  <c r="BY29" i="2"/>
  <c r="BT29" i="2"/>
  <c r="BT30" i="2"/>
  <c r="BT28" i="2"/>
  <c r="AZ12" i="2"/>
  <c r="AZ11" i="2"/>
  <c r="CQ94" i="1"/>
  <c r="AS15" i="2"/>
  <c r="AS11" i="2"/>
  <c r="BP12" i="2"/>
  <c r="BP13" i="2"/>
  <c r="BP11" i="2"/>
  <c r="AJ93" i="1"/>
  <c r="BY93" i="1"/>
  <c r="BK75" i="1"/>
  <c r="BK94" i="1" s="1"/>
  <c r="CA94" i="1"/>
  <c r="BP28" i="2"/>
  <c r="BW29" i="2"/>
  <c r="Z75" i="1"/>
  <c r="Z94" i="1" s="1"/>
  <c r="BJ11" i="2"/>
  <c r="BJ12" i="2"/>
  <c r="BJ13" i="2"/>
  <c r="BD29" i="2"/>
  <c r="BD30" i="2"/>
  <c r="BD28" i="2"/>
  <c r="AR29" i="2"/>
  <c r="AR30" i="2"/>
  <c r="AR28" i="2"/>
  <c r="BO93" i="1"/>
  <c r="BE15" i="2"/>
  <c r="BE11" i="2"/>
  <c r="AW36" i="1"/>
  <c r="AQ32" i="2"/>
  <c r="AQ28" i="2"/>
  <c r="AM94" i="1"/>
  <c r="BK93" i="1"/>
  <c r="BI32" i="2"/>
  <c r="BI28" i="2"/>
  <c r="BA15" i="2"/>
  <c r="BA11" i="2"/>
  <c r="AK11" i="2"/>
  <c r="AK15" i="2"/>
  <c r="BN24" i="2"/>
  <c r="BN25" i="2"/>
  <c r="BV60" i="1"/>
  <c r="BN26" i="2"/>
  <c r="AW18" i="2"/>
  <c r="AW7" i="2"/>
  <c r="AM36" i="1"/>
  <c r="AO93" i="1"/>
  <c r="R75" i="1"/>
  <c r="R94" i="1" s="1"/>
  <c r="L93" i="1"/>
  <c r="AZ93" i="1"/>
  <c r="E93" i="1"/>
  <c r="I75" i="1"/>
  <c r="I94" i="1" s="1"/>
  <c r="BB75" i="1"/>
  <c r="BB94" i="1" s="1"/>
  <c r="T75" i="1"/>
  <c r="T94" i="1" s="1"/>
  <c r="BN30" i="2"/>
  <c r="BN28" i="2"/>
  <c r="BL13" i="2"/>
  <c r="BD12" i="2"/>
  <c r="BD11" i="2"/>
  <c r="BD13" i="2"/>
  <c r="BW11" i="2"/>
  <c r="CM93" i="1"/>
  <c r="BQ32" i="2"/>
  <c r="BQ28" i="2"/>
  <c r="CB93" i="1"/>
  <c r="AL30" i="2"/>
  <c r="AL28" i="2"/>
  <c r="AL29" i="2"/>
  <c r="AS24" i="2"/>
  <c r="AS35" i="2"/>
  <c r="AQ29" i="2"/>
  <c r="AB75" i="1"/>
  <c r="AB94" i="1" s="1"/>
  <c r="AX12" i="2"/>
  <c r="AX11" i="2"/>
  <c r="AX13" i="2"/>
  <c r="CB32" i="2"/>
  <c r="CX93" i="1"/>
  <c r="CB28" i="2"/>
  <c r="N94" i="1"/>
  <c r="AS93" i="1"/>
  <c r="N93" i="1"/>
  <c r="AD93" i="1"/>
  <c r="CU93" i="1"/>
  <c r="AP75" i="1"/>
  <c r="AP94" i="1" s="1"/>
  <c r="J75" i="1"/>
  <c r="J94" i="1" s="1"/>
  <c r="CC30" i="2"/>
  <c r="CC29" i="2"/>
  <c r="BO15" i="2"/>
  <c r="AU32" i="2"/>
  <c r="AF36" i="1"/>
  <c r="BX28" i="2"/>
  <c r="BN11" i="2"/>
  <c r="BN12" i="2"/>
  <c r="BB12" i="2"/>
  <c r="BB11" i="2"/>
  <c r="AP29" i="2"/>
  <c r="AP30" i="2"/>
  <c r="AL11" i="2"/>
  <c r="BS35" i="2"/>
  <c r="BA35" i="2"/>
  <c r="AO24" i="2"/>
  <c r="AO35" i="2"/>
  <c r="BG36" i="1"/>
  <c r="CI36" i="1"/>
  <c r="BU18" i="2"/>
  <c r="BU7" i="2"/>
  <c r="BC7" i="2"/>
  <c r="BC18" i="2"/>
  <c r="AY36" i="1"/>
  <c r="AY94" i="1" s="1"/>
  <c r="AY35" i="2"/>
  <c r="AY24" i="2"/>
  <c r="AT35" i="2"/>
  <c r="AT24" i="2"/>
  <c r="AL24" i="2"/>
  <c r="AL35" i="2"/>
  <c r="CA28" i="2"/>
  <c r="AL12" i="2"/>
  <c r="BR11" i="2"/>
  <c r="BR12" i="2"/>
  <c r="BH30" i="2"/>
  <c r="BF12" i="2"/>
  <c r="BF11" i="2"/>
  <c r="AT29" i="2"/>
  <c r="AT30" i="2"/>
  <c r="AR13" i="2"/>
  <c r="AP12" i="2"/>
  <c r="AP11" i="2"/>
  <c r="AH36" i="1"/>
  <c r="AG11" i="2"/>
  <c r="AG15" i="2"/>
  <c r="BO35" i="2"/>
  <c r="BS36" i="1"/>
  <c r="BM18" i="2"/>
  <c r="BM7" i="2"/>
  <c r="BI35" i="2"/>
  <c r="BI24" i="2"/>
  <c r="BF7" i="2"/>
  <c r="BF18" i="2"/>
  <c r="BT12" i="2"/>
  <c r="AV29" i="2"/>
  <c r="AV30" i="2"/>
  <c r="CA36" i="1"/>
  <c r="BQ18" i="2"/>
  <c r="BQ7" i="2"/>
  <c r="BB35" i="2"/>
  <c r="BA7" i="2"/>
  <c r="BA18" i="2"/>
  <c r="BV12" i="2"/>
  <c r="AX29" i="2"/>
  <c r="AX30" i="2"/>
  <c r="AT12" i="2"/>
  <c r="AT11" i="2"/>
  <c r="AF32" i="2"/>
  <c r="CA35" i="2"/>
  <c r="BN7" i="2"/>
  <c r="BN18" i="2"/>
  <c r="BK7" i="2"/>
  <c r="BK18" i="2"/>
  <c r="BE35" i="2"/>
  <c r="BD7" i="2"/>
  <c r="BD18" i="2"/>
  <c r="AR18" i="2"/>
  <c r="AR7" i="2"/>
  <c r="AM35" i="2"/>
  <c r="AM24" i="2"/>
  <c r="AJ15" i="2"/>
  <c r="M59" i="1"/>
  <c r="BG75" i="1"/>
  <c r="CP93" i="1"/>
  <c r="AI28" i="2"/>
  <c r="BX12" i="2"/>
  <c r="AZ29" i="2"/>
  <c r="AZ30" i="2"/>
  <c r="AH13" i="2"/>
  <c r="CY36" i="1"/>
  <c r="CC18" i="2"/>
  <c r="CC7" i="2"/>
  <c r="BO7" i="2"/>
  <c r="BO18" i="2"/>
  <c r="AO7" i="2"/>
  <c r="AO18" i="2"/>
  <c r="AJ7" i="2"/>
  <c r="BZ24" i="2"/>
  <c r="BV24" i="2"/>
  <c r="BR24" i="2"/>
  <c r="AX24" i="2"/>
  <c r="AQ7" i="2"/>
  <c r="AI7" i="2"/>
  <c r="AA36" i="1"/>
  <c r="AA94" i="1" s="1"/>
  <c r="K36" i="1"/>
  <c r="DN12" i="2" l="1" a="1"/>
  <c r="EC30" i="2" a="1"/>
  <c r="DW29" i="2" a="1"/>
  <c r="DV13" i="2" a="1"/>
  <c r="CG30" i="2" a="1"/>
  <c r="FB33" i="2"/>
  <c r="EH33" i="2"/>
  <c r="CX30" i="2" a="1"/>
  <c r="CZ30" i="2" a="1"/>
  <c r="DI30" i="2" a="1"/>
  <c r="DR30" i="2" a="1"/>
  <c r="DR30" i="2" s="1"/>
  <c r="CI30" i="2" a="1"/>
  <c r="CY30" i="2" a="1"/>
  <c r="CZ28" i="2" a="1"/>
  <c r="CG12" i="2" a="1"/>
  <c r="EB12" i="2" a="1"/>
  <c r="DY12" i="2" a="1"/>
  <c r="DP12" i="2" a="1"/>
  <c r="DO12" i="2" a="1"/>
  <c r="DF12" i="2" a="1"/>
  <c r="DT13" i="2" a="1"/>
  <c r="DT13" i="2" s="1"/>
  <c r="DB13" i="2" a="1"/>
  <c r="CS13" i="2" a="1"/>
  <c r="EA13" i="2" a="1"/>
  <c r="CI13" i="2" a="1"/>
  <c r="EC13" i="2" a="1"/>
  <c r="CR29" i="2" a="1"/>
  <c r="DB29" i="2" a="1"/>
  <c r="DC29" i="2" a="1"/>
  <c r="DC29" i="2" s="1"/>
  <c r="DL29" i="2" a="1"/>
  <c r="DM29" i="2" a="1"/>
  <c r="DV29" i="2" a="1"/>
  <c r="DF30" i="2" a="1"/>
  <c r="CF30" i="2" a="1"/>
  <c r="DQ12" i="2" a="1"/>
  <c r="DQ12" i="2" s="1"/>
  <c r="CK13" i="2" a="1"/>
  <c r="DM13" i="2" a="1"/>
  <c r="DJ29" i="2" a="1"/>
  <c r="CK29" i="2" a="1"/>
  <c r="DN30" i="2" a="1"/>
  <c r="DP30" i="2" a="1"/>
  <c r="DP30" i="2" s="1"/>
  <c r="DY30" i="2" a="1"/>
  <c r="CM30" i="2" a="1"/>
  <c r="CN30" i="2" a="1"/>
  <c r="CO30" i="2" a="1"/>
  <c r="CX28" i="2" a="1"/>
  <c r="EC12" i="2" a="1"/>
  <c r="EA12" i="2" a="1"/>
  <c r="DR12" i="2" a="1"/>
  <c r="DI12" i="2" a="1"/>
  <c r="CZ12" i="2" a="1"/>
  <c r="CY12" i="2" a="1"/>
  <c r="CY12" i="2" s="1"/>
  <c r="CP12" i="2" a="1"/>
  <c r="DD13" i="2" a="1"/>
  <c r="CL13" i="2" a="1"/>
  <c r="DK13" i="2" a="1"/>
  <c r="CF13" i="2" a="1"/>
  <c r="DF13" i="2" a="1"/>
  <c r="DE13" i="2" a="1"/>
  <c r="DH29" i="2" a="1"/>
  <c r="DH29" i="2" s="1"/>
  <c r="DR29" i="2" a="1"/>
  <c r="DS29" i="2" a="1"/>
  <c r="EB29" i="2" a="1"/>
  <c r="EC29" i="2" a="1"/>
  <c r="CI29" i="2" a="1"/>
  <c r="DZ30" i="2" a="1"/>
  <c r="DH28" i="2" a="1"/>
  <c r="DH12" i="2" a="1"/>
  <c r="DL13" i="2" a="1"/>
  <c r="DC13" i="2" a="1"/>
  <c r="DK29" i="2" a="1"/>
  <c r="DV30" i="2" a="1"/>
  <c r="DX30" i="2" a="1"/>
  <c r="CQ30" i="2" a="1"/>
  <c r="CU30" i="2" a="1"/>
  <c r="CU30" i="2" s="1"/>
  <c r="CV30" i="2" a="1"/>
  <c r="CW30" i="2" a="1"/>
  <c r="DX28" i="2" a="1"/>
  <c r="DU12" i="2" a="1"/>
  <c r="DS12" i="2" a="1"/>
  <c r="DJ12" i="2" a="1"/>
  <c r="DA12" i="2" a="1"/>
  <c r="CR12" i="2" a="1"/>
  <c r="CQ12" i="2" a="1"/>
  <c r="CH12" i="2" a="1"/>
  <c r="CV13" i="2" a="1"/>
  <c r="CV13" i="2" s="1"/>
  <c r="DZ13" i="2" a="1"/>
  <c r="DP13" i="2" a="1"/>
  <c r="DW13" i="2" a="1"/>
  <c r="CX13" i="2" a="1"/>
  <c r="CW13" i="2" a="1"/>
  <c r="DP29" i="2" a="1"/>
  <c r="DZ29" i="2" a="1"/>
  <c r="EA29" i="2" a="1"/>
  <c r="EA29" i="2" s="1"/>
  <c r="DI29" i="2" a="1"/>
  <c r="CH29" i="2" a="1"/>
  <c r="CQ29" i="2" a="1"/>
  <c r="DQ30" i="2" a="1"/>
  <c r="DZ12" i="2" a="1"/>
  <c r="CX12" i="2" a="1"/>
  <c r="CX12" i="2" s="1"/>
  <c r="DX13" i="2" a="1"/>
  <c r="DT29" i="2" a="1"/>
  <c r="DG30" i="2" a="1"/>
  <c r="DO30" i="2" a="1"/>
  <c r="CL30" i="2" a="1"/>
  <c r="DC30" i="2" a="1"/>
  <c r="DD30" i="2" a="1"/>
  <c r="DD30" i="2" s="1"/>
  <c r="DE30" i="2" a="1"/>
  <c r="DE30" i="2" s="1"/>
  <c r="DM12" i="2" a="1"/>
  <c r="DK12" i="2" a="1"/>
  <c r="DK12" i="2" s="1"/>
  <c r="DB12" i="2" a="1"/>
  <c r="CS12" i="2" a="1"/>
  <c r="CJ12" i="2" a="1"/>
  <c r="CI12" i="2" a="1"/>
  <c r="CM13" i="2" a="1"/>
  <c r="CN13" i="2" a="1"/>
  <c r="DY13" i="2" a="1"/>
  <c r="DH13" i="2" a="1"/>
  <c r="DH13" i="2" s="1"/>
  <c r="DO13" i="2" a="1"/>
  <c r="CP13" i="2" a="1"/>
  <c r="CO13" i="2" a="1"/>
  <c r="DX29" i="2" a="1"/>
  <c r="CS29" i="2" a="1"/>
  <c r="CF29" i="2" a="1"/>
  <c r="CG29" i="2" a="1"/>
  <c r="CG29" i="2" s="1"/>
  <c r="CP29" i="2" a="1"/>
  <c r="CP29" i="2" s="1"/>
  <c r="CY29" i="2" a="1"/>
  <c r="EY16" i="2"/>
  <c r="DH30" i="2" a="1"/>
  <c r="DL12" i="2" a="1"/>
  <c r="DG12" i="2" a="1"/>
  <c r="CT13" i="2" a="1"/>
  <c r="CZ29" i="2" a="1"/>
  <c r="CZ29" i="2" s="1"/>
  <c r="DU29" i="2" a="1"/>
  <c r="DW30" i="2" a="1"/>
  <c r="CK30" i="2" a="1"/>
  <c r="CT30" i="2" a="1"/>
  <c r="DK30" i="2" a="1"/>
  <c r="DL30" i="2" a="1"/>
  <c r="DM30" i="2" a="1"/>
  <c r="DM30" i="2" s="1"/>
  <c r="DR28" i="2" a="1"/>
  <c r="DE12" i="2" a="1"/>
  <c r="DC12" i="2" a="1"/>
  <c r="DC12" i="2" s="1"/>
  <c r="CT12" i="2" a="1"/>
  <c r="CT12" i="2" s="1"/>
  <c r="CK12" i="2" a="1"/>
  <c r="CV12" i="2" a="1"/>
  <c r="CN12" i="2" a="1"/>
  <c r="DN13" i="2" a="1"/>
  <c r="DS13" i="2" a="1"/>
  <c r="DQ13" i="2" a="1"/>
  <c r="CZ13" i="2" a="1"/>
  <c r="CZ13" i="2" s="1"/>
  <c r="DG13" i="2" a="1"/>
  <c r="DG13" i="2" s="1"/>
  <c r="CH13" i="2" a="1"/>
  <c r="CG13" i="2" a="1"/>
  <c r="DQ29" i="2" a="1"/>
  <c r="DY29" i="2" a="1"/>
  <c r="CN29" i="2" a="1"/>
  <c r="CO29" i="2" a="1"/>
  <c r="CX29" i="2" a="1"/>
  <c r="CX29" i="2" s="1"/>
  <c r="DG29" i="2" a="1"/>
  <c r="DG29" i="2" s="1"/>
  <c r="CH30" i="2" a="1"/>
  <c r="CJ30" i="2" a="1"/>
  <c r="CS30" i="2" a="1"/>
  <c r="DB30" i="2" a="1"/>
  <c r="DS30" i="2" a="1"/>
  <c r="DT30" i="2" a="1"/>
  <c r="DU30" i="2" a="1"/>
  <c r="DU30" i="2" s="1"/>
  <c r="DZ28" i="2" a="1"/>
  <c r="CW12" i="2" a="1"/>
  <c r="CU12" i="2" a="1"/>
  <c r="CL12" i="2" a="1"/>
  <c r="CL12" i="2" s="1"/>
  <c r="DT12" i="2" a="1"/>
  <c r="CF12" i="2" a="1"/>
  <c r="DV12" i="2" a="1"/>
  <c r="DU13" i="2" a="1"/>
  <c r="DR13" i="2" a="1"/>
  <c r="DI13" i="2" a="1"/>
  <c r="CR13" i="2" a="1"/>
  <c r="CR13" i="2" s="1"/>
  <c r="CY13" i="2" a="1"/>
  <c r="CY13" i="2" s="1"/>
  <c r="CU13" i="2" a="1"/>
  <c r="DA29" i="2" a="1"/>
  <c r="CL29" i="2" a="1"/>
  <c r="CM29" i="2" a="1"/>
  <c r="CV29" i="2" a="1"/>
  <c r="CW29" i="2" a="1"/>
  <c r="DF29" i="2" a="1"/>
  <c r="DF29" i="2" s="1"/>
  <c r="DO29" i="2" a="1"/>
  <c r="DO29" i="2" s="1"/>
  <c r="CP30" i="2" a="1"/>
  <c r="CR30" i="2" a="1"/>
  <c r="DA30" i="2" a="1"/>
  <c r="DJ30" i="2" a="1"/>
  <c r="EA30" i="2" a="1"/>
  <c r="EB30" i="2" a="1"/>
  <c r="CM28" i="2" a="1"/>
  <c r="CO12" i="2" a="1"/>
  <c r="CM12" i="2" a="1"/>
  <c r="DD12" i="2" a="1"/>
  <c r="DX12" i="2" a="1"/>
  <c r="DX12" i="2" s="1"/>
  <c r="DW12" i="2" a="1"/>
  <c r="DW12" i="2" s="1"/>
  <c r="EB13" i="2" a="1"/>
  <c r="EB13" i="2" s="1"/>
  <c r="DJ13" i="2" a="1"/>
  <c r="DJ13" i="2" s="1"/>
  <c r="DA13" i="2" a="1"/>
  <c r="CJ13" i="2" a="1"/>
  <c r="CQ13" i="2" a="1"/>
  <c r="CJ29" i="2" a="1"/>
  <c r="CT29" i="2" a="1"/>
  <c r="CT29" i="2" s="1"/>
  <c r="CU29" i="2" a="1"/>
  <c r="CU29" i="2" s="1"/>
  <c r="DD29" i="2" a="1"/>
  <c r="DE29" i="2" a="1"/>
  <c r="DE29" i="2" s="1"/>
  <c r="DN29" i="2" a="1"/>
  <c r="ER19" i="2"/>
  <c r="FN16" i="2"/>
  <c r="EU36" i="2"/>
  <c r="FX33" i="2"/>
  <c r="DN13" i="2"/>
  <c r="DC13" i="2"/>
  <c r="CF12" i="2"/>
  <c r="DI30" i="2"/>
  <c r="CQ30" i="2"/>
  <c r="FL16" i="2"/>
  <c r="DK25" i="2"/>
  <c r="DV30" i="2"/>
  <c r="DM12" i="2"/>
  <c r="CI12" i="2"/>
  <c r="CN13" i="2"/>
  <c r="DY13" i="2"/>
  <c r="CF13" i="2"/>
  <c r="DS13" i="2"/>
  <c r="DR13" i="2"/>
  <c r="CT13" i="2"/>
  <c r="DA30" i="2"/>
  <c r="CS30" i="2"/>
  <c r="DO30" i="2"/>
  <c r="CO30" i="2"/>
  <c r="CY30" i="2"/>
  <c r="DZ29" i="2"/>
  <c r="CI29" i="2"/>
  <c r="CO29" i="2"/>
  <c r="DT29" i="2"/>
  <c r="DD12" i="2"/>
  <c r="CV12" i="2"/>
  <c r="CR12" i="2"/>
  <c r="EB12" i="2"/>
  <c r="DU12" i="2"/>
  <c r="EA12" i="2"/>
  <c r="CH13" i="2"/>
  <c r="CM29" i="2"/>
  <c r="DH12" i="2"/>
  <c r="CQ13" i="2"/>
  <c r="DU13" i="2"/>
  <c r="CW13" i="2"/>
  <c r="CU13" i="2"/>
  <c r="CO13" i="2"/>
  <c r="DF13" i="2"/>
  <c r="DW30" i="2"/>
  <c r="CH30" i="2"/>
  <c r="EG30" i="2" s="1"/>
  <c r="CG30" i="2"/>
  <c r="CM30" i="2"/>
  <c r="DL29" i="2"/>
  <c r="DQ29" i="2"/>
  <c r="DV29" i="2"/>
  <c r="DX29" i="2"/>
  <c r="CW29" i="2"/>
  <c r="EB29" i="2"/>
  <c r="DP12" i="2"/>
  <c r="EC12" i="2"/>
  <c r="DF12" i="2"/>
  <c r="CJ12" i="2"/>
  <c r="CU12" i="2"/>
  <c r="EU12" i="2" s="1"/>
  <c r="CQ12" i="2"/>
  <c r="CP30" i="2"/>
  <c r="EO30" i="2" s="1"/>
  <c r="DN29" i="2"/>
  <c r="FH16" i="2"/>
  <c r="DK13" i="2"/>
  <c r="CJ13" i="2"/>
  <c r="DW13" i="2"/>
  <c r="DV13" i="2"/>
  <c r="DZ30" i="2"/>
  <c r="CV30" i="2"/>
  <c r="EB30" i="2"/>
  <c r="DT30" i="2"/>
  <c r="DL30" i="2"/>
  <c r="DQ30" i="2"/>
  <c r="DY29" i="2"/>
  <c r="DM29" i="2"/>
  <c r="FL29" i="2" s="1"/>
  <c r="CF29" i="2"/>
  <c r="DS29" i="2"/>
  <c r="DK29" i="2"/>
  <c r="CZ12" i="2"/>
  <c r="DB12" i="2"/>
  <c r="DN12" i="2"/>
  <c r="CK12" i="2"/>
  <c r="EV36" i="2"/>
  <c r="DN30" i="2"/>
  <c r="DI29" i="2"/>
  <c r="GA36" i="2"/>
  <c r="DA13" i="2"/>
  <c r="DL13" i="2"/>
  <c r="DZ13" i="2"/>
  <c r="DO13" i="2"/>
  <c r="CP13" i="2"/>
  <c r="EP13" i="2" s="1"/>
  <c r="CJ30" i="2"/>
  <c r="CW30" i="2"/>
  <c r="EV30" i="2" s="1"/>
  <c r="DS30" i="2"/>
  <c r="DF30" i="2"/>
  <c r="DC30" i="2"/>
  <c r="CX30" i="2"/>
  <c r="CY29" i="2"/>
  <c r="CQ29" i="2"/>
  <c r="CN29" i="2"/>
  <c r="CL29" i="2"/>
  <c r="DT12" i="2"/>
  <c r="FT12" i="2" s="1"/>
  <c r="CS12" i="2"/>
  <c r="DV12" i="2"/>
  <c r="DR12" i="2"/>
  <c r="DG12" i="2"/>
  <c r="CX13" i="2"/>
  <c r="EC30" i="2"/>
  <c r="DQ13" i="2"/>
  <c r="CM13" i="2"/>
  <c r="DP13" i="2"/>
  <c r="CK13" i="2"/>
  <c r="CL13" i="2"/>
  <c r="EA30" i="2"/>
  <c r="CT30" i="2"/>
  <c r="DK30" i="2"/>
  <c r="DY30" i="2"/>
  <c r="CR30" i="2"/>
  <c r="EQ30" i="2" s="1"/>
  <c r="DU29" i="2"/>
  <c r="CR29" i="2"/>
  <c r="DB29" i="2"/>
  <c r="CK29" i="2"/>
  <c r="DP29" i="2"/>
  <c r="DJ12" i="2"/>
  <c r="DZ12" i="2"/>
  <c r="DE12" i="2"/>
  <c r="DY12" i="2"/>
  <c r="CG12" i="2"/>
  <c r="DS12" i="2"/>
  <c r="DX30" i="2"/>
  <c r="CH29" i="2"/>
  <c r="EO16" i="2"/>
  <c r="ET16" i="2"/>
  <c r="FU16" i="2"/>
  <c r="DD13" i="2"/>
  <c r="EC13" i="2"/>
  <c r="EA13" i="2"/>
  <c r="DM13" i="2"/>
  <c r="DE13" i="2"/>
  <c r="FD13" i="2" s="1"/>
  <c r="DB13" i="2"/>
  <c r="CN30" i="2"/>
  <c r="EM30" i="2" s="1"/>
  <c r="CF30" i="2"/>
  <c r="DB30" i="2"/>
  <c r="CL30" i="2"/>
  <c r="CZ30" i="2"/>
  <c r="EY30" i="2" s="1"/>
  <c r="CI30" i="2"/>
  <c r="EC29" i="2"/>
  <c r="CV29" i="2"/>
  <c r="DJ29" i="2"/>
  <c r="CS29" i="2"/>
  <c r="ER29" i="2" s="1"/>
  <c r="DW29" i="2"/>
  <c r="CP12" i="2"/>
  <c r="CO12" i="2"/>
  <c r="DL12" i="2"/>
  <c r="CW12" i="2"/>
  <c r="DA12" i="2"/>
  <c r="CM12" i="2"/>
  <c r="DX13" i="2"/>
  <c r="CG13" i="2"/>
  <c r="EF13" i="2" s="1"/>
  <c r="CI13" i="2"/>
  <c r="DI13" i="2"/>
  <c r="CS13" i="2"/>
  <c r="DJ30" i="2"/>
  <c r="CK30" i="2"/>
  <c r="DG30" i="2"/>
  <c r="FF30" i="2" s="1"/>
  <c r="DH30" i="2"/>
  <c r="DD29" i="2"/>
  <c r="DR29" i="2"/>
  <c r="DA29" i="2"/>
  <c r="CJ29" i="2"/>
  <c r="DI12" i="2"/>
  <c r="CH12" i="2"/>
  <c r="CN12" i="2"/>
  <c r="EM12" i="2" s="1"/>
  <c r="DO12" i="2"/>
  <c r="AA35" i="2" a="1"/>
  <c r="AA35" i="2" s="1"/>
  <c r="FZ16" i="2"/>
  <c r="DU25" i="2"/>
  <c r="EU19" i="2"/>
  <c r="FK36" i="2"/>
  <c r="FZ19" i="2"/>
  <c r="FH19" i="2"/>
  <c r="EP36" i="2"/>
  <c r="FG36" i="2"/>
  <c r="FX36" i="2"/>
  <c r="ET36" i="2"/>
  <c r="EA26" i="2"/>
  <c r="R16" i="4"/>
  <c r="M16" i="13" s="1"/>
  <c r="FR16" i="2"/>
  <c r="EF36" i="2"/>
  <c r="EZ33" i="2"/>
  <c r="R33" i="4"/>
  <c r="M33" i="13" s="1"/>
  <c r="EH19" i="2"/>
  <c r="FB19" i="2"/>
  <c r="EJ16" i="2"/>
  <c r="FB16" i="2"/>
  <c r="FX19" i="2"/>
  <c r="R13" i="4"/>
  <c r="M13" i="13" s="1"/>
  <c r="EI33" i="2"/>
  <c r="R30" i="4"/>
  <c r="M30" i="13" s="1"/>
  <c r="M32" i="14"/>
  <c r="AX32" i="14"/>
  <c r="AU32" i="14"/>
  <c r="AM32" i="14"/>
  <c r="CC32" i="14"/>
  <c r="AJ32" i="14"/>
  <c r="CI32" i="14"/>
  <c r="DT24" i="2"/>
  <c r="DN26" i="2"/>
  <c r="FC19" i="2"/>
  <c r="FN19" i="2"/>
  <c r="FJ19" i="2"/>
  <c r="EW19" i="2"/>
  <c r="GB19" i="2"/>
  <c r="FF36" i="2"/>
  <c r="FW36" i="2"/>
  <c r="ES36" i="2"/>
  <c r="FJ36" i="2"/>
  <c r="DT25" i="2"/>
  <c r="CI24" i="2"/>
  <c r="EJ19" i="2"/>
  <c r="FE19" i="2"/>
  <c r="FT19" i="2"/>
  <c r="FW19" i="2"/>
  <c r="FT16" i="2"/>
  <c r="EV16" i="2"/>
  <c r="EM36" i="2"/>
  <c r="EW36" i="2"/>
  <c r="FN36" i="2"/>
  <c r="EJ36" i="2"/>
  <c r="FA36" i="2"/>
  <c r="FR36" i="2"/>
  <c r="EC25" i="2"/>
  <c r="EQ33" i="2"/>
  <c r="FI33" i="2"/>
  <c r="FZ33" i="2"/>
  <c r="EF33" i="2"/>
  <c r="EO33" i="2"/>
  <c r="FF33" i="2"/>
  <c r="ES19" i="2"/>
  <c r="EN19" i="2"/>
  <c r="FS19" i="2"/>
  <c r="FV19" i="2"/>
  <c r="FP19" i="2"/>
  <c r="FA19" i="2"/>
  <c r="EH16" i="2"/>
  <c r="EM16" i="2"/>
  <c r="FC36" i="2"/>
  <c r="CQ25" i="2"/>
  <c r="FR19" i="2"/>
  <c r="FU36" i="2"/>
  <c r="EQ36" i="2"/>
  <c r="FH36" i="2"/>
  <c r="FY36" i="2"/>
  <c r="DF25" i="2"/>
  <c r="EP19" i="2"/>
  <c r="FL19" i="2"/>
  <c r="GA19" i="2"/>
  <c r="EG16" i="2"/>
  <c r="DX25" i="2"/>
  <c r="ET33" i="2"/>
  <c r="EX16" i="2"/>
  <c r="GA16" i="2"/>
  <c r="FX16" i="2"/>
  <c r="CT25" i="2"/>
  <c r="FK33" i="2"/>
  <c r="FT33" i="2"/>
  <c r="EA35" i="2" a="1"/>
  <c r="EA35" i="2" s="1"/>
  <c r="DK24" i="2"/>
  <c r="CQ24" i="2"/>
  <c r="CJ26" i="2"/>
  <c r="EK19" i="2"/>
  <c r="EF19" i="2"/>
  <c r="DW35" i="2" a="1"/>
  <c r="DW35" i="2" s="1"/>
  <c r="CJ35" i="2" a="1"/>
  <c r="CJ35" i="2" s="1"/>
  <c r="DA35" i="2" a="1"/>
  <c r="DA35" i="2" s="1"/>
  <c r="DR35" i="2" a="1"/>
  <c r="DR35" i="2" s="1"/>
  <c r="CF35" i="2" a="1"/>
  <c r="CF35" i="2" s="1"/>
  <c r="CO35" i="2" a="1"/>
  <c r="CO35" i="2" s="1"/>
  <c r="FF16" i="2"/>
  <c r="EF16" i="2"/>
  <c r="CJ24" i="2"/>
  <c r="DB24" i="2"/>
  <c r="DS24" i="2"/>
  <c r="EB24" i="2"/>
  <c r="CH24" i="2"/>
  <c r="CY24" i="2"/>
  <c r="EH36" i="2"/>
  <c r="EY36" i="2"/>
  <c r="FP36" i="2"/>
  <c r="EL36" i="2"/>
  <c r="CY25" i="2"/>
  <c r="DN25" i="2"/>
  <c r="CK25" i="2"/>
  <c r="DB25" i="2"/>
  <c r="DS25" i="2"/>
  <c r="FS25" i="2" s="1"/>
  <c r="EB25" i="2"/>
  <c r="FQ33" i="2"/>
  <c r="EN33" i="2"/>
  <c r="EW33" i="2"/>
  <c r="FN33" i="2"/>
  <c r="DU26" i="2"/>
  <c r="DL26" i="2"/>
  <c r="DV26" i="2"/>
  <c r="CR26" i="2"/>
  <c r="DI26" i="2"/>
  <c r="DZ26" i="2"/>
  <c r="DV35" i="2" a="1"/>
  <c r="DV35" i="2" s="1"/>
  <c r="DR26" i="2"/>
  <c r="FM19" i="2"/>
  <c r="CR35" i="2" a="1"/>
  <c r="CR35" i="2" s="1"/>
  <c r="DI35" i="2" a="1"/>
  <c r="DI35" i="2" s="1"/>
  <c r="DZ35" i="2" a="1"/>
  <c r="DZ35" i="2" s="1"/>
  <c r="CN35" i="2" a="1"/>
  <c r="CN35" i="2" s="1"/>
  <c r="CW35" i="2" a="1"/>
  <c r="CW35" i="2" s="1"/>
  <c r="EK16" i="2"/>
  <c r="FI16" i="2"/>
  <c r="EN16" i="2"/>
  <c r="GB16" i="2"/>
  <c r="FY16" i="2"/>
  <c r="CR24" i="2"/>
  <c r="DJ24" i="2"/>
  <c r="EA24" i="2"/>
  <c r="CG24" i="2"/>
  <c r="CP24" i="2"/>
  <c r="DG24" i="2"/>
  <c r="DG25" i="2"/>
  <c r="FF25" i="2" s="1"/>
  <c r="DV25" i="2"/>
  <c r="CS25" i="2"/>
  <c r="ES25" i="2" s="1"/>
  <c r="DJ25" i="2"/>
  <c r="EA25" i="2"/>
  <c r="CG25" i="2"/>
  <c r="FG33" i="2"/>
  <c r="FY33" i="2"/>
  <c r="EM33" i="2"/>
  <c r="EV33" i="2"/>
  <c r="FE33" i="2"/>
  <c r="FV33" i="2"/>
  <c r="EC26" i="2"/>
  <c r="DT26" i="2"/>
  <c r="CI26" i="2"/>
  <c r="CZ26" i="2"/>
  <c r="DQ26" i="2"/>
  <c r="CM26" i="2"/>
  <c r="DJ35" i="2" a="1"/>
  <c r="DJ35" i="2" s="1"/>
  <c r="CT24" i="2"/>
  <c r="EC24" i="2"/>
  <c r="DA26" i="2"/>
  <c r="EM19" i="2"/>
  <c r="EV19" i="2"/>
  <c r="EI19" i="2"/>
  <c r="FU19" i="2"/>
  <c r="CH35" i="2" a="1"/>
  <c r="CH35" i="2" s="1"/>
  <c r="CZ35" i="2" a="1"/>
  <c r="CZ35" i="2" s="1"/>
  <c r="DQ35" i="2" a="1"/>
  <c r="DQ35" i="2" s="1"/>
  <c r="CM35" i="2" a="1"/>
  <c r="CM35" i="2" s="1"/>
  <c r="CV35" i="2" a="1"/>
  <c r="CV35" i="2" s="1"/>
  <c r="DE35" i="2" a="1"/>
  <c r="DE35" i="2" s="1"/>
  <c r="ES16" i="2"/>
  <c r="CK24" i="2"/>
  <c r="EJ24" i="2" s="1"/>
  <c r="CZ24" i="2"/>
  <c r="DR24" i="2"/>
  <c r="CF24" i="2"/>
  <c r="CO24" i="2"/>
  <c r="CX24" i="2"/>
  <c r="DO24" i="2"/>
  <c r="EG36" i="2"/>
  <c r="EX36" i="2"/>
  <c r="FO36" i="2"/>
  <c r="EK36" i="2"/>
  <c r="FB36" i="2"/>
  <c r="DO25" i="2"/>
  <c r="FN25" i="2" s="1"/>
  <c r="CJ25" i="2"/>
  <c r="DA25" i="2"/>
  <c r="DR25" i="2"/>
  <c r="CF25" i="2"/>
  <c r="CO25" i="2"/>
  <c r="ER33" i="2"/>
  <c r="EL33" i="2"/>
  <c r="EU33" i="2"/>
  <c r="FD33" i="2"/>
  <c r="FM33" i="2"/>
  <c r="CG26" i="2"/>
  <c r="EB26" i="2"/>
  <c r="CQ26" i="2"/>
  <c r="DH26" i="2"/>
  <c r="DY26" i="2"/>
  <c r="CU26" i="2"/>
  <c r="CG35" i="2" a="1"/>
  <c r="CG35" i="2" s="1"/>
  <c r="DY24" i="2"/>
  <c r="DE26" i="2"/>
  <c r="EX19" i="2"/>
  <c r="FI19" i="2"/>
  <c r="FD19" i="2"/>
  <c r="EQ19" i="2"/>
  <c r="CI35" i="2" a="1"/>
  <c r="CI35" i="2" s="1"/>
  <c r="CP35" i="2" a="1"/>
  <c r="CP35" i="2" s="1"/>
  <c r="DH35" i="2" a="1"/>
  <c r="DH35" i="2" s="1"/>
  <c r="DY35" i="2" a="1"/>
  <c r="DY35" i="2" s="1"/>
  <c r="CU35" i="2" a="1"/>
  <c r="CU35" i="2" s="1"/>
  <c r="DD35" i="2" a="1"/>
  <c r="DD35" i="2" s="1"/>
  <c r="DM35" i="2" a="1"/>
  <c r="DM35" i="2" s="1"/>
  <c r="FV16" i="2"/>
  <c r="ER16" i="2"/>
  <c r="FA16" i="2"/>
  <c r="EP16" i="2"/>
  <c r="FD16" i="2"/>
  <c r="CS24" i="2"/>
  <c r="DH24" i="2"/>
  <c r="DZ24" i="2"/>
  <c r="CN24" i="2"/>
  <c r="CW24" i="2"/>
  <c r="DF24" i="2"/>
  <c r="DW24" i="2"/>
  <c r="EO36" i="2"/>
  <c r="DW25" i="2"/>
  <c r="FV25" i="2" s="1"/>
  <c r="CR25" i="2"/>
  <c r="DI25" i="2"/>
  <c r="DZ25" i="2"/>
  <c r="CN25" i="2"/>
  <c r="CW25" i="2"/>
  <c r="FC33" i="2"/>
  <c r="FL33" i="2"/>
  <c r="FU33" i="2"/>
  <c r="CO26" i="2"/>
  <c r="CH26" i="2"/>
  <c r="CY26" i="2"/>
  <c r="DP26" i="2"/>
  <c r="CL26" i="2"/>
  <c r="DC26" i="2"/>
  <c r="EY19" i="2"/>
  <c r="CQ35" i="2" a="1"/>
  <c r="CQ35" i="2" s="1"/>
  <c r="CX35" i="2" a="1"/>
  <c r="CX35" i="2" s="1"/>
  <c r="EW35" i="2" s="1"/>
  <c r="DP35" i="2" a="1"/>
  <c r="DP35" i="2" s="1"/>
  <c r="CL35" i="2" a="1"/>
  <c r="CL35" i="2" s="1"/>
  <c r="DC35" i="2" a="1"/>
  <c r="DC35" i="2" s="1"/>
  <c r="DL35" i="2" a="1"/>
  <c r="DL35" i="2" s="1"/>
  <c r="DU35" i="2" a="1"/>
  <c r="DU35" i="2" s="1"/>
  <c r="EZ16" i="2"/>
  <c r="FJ16" i="2"/>
  <c r="FQ16" i="2"/>
  <c r="DA24" i="2"/>
  <c r="DP24" i="2"/>
  <c r="CM24" i="2"/>
  <c r="CV24" i="2"/>
  <c r="DE24" i="2"/>
  <c r="DN24" i="2"/>
  <c r="CH25" i="2"/>
  <c r="CZ25" i="2"/>
  <c r="DQ25" i="2"/>
  <c r="CM25" i="2"/>
  <c r="CV25" i="2"/>
  <c r="DE25" i="2"/>
  <c r="EK33" i="2"/>
  <c r="CF26" i="2"/>
  <c r="CP26" i="2"/>
  <c r="DG26" i="2"/>
  <c r="DX26" i="2"/>
  <c r="CT26" i="2"/>
  <c r="DK26" i="2"/>
  <c r="CS35" i="2" a="1"/>
  <c r="CS35" i="2" s="1"/>
  <c r="DD26" i="2"/>
  <c r="FC26" i="2" s="1"/>
  <c r="EZ19" i="2"/>
  <c r="FK19" i="2"/>
  <c r="ET19" i="2"/>
  <c r="EG19" i="2"/>
  <c r="FG19" i="2"/>
  <c r="FY19" i="2"/>
  <c r="CY35" i="2" a="1"/>
  <c r="CY35" i="2" s="1"/>
  <c r="DF35" i="2" a="1"/>
  <c r="DF35" i="2" s="1"/>
  <c r="DX35" i="2" a="1"/>
  <c r="DX35" i="2" s="1"/>
  <c r="FW35" i="2" s="1"/>
  <c r="CT35" i="2" a="1"/>
  <c r="CT35" i="2" s="1"/>
  <c r="DK35" i="2" a="1"/>
  <c r="DK35" i="2" s="1"/>
  <c r="DT35" i="2" a="1"/>
  <c r="DT35" i="2" s="1"/>
  <c r="EC35" i="2" a="1"/>
  <c r="EC35" i="2" s="1"/>
  <c r="EI16" i="2"/>
  <c r="FG16" i="2"/>
  <c r="FP16" i="2"/>
  <c r="EU16" i="2"/>
  <c r="FM16" i="2"/>
  <c r="FW16" i="2"/>
  <c r="DI24" i="2"/>
  <c r="DX24" i="2"/>
  <c r="CU24" i="2"/>
  <c r="ET24" i="2" s="1"/>
  <c r="DD24" i="2"/>
  <c r="DM24" i="2"/>
  <c r="DV24" i="2"/>
  <c r="FE36" i="2"/>
  <c r="FV36" i="2"/>
  <c r="ER36" i="2"/>
  <c r="FI36" i="2"/>
  <c r="FZ36" i="2"/>
  <c r="CP25" i="2"/>
  <c r="DH25" i="2"/>
  <c r="DY25" i="2"/>
  <c r="CU25" i="2"/>
  <c r="DD25" i="2"/>
  <c r="DM25" i="2"/>
  <c r="FP33" i="2"/>
  <c r="ES33" i="2"/>
  <c r="FJ33" i="2"/>
  <c r="FS33" i="2"/>
  <c r="GB33" i="2"/>
  <c r="EP33" i="2"/>
  <c r="CW26" i="2"/>
  <c r="CN26" i="2"/>
  <c r="CX26" i="2"/>
  <c r="DO26" i="2"/>
  <c r="CK26" i="2"/>
  <c r="DB26" i="2"/>
  <c r="DS26" i="2"/>
  <c r="DO35" i="2" a="1"/>
  <c r="DO35" i="2" s="1"/>
  <c r="EO19" i="2"/>
  <c r="FO19" i="2"/>
  <c r="FQ19" i="2"/>
  <c r="DG35" i="2" a="1"/>
  <c r="DG35" i="2" s="1"/>
  <c r="DN35" i="2" a="1"/>
  <c r="DN35" i="2" s="1"/>
  <c r="FM35" i="2" s="1"/>
  <c r="CK35" i="2" a="1"/>
  <c r="CK35" i="2" s="1"/>
  <c r="EJ35" i="2" s="1"/>
  <c r="DB35" i="2" a="1"/>
  <c r="DB35" i="2" s="1"/>
  <c r="DS35" i="2" a="1"/>
  <c r="DS35" i="2" s="1"/>
  <c r="FR35" i="2" s="1"/>
  <c r="EB35" i="2" a="1"/>
  <c r="EB35" i="2" s="1"/>
  <c r="FO16" i="2"/>
  <c r="EL16" i="2"/>
  <c r="FC16" i="2"/>
  <c r="FS16" i="2"/>
  <c r="FK16" i="2"/>
  <c r="DQ24" i="2"/>
  <c r="CL24" i="2"/>
  <c r="EK24" i="2" s="1"/>
  <c r="DC24" i="2"/>
  <c r="FB24" i="2" s="1"/>
  <c r="DL24" i="2"/>
  <c r="DU24" i="2"/>
  <c r="FM36" i="2"/>
  <c r="EI36" i="2"/>
  <c r="EZ36" i="2"/>
  <c r="FQ36" i="2"/>
  <c r="CI25" i="2"/>
  <c r="EH25" i="2" s="1"/>
  <c r="CX25" i="2"/>
  <c r="EW25" i="2" s="1"/>
  <c r="DP25" i="2"/>
  <c r="CL25" i="2"/>
  <c r="DC25" i="2"/>
  <c r="DL25" i="2"/>
  <c r="FA33" i="2"/>
  <c r="FR33" i="2"/>
  <c r="GA33" i="2"/>
  <c r="EG33" i="2"/>
  <c r="EX33" i="2"/>
  <c r="DM26" i="2"/>
  <c r="CV26" i="2"/>
  <c r="DF26" i="2"/>
  <c r="DW26" i="2"/>
  <c r="CS26" i="2"/>
  <c r="DJ26" i="2"/>
  <c r="FI26" i="2" s="1"/>
  <c r="DT7" i="2"/>
  <c r="DV7" i="2"/>
  <c r="CQ7" i="2"/>
  <c r="DW7" i="2"/>
  <c r="DZ7" i="2"/>
  <c r="EC7" i="2"/>
  <c r="DR7" i="2"/>
  <c r="DU7" i="2"/>
  <c r="EB7" i="2"/>
  <c r="DN7" i="2"/>
  <c r="FU12" i="2"/>
  <c r="DY7" i="2"/>
  <c r="EA7" i="2"/>
  <c r="DX7" i="2"/>
  <c r="DS7" i="2"/>
  <c r="CZ7" i="2"/>
  <c r="CF7" i="2"/>
  <c r="P25" i="2"/>
  <c r="DF7" i="2"/>
  <c r="DO7" i="2"/>
  <c r="ER12" i="2"/>
  <c r="EV12" i="2"/>
  <c r="CM7" i="2"/>
  <c r="CV7" i="2"/>
  <c r="DH7" i="2"/>
  <c r="DJ7" i="2"/>
  <c r="CO7" i="2"/>
  <c r="DL7" i="2"/>
  <c r="CX7" i="2"/>
  <c r="CH7" i="2"/>
  <c r="DP7" i="2"/>
  <c r="DA7" i="2"/>
  <c r="CL7" i="2"/>
  <c r="CG7" i="2"/>
  <c r="CP7" i="2"/>
  <c r="EO7" i="2" s="1"/>
  <c r="CJ7" i="2"/>
  <c r="DD7" i="2"/>
  <c r="DM7" i="2"/>
  <c r="CK7" i="2"/>
  <c r="DI7" i="2"/>
  <c r="CI7" i="2"/>
  <c r="CT7" i="2"/>
  <c r="CY7" i="2"/>
  <c r="CS7" i="2"/>
  <c r="DC7" i="2"/>
  <c r="CW7" i="2"/>
  <c r="DB7" i="2"/>
  <c r="DG7" i="2"/>
  <c r="CR7" i="2"/>
  <c r="DQ7" i="2"/>
  <c r="DK7" i="2"/>
  <c r="DE7" i="2"/>
  <c r="CU7" i="2"/>
  <c r="CN7" i="2"/>
  <c r="FK13" i="2"/>
  <c r="V26" i="2"/>
  <c r="V29" i="2"/>
  <c r="O30" i="2"/>
  <c r="N29" i="2"/>
  <c r="N35" i="2"/>
  <c r="P26" i="2"/>
  <c r="M35" i="2"/>
  <c r="O24" i="2"/>
  <c r="N30" i="2"/>
  <c r="O26" i="2"/>
  <c r="M25" i="2"/>
  <c r="L29" i="2"/>
  <c r="V35" i="2"/>
  <c r="P29" i="2"/>
  <c r="P30" i="2"/>
  <c r="M29" i="2"/>
  <c r="N25" i="2"/>
  <c r="AA25" i="2" s="1"/>
  <c r="O25" i="2"/>
  <c r="L24" i="2"/>
  <c r="L26" i="2"/>
  <c r="V25" i="2"/>
  <c r="M24" i="2"/>
  <c r="L30" i="2"/>
  <c r="P24" i="2"/>
  <c r="V30" i="2"/>
  <c r="O29" i="2"/>
  <c r="M26" i="2"/>
  <c r="N24" i="2"/>
  <c r="AA24" i="2" s="1"/>
  <c r="L35" i="2"/>
  <c r="M30" i="2"/>
  <c r="N26" i="2"/>
  <c r="AA26" i="2" s="1"/>
  <c r="V24" i="2"/>
  <c r="O35" i="2"/>
  <c r="L25" i="2"/>
  <c r="P35" i="2"/>
  <c r="M13" i="2"/>
  <c r="V7" i="2"/>
  <c r="V12" i="2"/>
  <c r="P7" i="2"/>
  <c r="O12" i="2"/>
  <c r="V13" i="2"/>
  <c r="N7" i="2"/>
  <c r="AA7" i="2" s="1"/>
  <c r="L13" i="2"/>
  <c r="N12" i="2"/>
  <c r="M7" i="2"/>
  <c r="L12" i="2"/>
  <c r="P12" i="2"/>
  <c r="O13" i="2"/>
  <c r="P13" i="2"/>
  <c r="L7" i="2"/>
  <c r="M12" i="2"/>
  <c r="N13" i="2"/>
  <c r="O7" i="2"/>
  <c r="AW15" i="2"/>
  <c r="AM93" i="1"/>
  <c r="AW11" i="2"/>
  <c r="AU15" i="2"/>
  <c r="AU11" i="2"/>
  <c r="AI93" i="1"/>
  <c r="CF75" i="1"/>
  <c r="CF94" i="1" s="1"/>
  <c r="CF93" i="1"/>
  <c r="CC15" i="2"/>
  <c r="CY93" i="1"/>
  <c r="CC11" i="2"/>
  <c r="BB15" i="2"/>
  <c r="AW93" i="1"/>
  <c r="BU15" i="2"/>
  <c r="CI93" i="1"/>
  <c r="BU11" i="2"/>
  <c r="AI15" i="2"/>
  <c r="AI11" i="2"/>
  <c r="K93" i="1"/>
  <c r="AJ18" i="2"/>
  <c r="AJ9" i="2"/>
  <c r="AJ8" i="2"/>
  <c r="M60" i="1"/>
  <c r="K94" i="1"/>
  <c r="BG94" i="1"/>
  <c r="BH94" i="1"/>
  <c r="AT32" i="2"/>
  <c r="AH94" i="1"/>
  <c r="AT28" i="2"/>
  <c r="AH93" i="1"/>
  <c r="CY94" i="1"/>
  <c r="AQ15" i="2"/>
  <c r="AQ11" i="2"/>
  <c r="AA93" i="1"/>
  <c r="BQ15" i="2"/>
  <c r="CA93" i="1"/>
  <c r="BQ11" i="2"/>
  <c r="BH93" i="1"/>
  <c r="BG93" i="1"/>
  <c r="AS32" i="2"/>
  <c r="AS28" i="2"/>
  <c r="AF93" i="1"/>
  <c r="CI94" i="1"/>
  <c r="BC15" i="2"/>
  <c r="AY93" i="1"/>
  <c r="BC11" i="2"/>
  <c r="BV75" i="1"/>
  <c r="BV94" i="1" s="1"/>
  <c r="BV93" i="1"/>
  <c r="BM15" i="2"/>
  <c r="BM11" i="2"/>
  <c r="BS93" i="1"/>
  <c r="BY15" i="2"/>
  <c r="BY11" i="2"/>
  <c r="CQ93" i="1"/>
  <c r="AI94" i="1"/>
  <c r="AF94" i="1"/>
  <c r="FF35" i="2" l="1"/>
  <c r="ET25" i="2"/>
  <c r="FM12" i="2"/>
  <c r="GB29" i="2"/>
  <c r="ES30" i="2"/>
  <c r="FI35" i="2"/>
  <c r="EP12" i="2"/>
  <c r="EH13" i="2"/>
  <c r="FZ29" i="2"/>
  <c r="FV26" i="2"/>
  <c r="FM13" i="2"/>
  <c r="FT24" i="2"/>
  <c r="EM26" i="2"/>
  <c r="FT29" i="2"/>
  <c r="DW18" i="2" a="1"/>
  <c r="DW18" i="2" s="1"/>
  <c r="FG25" i="2"/>
  <c r="FE26" i="2"/>
  <c r="EJ26" i="2"/>
  <c r="ER35" i="2"/>
  <c r="FZ30" i="2"/>
  <c r="FL30" i="2"/>
  <c r="FG29" i="2"/>
  <c r="FB25" i="2"/>
  <c r="EN12" i="2"/>
  <c r="FN29" i="2"/>
  <c r="FQ30" i="2"/>
  <c r="CP11" i="2" a="1"/>
  <c r="DW11" i="2" a="1"/>
  <c r="FL26" i="2"/>
  <c r="FU13" i="2"/>
  <c r="ER13" i="2"/>
  <c r="DI28" i="2" a="1"/>
  <c r="FP13" i="2"/>
  <c r="FJ13" i="2"/>
  <c r="FO30" i="2"/>
  <c r="EY24" i="2"/>
  <c r="EY12" i="2"/>
  <c r="EX12" i="2"/>
  <c r="EU13" i="2"/>
  <c r="EV13" i="2"/>
  <c r="DP11" i="2" a="1"/>
  <c r="EZ29" i="2"/>
  <c r="DS28" i="2" a="1"/>
  <c r="DS28" i="2" s="1"/>
  <c r="EB28" i="2" a="1"/>
  <c r="DT28" i="2" a="1"/>
  <c r="DJ28" i="2" a="1"/>
  <c r="DG28" i="2" a="1"/>
  <c r="CX11" i="2" a="1"/>
  <c r="CV11" i="2" a="1"/>
  <c r="CM11" i="2" a="1"/>
  <c r="DM11" i="2" a="1"/>
  <c r="DM11" i="2" s="1"/>
  <c r="DX11" i="2" a="1"/>
  <c r="DO11" i="2" a="1"/>
  <c r="DQ28" i="2" a="1"/>
  <c r="DY11" i="2" a="1"/>
  <c r="FC29" i="2"/>
  <c r="DK28" i="2" a="1"/>
  <c r="DO28" i="2" a="1"/>
  <c r="CN28" i="2" a="1"/>
  <c r="CN28" i="2" s="1"/>
  <c r="CW28" i="2" a="1"/>
  <c r="CH11" i="2" a="1"/>
  <c r="DU11" i="2" a="1"/>
  <c r="DZ11" i="2" a="1"/>
  <c r="DQ11" i="2" a="1"/>
  <c r="DH11" i="2" a="1"/>
  <c r="CY11" i="2" a="1"/>
  <c r="DY28" i="2" a="1"/>
  <c r="DY28" i="2" s="1"/>
  <c r="CQ28" i="2" a="1"/>
  <c r="CK28" i="2" a="1"/>
  <c r="CY28" i="2" a="1"/>
  <c r="DF28" i="2" a="1"/>
  <c r="CV28" i="2" a="1"/>
  <c r="EC11" i="2" a="1"/>
  <c r="DE11" i="2" a="1"/>
  <c r="EA11" i="2" a="1"/>
  <c r="EA11" i="2" s="1"/>
  <c r="DR11" i="2" a="1"/>
  <c r="DI11" i="2" a="1"/>
  <c r="CZ11" i="2" a="1"/>
  <c r="CQ11" i="2" a="1"/>
  <c r="CO28" i="2" a="1"/>
  <c r="CH28" i="2" a="1"/>
  <c r="CN11" i="2" a="1"/>
  <c r="FX13" i="2"/>
  <c r="FV29" i="2"/>
  <c r="DA28" i="2" a="1"/>
  <c r="CS28" i="2" a="1"/>
  <c r="DW28" i="2" a="1"/>
  <c r="CL28" i="2" a="1"/>
  <c r="DE28" i="2" a="1"/>
  <c r="CT28" i="2" a="1"/>
  <c r="CF11" i="2" a="1"/>
  <c r="CF11" i="2" s="1"/>
  <c r="EB11" i="2" a="1"/>
  <c r="DS11" i="2" a="1"/>
  <c r="DJ11" i="2" a="1"/>
  <c r="DA11" i="2" a="1"/>
  <c r="CR11" i="2" a="1"/>
  <c r="CI11" i="2" a="1"/>
  <c r="CI11" i="2" s="1"/>
  <c r="CG28" i="2" a="1"/>
  <c r="DG11" i="2" a="1"/>
  <c r="DG11" i="2" s="1"/>
  <c r="FF11" i="2" s="1"/>
  <c r="FN26" i="2"/>
  <c r="EF12" i="2"/>
  <c r="GB30" i="2"/>
  <c r="CJ28" i="2" a="1"/>
  <c r="EA28" i="2" a="1"/>
  <c r="CP28" i="2" a="1"/>
  <c r="DN28" i="2" a="1"/>
  <c r="DD28" i="2" a="1"/>
  <c r="DD28" i="2" s="1"/>
  <c r="DV11" i="2" a="1"/>
  <c r="DT11" i="2" a="1"/>
  <c r="DK11" i="2" a="1"/>
  <c r="DB11" i="2" a="1"/>
  <c r="CS11" i="2" a="1"/>
  <c r="CJ11" i="2" a="1"/>
  <c r="CF28" i="2" a="1"/>
  <c r="CF28" i="2" s="1"/>
  <c r="EG29" i="2"/>
  <c r="EP29" i="2"/>
  <c r="CW11" i="2" a="1"/>
  <c r="FI29" i="2"/>
  <c r="FY12" i="2"/>
  <c r="EW13" i="2"/>
  <c r="FX29" i="2"/>
  <c r="CR28" i="2" a="1"/>
  <c r="CR28" i="2" s="1"/>
  <c r="DC28" i="2" a="1"/>
  <c r="DC28" i="2" s="1"/>
  <c r="DV28" i="2" a="1"/>
  <c r="DM28" i="2" a="1"/>
  <c r="DB28" i="2" a="1"/>
  <c r="DN11" i="2" a="1"/>
  <c r="DL11" i="2" a="1"/>
  <c r="DC11" i="2" a="1"/>
  <c r="DC11" i="2" s="1"/>
  <c r="CT11" i="2" a="1"/>
  <c r="CK11" i="2" a="1"/>
  <c r="CK11" i="2" s="1"/>
  <c r="CG11" i="2" a="1"/>
  <c r="CU28" i="2" a="1"/>
  <c r="EU29" i="2"/>
  <c r="EL13" i="2"/>
  <c r="CI28" i="2" a="1"/>
  <c r="EC28" i="2" a="1"/>
  <c r="EC28" i="2" s="1"/>
  <c r="DU28" i="2" a="1"/>
  <c r="DU28" i="2" s="1"/>
  <c r="DL28" i="2" a="1"/>
  <c r="DL28" i="2" s="1"/>
  <c r="DP28" i="2" a="1"/>
  <c r="DF11" i="2" a="1"/>
  <c r="DF11" i="2" s="1"/>
  <c r="DD11" i="2" a="1"/>
  <c r="DD11" i="2" s="1"/>
  <c r="CU11" i="2" a="1"/>
  <c r="CL11" i="2" a="1"/>
  <c r="CO11" i="2" a="1"/>
  <c r="CO11" i="2" s="1"/>
  <c r="EH35" i="2"/>
  <c r="EY25" i="2"/>
  <c r="EQ25" i="2"/>
  <c r="GB25" i="2"/>
  <c r="ER26" i="2"/>
  <c r="EW30" i="2"/>
  <c r="FH13" i="2"/>
  <c r="FZ13" i="2"/>
  <c r="EK12" i="2"/>
  <c r="ES12" i="2"/>
  <c r="FF12" i="2"/>
  <c r="FF13" i="2"/>
  <c r="FC12" i="2"/>
  <c r="FB13" i="2"/>
  <c r="FD12" i="2"/>
  <c r="FW13" i="2"/>
  <c r="EK25" i="2"/>
  <c r="FO24" i="2"/>
  <c r="FD30" i="2"/>
  <c r="FA12" i="2"/>
  <c r="FO12" i="2"/>
  <c r="FV12" i="2"/>
  <c r="GB13" i="2"/>
  <c r="FJ25" i="2"/>
  <c r="EP35" i="2"/>
  <c r="EM29" i="2"/>
  <c r="FQ29" i="2"/>
  <c r="FV30" i="2"/>
  <c r="FK12" i="2"/>
  <c r="GA13" i="2"/>
  <c r="FT13" i="2"/>
  <c r="GB12" i="2"/>
  <c r="EH29" i="2"/>
  <c r="EH12" i="2"/>
  <c r="FK25" i="2"/>
  <c r="EU30" i="2"/>
  <c r="DV28" i="2"/>
  <c r="DW28" i="2"/>
  <c r="CG11" i="2"/>
  <c r="EG26" i="2"/>
  <c r="FY24" i="2"/>
  <c r="EF35" i="2"/>
  <c r="FW29" i="2"/>
  <c r="FG24" i="2"/>
  <c r="EN24" i="2"/>
  <c r="EZ26" i="2"/>
  <c r="DN28" i="2"/>
  <c r="FN7" i="2"/>
  <c r="FV7" i="2"/>
  <c r="EW29" i="2"/>
  <c r="FI30" i="2"/>
  <c r="FU30" i="2"/>
  <c r="EO13" i="2"/>
  <c r="CX28" i="2"/>
  <c r="FP24" i="2"/>
  <c r="EQ29" i="2"/>
  <c r="FE35" i="2"/>
  <c r="EQ24" i="2"/>
  <c r="EX13" i="2"/>
  <c r="EO35" i="2"/>
  <c r="GA26" i="2"/>
  <c r="FU25" i="2"/>
  <c r="CN11" i="2"/>
  <c r="EH30" i="2"/>
  <c r="EI30" i="2"/>
  <c r="CS11" i="2"/>
  <c r="CV28" i="2"/>
  <c r="CQ28" i="2"/>
  <c r="EZ30" i="2"/>
  <c r="DU11" i="2"/>
  <c r="EG25" i="2"/>
  <c r="FT25" i="2"/>
  <c r="DZ28" i="2"/>
  <c r="DJ11" i="2"/>
  <c r="CQ11" i="2"/>
  <c r="CJ11" i="2"/>
  <c r="EK30" i="2"/>
  <c r="CU28" i="2"/>
  <c r="DQ28" i="2"/>
  <c r="FP30" i="2"/>
  <c r="DM28" i="2"/>
  <c r="FU29" i="2"/>
  <c r="FT30" i="2"/>
  <c r="CY28" i="2"/>
  <c r="FY29" i="2"/>
  <c r="DP11" i="2"/>
  <c r="EI24" i="2"/>
  <c r="FG30" i="2"/>
  <c r="DZ11" i="2"/>
  <c r="DB11" i="2"/>
  <c r="DQ11" i="2"/>
  <c r="CZ11" i="2"/>
  <c r="EB11" i="2"/>
  <c r="CW28" i="2"/>
  <c r="FX30" i="2"/>
  <c r="CM28" i="2"/>
  <c r="EX29" i="2"/>
  <c r="CZ28" i="2"/>
  <c r="DO28" i="2"/>
  <c r="FK30" i="2"/>
  <c r="FP29" i="2"/>
  <c r="DG28" i="2"/>
  <c r="FF29" i="2"/>
  <c r="EP30" i="2"/>
  <c r="DS11" i="2"/>
  <c r="FA26" i="2"/>
  <c r="DK28" i="2"/>
  <c r="DO11" i="2"/>
  <c r="CM11" i="2"/>
  <c r="DL11" i="2"/>
  <c r="CV11" i="2"/>
  <c r="CO28" i="2"/>
  <c r="FA30" i="2"/>
  <c r="FO29" i="2"/>
  <c r="FJ30" i="2"/>
  <c r="FH29" i="2"/>
  <c r="FJ29" i="2"/>
  <c r="FS30" i="2"/>
  <c r="DH28" i="2"/>
  <c r="CH28" i="2"/>
  <c r="FK29" i="2"/>
  <c r="CG28" i="2"/>
  <c r="CK28" i="2"/>
  <c r="FC30" i="2"/>
  <c r="EY29" i="2"/>
  <c r="CT28" i="2"/>
  <c r="EJ30" i="2"/>
  <c r="DI11" i="2"/>
  <c r="DV11" i="2"/>
  <c r="DE11" i="2"/>
  <c r="DK11" i="2"/>
  <c r="DX11" i="2"/>
  <c r="DT11" i="2"/>
  <c r="CJ28" i="2"/>
  <c r="FW30" i="2"/>
  <c r="EJ29" i="2"/>
  <c r="CP28" i="2"/>
  <c r="FB30" i="2"/>
  <c r="FM30" i="2"/>
  <c r="FR29" i="2"/>
  <c r="GA30" i="2"/>
  <c r="FM29" i="2"/>
  <c r="DX28" i="2"/>
  <c r="ET30" i="2"/>
  <c r="EL29" i="2"/>
  <c r="FS29" i="2"/>
  <c r="EX30" i="2"/>
  <c r="FH30" i="2"/>
  <c r="DW11" i="2"/>
  <c r="EC11" i="2"/>
  <c r="GB11" i="2" s="1"/>
  <c r="CX11" i="2"/>
  <c r="DN11" i="2"/>
  <c r="CR11" i="2"/>
  <c r="DH11" i="2"/>
  <c r="CI28" i="2"/>
  <c r="DF28" i="2"/>
  <c r="FA29" i="2"/>
  <c r="EK29" i="2"/>
  <c r="FE30" i="2"/>
  <c r="DA28" i="2"/>
  <c r="FB29" i="2"/>
  <c r="EL30" i="2"/>
  <c r="EN29" i="2"/>
  <c r="EN30" i="2"/>
  <c r="EO29" i="2"/>
  <c r="EU26" i="2"/>
  <c r="FW24" i="2"/>
  <c r="EI29" i="2"/>
  <c r="CL11" i="2"/>
  <c r="CY11" i="2"/>
  <c r="CH11" i="2"/>
  <c r="CT11" i="2"/>
  <c r="CP11" i="2"/>
  <c r="DT28" i="2"/>
  <c r="DI28" i="2"/>
  <c r="DP28" i="2"/>
  <c r="ES29" i="2"/>
  <c r="FR30" i="2"/>
  <c r="CL28" i="2"/>
  <c r="FY30" i="2"/>
  <c r="GA29" i="2"/>
  <c r="EF30" i="2"/>
  <c r="EA28" i="2"/>
  <c r="FE29" i="2"/>
  <c r="FN30" i="2"/>
  <c r="DJ28" i="2"/>
  <c r="EB28" i="2"/>
  <c r="FM28" i="2"/>
  <c r="FH24" i="2"/>
  <c r="CU11" i="2"/>
  <c r="DY11" i="2"/>
  <c r="DR11" i="2"/>
  <c r="FR11" i="2" s="1"/>
  <c r="DA11" i="2"/>
  <c r="CW11" i="2"/>
  <c r="DR28" i="2"/>
  <c r="DB28" i="2"/>
  <c r="ET29" i="2"/>
  <c r="CS28" i="2"/>
  <c r="EV29" i="2"/>
  <c r="DE28" i="2"/>
  <c r="FD29" i="2"/>
  <c r="ER30" i="2"/>
  <c r="EF29" i="2"/>
  <c r="AB12" i="2"/>
  <c r="S9" i="4" s="1"/>
  <c r="N9" i="13" s="1"/>
  <c r="Z12" i="2"/>
  <c r="Q9" i="4" s="1"/>
  <c r="L9" i="13" s="1"/>
  <c r="AC12" i="2"/>
  <c r="Y12" i="2"/>
  <c r="R23" i="4"/>
  <c r="M23" i="13" s="1"/>
  <c r="Z36" i="2" a="1"/>
  <c r="Z36" i="2" s="1"/>
  <c r="AB13" i="2"/>
  <c r="S10" i="4" s="1"/>
  <c r="N10" i="13" s="1"/>
  <c r="Z13" i="2"/>
  <c r="Q10" i="4" s="1"/>
  <c r="L10" i="13" s="1"/>
  <c r="Y13" i="2"/>
  <c r="AC13" i="2"/>
  <c r="EW26" i="2"/>
  <c r="AB33" i="2" a="1"/>
  <c r="AB33" i="2" s="1"/>
  <c r="S30" i="4" s="1"/>
  <c r="N30" i="13" s="1"/>
  <c r="Z33" i="2" a="1"/>
  <c r="Z33" i="2" s="1"/>
  <c r="EO26" i="2"/>
  <c r="DI32" i="2"/>
  <c r="Z30" i="2"/>
  <c r="Q27" i="4" s="1"/>
  <c r="L27" i="13" s="1"/>
  <c r="Y30" i="2"/>
  <c r="AC30" i="2"/>
  <c r="AB30" i="2"/>
  <c r="S27" i="4" s="1"/>
  <c r="N27" i="13" s="1"/>
  <c r="R4" i="4"/>
  <c r="M4" i="13" s="1"/>
  <c r="Z29" i="2"/>
  <c r="Q26" i="4" s="1"/>
  <c r="L26" i="13" s="1"/>
  <c r="AC29" i="2"/>
  <c r="AB29" i="2"/>
  <c r="S26" i="4" s="1"/>
  <c r="N26" i="13" s="1"/>
  <c r="Y29" i="2"/>
  <c r="R21" i="4"/>
  <c r="M21" i="13" s="1"/>
  <c r="DI18" i="2" a="1"/>
  <c r="DI18" i="2" s="1"/>
  <c r="R22" i="4"/>
  <c r="M22" i="13" s="1"/>
  <c r="EZ7" i="2"/>
  <c r="AB16" i="2" a="1"/>
  <c r="AB16" i="2" s="1"/>
  <c r="S13" i="4" s="1"/>
  <c r="N13" i="13" s="1"/>
  <c r="Z16" i="2" a="1"/>
  <c r="Z16" i="2" s="1"/>
  <c r="AB19" i="2" a="1"/>
  <c r="AB19" i="2" s="1"/>
  <c r="Z19" i="2" a="1"/>
  <c r="Z19" i="2" s="1"/>
  <c r="EX35" i="2"/>
  <c r="AB36" i="2" a="1"/>
  <c r="AB36" i="2" s="1"/>
  <c r="AA19" i="12"/>
  <c r="R32" i="4"/>
  <c r="M32" i="13" s="1"/>
  <c r="AA36" i="12"/>
  <c r="AA16" i="12"/>
  <c r="AA33" i="12"/>
  <c r="EW7" i="2"/>
  <c r="FR7" i="2"/>
  <c r="DA18" i="2" a="1"/>
  <c r="DA18" i="2" s="1"/>
  <c r="FD25" i="2"/>
  <c r="FP35" i="2"/>
  <c r="DJ32" i="2"/>
  <c r="FJ24" i="2"/>
  <c r="GA35" i="2"/>
  <c r="FS35" i="2"/>
  <c r="EC32" i="2"/>
  <c r="EZ35" i="2"/>
  <c r="FP7" i="2"/>
  <c r="ES7" i="2"/>
  <c r="EF7" i="2"/>
  <c r="FI7" i="2"/>
  <c r="FJ35" i="2"/>
  <c r="EZ24" i="2"/>
  <c r="CQ32" i="2"/>
  <c r="EQ7" i="2"/>
  <c r="EH7" i="2"/>
  <c r="FX25" i="2"/>
  <c r="DY18" i="2" a="1"/>
  <c r="DY18" i="2" s="1"/>
  <c r="DE18" i="2" a="1"/>
  <c r="DE18" i="2" s="1"/>
  <c r="DH32" i="2"/>
  <c r="FL24" i="2"/>
  <c r="DY32" i="2"/>
  <c r="EH26" i="2"/>
  <c r="CO18" i="2" a="1"/>
  <c r="CO18" i="2" s="1"/>
  <c r="DT32" i="2"/>
  <c r="FA7" i="2"/>
  <c r="EO25" i="2"/>
  <c r="ER24" i="2"/>
  <c r="EV7" i="2"/>
  <c r="FT35" i="2"/>
  <c r="ET35" i="2"/>
  <c r="FX26" i="2"/>
  <c r="DS32" i="2"/>
  <c r="EA18" i="2" a="1"/>
  <c r="EA18" i="2" s="1"/>
  <c r="FQ26" i="2"/>
  <c r="FM25" i="2"/>
  <c r="GA24" i="2"/>
  <c r="FD7" i="2"/>
  <c r="FK7" i="2"/>
  <c r="FW7" i="2"/>
  <c r="CH18" i="2" a="1"/>
  <c r="CH18" i="2" s="1"/>
  <c r="FR26" i="2"/>
  <c r="FU24" i="2"/>
  <c r="CL18" i="2" a="1"/>
  <c r="CL18" i="2" s="1"/>
  <c r="CS18" i="2" a="1"/>
  <c r="CS18" i="2" s="1"/>
  <c r="EN26" i="2"/>
  <c r="AA18" i="2" a="1"/>
  <c r="AA18" i="2" s="1"/>
  <c r="FC35" i="2"/>
  <c r="ET26" i="2"/>
  <c r="EI25" i="2"/>
  <c r="EW24" i="2"/>
  <c r="DL18" i="2" a="1"/>
  <c r="DL18" i="2" s="1"/>
  <c r="EL35" i="2"/>
  <c r="DK32" i="2"/>
  <c r="DB32" i="2"/>
  <c r="DL32" i="2"/>
  <c r="DU32" i="2"/>
  <c r="FT32" i="2" s="1"/>
  <c r="CI32" i="2"/>
  <c r="CZ32" i="2"/>
  <c r="DQ32" i="2"/>
  <c r="EY26" i="2"/>
  <c r="FF24" i="2"/>
  <c r="CZ18" i="2" a="1"/>
  <c r="CZ18" i="2" s="1"/>
  <c r="FT26" i="2"/>
  <c r="EJ25" i="2"/>
  <c r="EG24" i="2"/>
  <c r="CX18" i="2" a="1"/>
  <c r="CX18" i="2" s="1"/>
  <c r="FQ35" i="2"/>
  <c r="EP24" i="2"/>
  <c r="FE7" i="2"/>
  <c r="DC18" i="2" a="1"/>
  <c r="DC18" i="2" s="1"/>
  <c r="FC24" i="2"/>
  <c r="GB35" i="2"/>
  <c r="FD24" i="2"/>
  <c r="FK35" i="2"/>
  <c r="DK18" i="2" a="1"/>
  <c r="DK18" i="2" s="1"/>
  <c r="FX35" i="2"/>
  <c r="FD26" i="2"/>
  <c r="FG26" i="2"/>
  <c r="CN18" i="2" a="1"/>
  <c r="CN18" i="2" s="1"/>
  <c r="EY35" i="2"/>
  <c r="EA32" i="2"/>
  <c r="DR32" i="2"/>
  <c r="EB32" i="2"/>
  <c r="CH32" i="2"/>
  <c r="CY32" i="2"/>
  <c r="DP32" i="2"/>
  <c r="FS26" i="2"/>
  <c r="EF25" i="2"/>
  <c r="EF24" i="2"/>
  <c r="EV35" i="2"/>
  <c r="FU35" i="2"/>
  <c r="EX25" i="2"/>
  <c r="FR24" i="2"/>
  <c r="DP18" i="2" a="1"/>
  <c r="DP18" i="2" s="1"/>
  <c r="EI35" i="2"/>
  <c r="FZ35" i="2"/>
  <c r="FG7" i="2"/>
  <c r="FZ7" i="2"/>
  <c r="FT7" i="2"/>
  <c r="CT18" i="2" a="1"/>
  <c r="CT18" i="2" s="1"/>
  <c r="ES18" i="2" s="1"/>
  <c r="EU24" i="2"/>
  <c r="CI18" i="2" a="1"/>
  <c r="CI18" i="2" s="1"/>
  <c r="FB35" i="2"/>
  <c r="FB26" i="2"/>
  <c r="FV24" i="2"/>
  <c r="CV18" i="2" a="1"/>
  <c r="CV18" i="2" s="1"/>
  <c r="FG35" i="2"/>
  <c r="EP26" i="2"/>
  <c r="FQ24" i="2"/>
  <c r="DV18" i="2" a="1"/>
  <c r="DV18" i="2" s="1"/>
  <c r="FV18" i="2" s="1"/>
  <c r="EG35" i="2"/>
  <c r="CM32" i="2"/>
  <c r="DZ32" i="2"/>
  <c r="CG32" i="2"/>
  <c r="CP32" i="2"/>
  <c r="DG32" i="2"/>
  <c r="DX32" i="2"/>
  <c r="GB24" i="2"/>
  <c r="GB26" i="2"/>
  <c r="FZ25" i="2"/>
  <c r="FZ24" i="2"/>
  <c r="DZ18" i="2" a="1"/>
  <c r="DZ18" i="2" s="1"/>
  <c r="FY18" i="2" s="1"/>
  <c r="EM35" i="2"/>
  <c r="FY26" i="2"/>
  <c r="FA24" i="2"/>
  <c r="FV35" i="2"/>
  <c r="FM26" i="2"/>
  <c r="FM24" i="2"/>
  <c r="CJ18" i="2" a="1"/>
  <c r="CJ18" i="2" s="1"/>
  <c r="DJ18" i="2" a="1"/>
  <c r="DJ18" i="2" s="1"/>
  <c r="FI18" i="2" s="1"/>
  <c r="DM18" i="2" a="1"/>
  <c r="DM18" i="2" s="1"/>
  <c r="FL18" i="2" s="1"/>
  <c r="CG18" i="2" a="1"/>
  <c r="CG18" i="2" s="1"/>
  <c r="DB18" i="2" a="1"/>
  <c r="DB18" i="2" s="1"/>
  <c r="CP18" i="2" a="1"/>
  <c r="CP18" i="2" s="1"/>
  <c r="DH18" i="2" a="1"/>
  <c r="DH18" i="2" s="1"/>
  <c r="CQ18" i="2" a="1"/>
  <c r="CQ18" i="2" s="1"/>
  <c r="FJ26" i="2"/>
  <c r="EU25" i="2"/>
  <c r="EL24" i="2"/>
  <c r="DR18" i="2" a="1"/>
  <c r="DR18" i="2" s="1"/>
  <c r="EK35" i="2"/>
  <c r="EK26" i="2"/>
  <c r="EV25" i="2"/>
  <c r="FE24" i="2"/>
  <c r="EB18" i="2" a="1"/>
  <c r="EB18" i="2" s="1"/>
  <c r="GA18" i="2" s="1"/>
  <c r="EN25" i="2"/>
  <c r="DG18" i="2" a="1"/>
  <c r="DG18" i="2" s="1"/>
  <c r="CU32" i="2"/>
  <c r="CF32" i="2"/>
  <c r="CO32" i="2"/>
  <c r="CX32" i="2"/>
  <c r="DO32" i="2"/>
  <c r="CK32" i="2"/>
  <c r="ES24" i="2"/>
  <c r="FI25" i="2"/>
  <c r="FI24" i="2"/>
  <c r="DF18" i="2" a="1"/>
  <c r="DF18" i="2" s="1"/>
  <c r="FY35" i="2"/>
  <c r="FH26" i="2"/>
  <c r="CR18" i="2" a="1"/>
  <c r="CR18" i="2" s="1"/>
  <c r="FZ26" i="2"/>
  <c r="EO24" i="2"/>
  <c r="EJ7" i="2"/>
  <c r="FO7" i="2"/>
  <c r="FL25" i="2"/>
  <c r="DX18" i="2" a="1"/>
  <c r="DX18" i="2" s="1"/>
  <c r="FW18" i="2" s="1"/>
  <c r="ES35" i="2"/>
  <c r="ES26" i="2"/>
  <c r="EL25" i="2"/>
  <c r="DD18" i="2" a="1"/>
  <c r="DD18" i="2" s="1"/>
  <c r="FO35" i="2"/>
  <c r="FO26" i="2"/>
  <c r="EM25" i="2"/>
  <c r="EV24" i="2"/>
  <c r="DN18" i="2" a="1"/>
  <c r="DN18" i="2" s="1"/>
  <c r="EF26" i="2"/>
  <c r="CF18" i="2" a="1"/>
  <c r="CF18" i="2" s="1"/>
  <c r="DC32" i="2"/>
  <c r="CN32" i="2"/>
  <c r="CW32" i="2"/>
  <c r="DF32" i="2"/>
  <c r="DW32" i="2"/>
  <c r="CS32" i="2"/>
  <c r="ER25" i="2"/>
  <c r="CW18" i="2" a="1"/>
  <c r="CW18" i="2" s="1"/>
  <c r="FH35" i="2"/>
  <c r="EQ26" i="2"/>
  <c r="GA25" i="2"/>
  <c r="DU18" i="2" a="1"/>
  <c r="DU18" i="2" s="1"/>
  <c r="FS24" i="2"/>
  <c r="FW25" i="2"/>
  <c r="EL7" i="2"/>
  <c r="EP25" i="2"/>
  <c r="EV26" i="2"/>
  <c r="FC25" i="2"/>
  <c r="DQ18" i="2" a="1"/>
  <c r="DQ18" i="2" s="1"/>
  <c r="FP18" i="2" s="1"/>
  <c r="FW26" i="2"/>
  <c r="FP25" i="2"/>
  <c r="CM18" i="2" a="1"/>
  <c r="CM18" i="2" s="1"/>
  <c r="EX26" i="2"/>
  <c r="FY25" i="2"/>
  <c r="EM24" i="2"/>
  <c r="CK18" i="2" a="1"/>
  <c r="CK18" i="2" s="1"/>
  <c r="FX24" i="2"/>
  <c r="FQ25" i="2"/>
  <c r="FD35" i="2"/>
  <c r="CL32" i="2"/>
  <c r="CV32" i="2"/>
  <c r="DE32" i="2"/>
  <c r="DN32" i="2"/>
  <c r="CJ32" i="2"/>
  <c r="DA32" i="2"/>
  <c r="EZ32" i="2" s="1"/>
  <c r="EL26" i="2"/>
  <c r="EC18" i="2" a="1"/>
  <c r="EC18" i="2" s="1"/>
  <c r="GB18" i="2" s="1"/>
  <c r="EQ35" i="2"/>
  <c r="FU26" i="2"/>
  <c r="FR25" i="2"/>
  <c r="EN35" i="2"/>
  <c r="EI26" i="2"/>
  <c r="CY18" i="2" a="1"/>
  <c r="CY18" i="2" s="1"/>
  <c r="EX18" i="2" s="1"/>
  <c r="FO25" i="2"/>
  <c r="FK24" i="2"/>
  <c r="FA35" i="2"/>
  <c r="FN35" i="2"/>
  <c r="CU18" i="2" a="1"/>
  <c r="CU18" i="2" s="1"/>
  <c r="FF26" i="2"/>
  <c r="DT18" i="2" a="1"/>
  <c r="DT18" i="2" s="1"/>
  <c r="FH25" i="2"/>
  <c r="FL35" i="2"/>
  <c r="EZ25" i="2"/>
  <c r="FN24" i="2"/>
  <c r="EU35" i="2"/>
  <c r="CT32" i="2"/>
  <c r="DD32" i="2"/>
  <c r="DM32" i="2"/>
  <c r="DV32" i="2"/>
  <c r="CR32" i="2"/>
  <c r="FP26" i="2"/>
  <c r="DO18" i="2" a="1"/>
  <c r="DO18" i="2" s="1"/>
  <c r="FK26" i="2"/>
  <c r="FA25" i="2"/>
  <c r="EX24" i="2"/>
  <c r="DS18" i="2" a="1"/>
  <c r="DS18" i="2" s="1"/>
  <c r="FE25" i="2"/>
  <c r="EH24" i="2"/>
  <c r="FF7" i="2"/>
  <c r="FH7" i="2"/>
  <c r="EU7" i="2"/>
  <c r="EN13" i="2"/>
  <c r="FE13" i="2"/>
  <c r="FI13" i="2"/>
  <c r="EL12" i="2"/>
  <c r="FW12" i="2"/>
  <c r="EY13" i="2"/>
  <c r="FP12" i="2"/>
  <c r="FL7" i="2"/>
  <c r="EG7" i="2"/>
  <c r="EJ13" i="2"/>
  <c r="FN13" i="2"/>
  <c r="FA13" i="2"/>
  <c r="FC13" i="2"/>
  <c r="FI12" i="2"/>
  <c r="EW12" i="2"/>
  <c r="EQ12" i="2"/>
  <c r="ET12" i="2"/>
  <c r="FZ12" i="2"/>
  <c r="FY7" i="2"/>
  <c r="EP7" i="2"/>
  <c r="FV13" i="2"/>
  <c r="FG12" i="2"/>
  <c r="FB7" i="2"/>
  <c r="FC7" i="2"/>
  <c r="EQ13" i="2"/>
  <c r="FL13" i="2"/>
  <c r="EI12" i="2"/>
  <c r="FN12" i="2"/>
  <c r="FH12" i="2"/>
  <c r="EY7" i="2"/>
  <c r="FX12" i="2"/>
  <c r="FQ7" i="2"/>
  <c r="GA12" i="2"/>
  <c r="EM7" i="2"/>
  <c r="ER7" i="2"/>
  <c r="EI7" i="2"/>
  <c r="EZ13" i="2"/>
  <c r="EI13" i="2"/>
  <c r="ES13" i="2"/>
  <c r="FS13" i="2"/>
  <c r="DY15" i="2"/>
  <c r="ET7" i="2"/>
  <c r="FJ7" i="2"/>
  <c r="EX7" i="2"/>
  <c r="EN7" i="2"/>
  <c r="EG13" i="2"/>
  <c r="EK13" i="2"/>
  <c r="ET13" i="2"/>
  <c r="FB12" i="2"/>
  <c r="EO12" i="2"/>
  <c r="FL12" i="2"/>
  <c r="FQ13" i="2"/>
  <c r="GA7" i="2"/>
  <c r="GB7" i="2"/>
  <c r="FS12" i="2"/>
  <c r="FU7" i="2"/>
  <c r="FS7" i="2"/>
  <c r="EM13" i="2"/>
  <c r="FM7" i="2"/>
  <c r="FR12" i="2"/>
  <c r="FY13" i="2"/>
  <c r="FE12" i="2"/>
  <c r="EK7" i="2"/>
  <c r="FG13" i="2"/>
  <c r="EG12" i="2"/>
  <c r="EJ12" i="2"/>
  <c r="EZ12" i="2"/>
  <c r="FJ12" i="2"/>
  <c r="FX7" i="2"/>
  <c r="FQ12" i="2"/>
  <c r="FO13" i="2"/>
  <c r="FR13" i="2"/>
  <c r="CJ15" i="2"/>
  <c r="DV15" i="2"/>
  <c r="DR15" i="2"/>
  <c r="DU15" i="2"/>
  <c r="DT15" i="2"/>
  <c r="DT8" i="2"/>
  <c r="EB8" i="2"/>
  <c r="DV8" i="2"/>
  <c r="DS8" i="2"/>
  <c r="DR8" i="2"/>
  <c r="DW8" i="2"/>
  <c r="EA8" i="2"/>
  <c r="DX8" i="2"/>
  <c r="DU8" i="2"/>
  <c r="DY8" i="2"/>
  <c r="EC8" i="2"/>
  <c r="DZ8" i="2"/>
  <c r="EB15" i="2"/>
  <c r="EC15" i="2"/>
  <c r="DU9" i="2"/>
  <c r="DV9" i="2"/>
  <c r="DX9" i="2"/>
  <c r="DR9" i="2"/>
  <c r="DZ9" i="2"/>
  <c r="EA9" i="2"/>
  <c r="EB9" i="2"/>
  <c r="DW9" i="2"/>
  <c r="DY9" i="2"/>
  <c r="EC9" i="2"/>
  <c r="DS9" i="2"/>
  <c r="DT9" i="2"/>
  <c r="DZ15" i="2"/>
  <c r="DX15" i="2"/>
  <c r="EA15" i="2"/>
  <c r="DW15" i="2"/>
  <c r="DS15" i="2"/>
  <c r="DO15" i="2"/>
  <c r="CY15" i="2"/>
  <c r="CN15" i="2"/>
  <c r="DP15" i="2"/>
  <c r="CS15" i="2"/>
  <c r="CW15" i="2"/>
  <c r="CZ15" i="2"/>
  <c r="DK15" i="2"/>
  <c r="CK15" i="2"/>
  <c r="CO15" i="2"/>
  <c r="DC15" i="2"/>
  <c r="DN15" i="2"/>
  <c r="CX15" i="2"/>
  <c r="DI15" i="2"/>
  <c r="V8" i="2"/>
  <c r="DM8" i="2"/>
  <c r="DI8" i="2"/>
  <c r="CI8" i="2"/>
  <c r="CG8" i="2"/>
  <c r="DL8" i="2"/>
  <c r="CK8" i="2"/>
  <c r="DB8" i="2"/>
  <c r="DP8" i="2"/>
  <c r="CX8" i="2"/>
  <c r="DN8" i="2"/>
  <c r="DD8" i="2"/>
  <c r="DH8" i="2"/>
  <c r="DG8" i="2"/>
  <c r="CP8" i="2"/>
  <c r="CV8" i="2"/>
  <c r="CS8" i="2"/>
  <c r="CZ8" i="2"/>
  <c r="CW8" i="2"/>
  <c r="CQ8" i="2"/>
  <c r="DE8" i="2"/>
  <c r="CN8" i="2"/>
  <c r="DK8" i="2"/>
  <c r="CR8" i="2"/>
  <c r="CF8" i="2"/>
  <c r="DC8" i="2"/>
  <c r="CT8" i="2"/>
  <c r="CJ8" i="2"/>
  <c r="EI8" i="2" s="1"/>
  <c r="DF8" i="2"/>
  <c r="FE8" i="2" s="1"/>
  <c r="CO8" i="2"/>
  <c r="EN8" i="2" s="1"/>
  <c r="DJ8" i="2"/>
  <c r="CU8" i="2"/>
  <c r="DQ8" i="2"/>
  <c r="FP8" i="2" s="1"/>
  <c r="DO8" i="2"/>
  <c r="CY8" i="2"/>
  <c r="CH8" i="2"/>
  <c r="CL8" i="2"/>
  <c r="DA8" i="2"/>
  <c r="CM8" i="2"/>
  <c r="DF15" i="2"/>
  <c r="CP15" i="2"/>
  <c r="CQ15" i="2"/>
  <c r="CG15" i="2"/>
  <c r="DL15" i="2"/>
  <c r="DH15" i="2"/>
  <c r="DQ15" i="2"/>
  <c r="CH15" i="2"/>
  <c r="DG15" i="2"/>
  <c r="DA15" i="2"/>
  <c r="EZ15" i="2" s="1"/>
  <c r="V9" i="2"/>
  <c r="CM9" i="2"/>
  <c r="CT9" i="2"/>
  <c r="DI9" i="2"/>
  <c r="CP9" i="2"/>
  <c r="CF9" i="2"/>
  <c r="DE9" i="2"/>
  <c r="CL9" i="2"/>
  <c r="DA9" i="2"/>
  <c r="CZ9" i="2"/>
  <c r="CH9" i="2"/>
  <c r="DK9" i="2"/>
  <c r="CO9" i="2"/>
  <c r="DH9" i="2"/>
  <c r="CS9" i="2"/>
  <c r="DO9" i="2"/>
  <c r="DC9" i="2"/>
  <c r="CJ9" i="2"/>
  <c r="CK9" i="2"/>
  <c r="CQ9" i="2"/>
  <c r="DM9" i="2"/>
  <c r="CV9" i="2"/>
  <c r="DG9" i="2"/>
  <c r="DP9" i="2"/>
  <c r="FO9" i="2" s="1"/>
  <c r="CW9" i="2"/>
  <c r="CU9" i="2"/>
  <c r="CI9" i="2"/>
  <c r="EH9" i="2" s="1"/>
  <c r="CR9" i="2"/>
  <c r="EQ9" i="2" s="1"/>
  <c r="DN9" i="2"/>
  <c r="FM9" i="2" s="1"/>
  <c r="CG9" i="2"/>
  <c r="EF9" i="2" s="1"/>
  <c r="DL9" i="2"/>
  <c r="DJ9" i="2"/>
  <c r="DF9" i="2"/>
  <c r="CN9" i="2"/>
  <c r="EM9" i="2" s="1"/>
  <c r="DB9" i="2"/>
  <c r="DQ9" i="2"/>
  <c r="CY9" i="2"/>
  <c r="CX9" i="2"/>
  <c r="DD9" i="2"/>
  <c r="DB15" i="2"/>
  <c r="CT15" i="2"/>
  <c r="DM15" i="2"/>
  <c r="FL15" i="2" s="1"/>
  <c r="DD15" i="2"/>
  <c r="DE15" i="2"/>
  <c r="DJ15" i="2"/>
  <c r="CF15" i="2"/>
  <c r="CM15" i="2"/>
  <c r="CR15" i="2"/>
  <c r="CL15" i="2"/>
  <c r="CV15" i="2"/>
  <c r="CI15" i="2"/>
  <c r="CU15" i="2"/>
  <c r="V32" i="2"/>
  <c r="M28" i="2"/>
  <c r="L32" i="2"/>
  <c r="O28" i="2"/>
  <c r="M32" i="2"/>
  <c r="N32" i="2"/>
  <c r="AA32" i="2" s="1"/>
  <c r="O32" i="2"/>
  <c r="P32" i="2"/>
  <c r="P28" i="2"/>
  <c r="L28" i="2"/>
  <c r="N28" i="2"/>
  <c r="V28" i="2"/>
  <c r="M11" i="2"/>
  <c r="N18" i="2"/>
  <c r="V18" i="2"/>
  <c r="L15" i="2"/>
  <c r="N11" i="2"/>
  <c r="N15" i="2"/>
  <c r="AA15" i="2" s="1"/>
  <c r="V11" i="2"/>
  <c r="V15" i="2"/>
  <c r="L11" i="2"/>
  <c r="P8" i="2"/>
  <c r="N8" i="2"/>
  <c r="AA8" i="2" s="1"/>
  <c r="L8" i="2"/>
  <c r="O8" i="2"/>
  <c r="M8" i="2"/>
  <c r="O15" i="2"/>
  <c r="L18" i="2"/>
  <c r="P11" i="2"/>
  <c r="M15" i="2"/>
  <c r="O9" i="2"/>
  <c r="M9" i="2"/>
  <c r="N9" i="2"/>
  <c r="AA9" i="2" s="1"/>
  <c r="P9" i="2"/>
  <c r="L9" i="2"/>
  <c r="P18" i="2"/>
  <c r="M18" i="2"/>
  <c r="O18" i="2"/>
  <c r="O11" i="2"/>
  <c r="P15" i="2"/>
  <c r="M93" i="1"/>
  <c r="M75" i="1"/>
  <c r="M94" i="1" s="1"/>
  <c r="FX11" i="2" l="1"/>
  <c r="ET11" i="2"/>
  <c r="FK11" i="2"/>
  <c r="FC11" i="2"/>
  <c r="EF11" i="2"/>
  <c r="FT8" i="2"/>
  <c r="FZ11" i="2"/>
  <c r="FM11" i="2"/>
  <c r="EQ28" i="2"/>
  <c r="T26" i="4"/>
  <c r="O26" i="13" s="1"/>
  <c r="AY26" i="4"/>
  <c r="BF26" i="4"/>
  <c r="AN26" i="4"/>
  <c r="Y26" i="4"/>
  <c r="BQ26" i="4"/>
  <c r="BG26" i="4"/>
  <c r="BM26" i="4"/>
  <c r="BJ26" i="4"/>
  <c r="BB26" i="4"/>
  <c r="AA26" i="4"/>
  <c r="BH26" i="4"/>
  <c r="AV26" i="4"/>
  <c r="Z26" i="4"/>
  <c r="AF26" i="4"/>
  <c r="AT26" i="4"/>
  <c r="AW26" i="4"/>
  <c r="BE26" i="4"/>
  <c r="BL26" i="4"/>
  <c r="BC26" i="4"/>
  <c r="AZ26" i="4"/>
  <c r="AX26" i="4"/>
  <c r="W26" i="4"/>
  <c r="AJ26" i="4"/>
  <c r="AR26" i="4"/>
  <c r="BI26" i="4"/>
  <c r="BD26" i="4"/>
  <c r="BA26" i="4"/>
  <c r="BR26" i="4"/>
  <c r="AB26" i="4"/>
  <c r="BO26" i="4"/>
  <c r="AD26" i="4"/>
  <c r="BS26" i="4"/>
  <c r="AL26" i="4"/>
  <c r="T29" i="2" a="1"/>
  <c r="T29" i="2" s="1"/>
  <c r="R29" i="2" s="1"/>
  <c r="BT26" i="4"/>
  <c r="AS26" i="4"/>
  <c r="AH26" i="4"/>
  <c r="X26" i="4"/>
  <c r="AE26" i="4"/>
  <c r="AI26" i="4"/>
  <c r="AQ26" i="4"/>
  <c r="AK26" i="4"/>
  <c r="AO26" i="4"/>
  <c r="AC26" i="4"/>
  <c r="BN26" i="4"/>
  <c r="BK26" i="4"/>
  <c r="BP26" i="4"/>
  <c r="AM26" i="4"/>
  <c r="AP26" i="4"/>
  <c r="AG26" i="4"/>
  <c r="AU26" i="4"/>
  <c r="FY11" i="2"/>
  <c r="EZ28" i="2"/>
  <c r="FH11" i="2"/>
  <c r="FB11" i="2"/>
  <c r="EI11" i="2"/>
  <c r="EX8" i="2"/>
  <c r="EL18" i="2"/>
  <c r="T9" i="4"/>
  <c r="O9" i="13" s="1"/>
  <c r="BP9" i="4"/>
  <c r="Z9" i="4"/>
  <c r="BJ9" i="4"/>
  <c r="BC9" i="4"/>
  <c r="BD9" i="4"/>
  <c r="AF9" i="4"/>
  <c r="AI9" i="4"/>
  <c r="W9" i="4"/>
  <c r="AY9" i="4"/>
  <c r="AA9" i="4"/>
  <c r="BH9" i="4"/>
  <c r="T12" i="2" a="1"/>
  <c r="T12" i="2" s="1"/>
  <c r="R12" i="2" s="1"/>
  <c r="AV9" i="4"/>
  <c r="BT9" i="4"/>
  <c r="X9" i="4"/>
  <c r="BF9" i="4"/>
  <c r="AN9" i="4"/>
  <c r="BS9" i="4"/>
  <c r="AP9" i="4"/>
  <c r="AM9" i="4"/>
  <c r="AR9" i="4"/>
  <c r="AH9" i="4"/>
  <c r="AB9" i="4"/>
  <c r="AZ9" i="4"/>
  <c r="AL9" i="4"/>
  <c r="AT9" i="4"/>
  <c r="AD9" i="4"/>
  <c r="BL9" i="4"/>
  <c r="AX9" i="4"/>
  <c r="AJ9" i="4"/>
  <c r="BR9" i="4"/>
  <c r="BN9" i="4"/>
  <c r="BB9" i="4"/>
  <c r="Y9" i="4"/>
  <c r="AO9" i="4"/>
  <c r="AE9" i="4"/>
  <c r="BO9" i="4"/>
  <c r="AC9" i="4"/>
  <c r="AG9" i="4"/>
  <c r="BK9" i="4"/>
  <c r="AW9" i="4"/>
  <c r="BG9" i="4"/>
  <c r="BA9" i="4"/>
  <c r="AK9" i="4"/>
  <c r="AS9" i="4"/>
  <c r="BE9" i="4"/>
  <c r="BM9" i="4"/>
  <c r="AQ9" i="4"/>
  <c r="AU9" i="4"/>
  <c r="BQ9" i="4"/>
  <c r="BI9" i="4"/>
  <c r="T27" i="4"/>
  <c r="O27" i="13" s="1"/>
  <c r="BG27" i="4"/>
  <c r="BI27" i="4"/>
  <c r="AD27" i="4"/>
  <c r="BA27" i="4"/>
  <c r="BF27" i="4"/>
  <c r="AZ27" i="4"/>
  <c r="AX27" i="4"/>
  <c r="AN27" i="4"/>
  <c r="W27" i="4"/>
  <c r="BC27" i="4"/>
  <c r="AL27" i="4"/>
  <c r="BD27" i="4"/>
  <c r="T30" i="2" a="1"/>
  <c r="T30" i="2" s="1"/>
  <c r="R30" i="2" s="1"/>
  <c r="AP27" i="4"/>
  <c r="AF27" i="4"/>
  <c r="AR27" i="4"/>
  <c r="AT27" i="4"/>
  <c r="BO27" i="4"/>
  <c r="AB27" i="4"/>
  <c r="BS27" i="4"/>
  <c r="AJ27" i="4"/>
  <c r="Y27" i="4"/>
  <c r="AW27" i="4"/>
  <c r="AH27" i="4"/>
  <c r="BM27" i="4"/>
  <c r="BR27" i="4"/>
  <c r="BL27" i="4"/>
  <c r="BH27" i="4"/>
  <c r="Z27" i="4"/>
  <c r="AV27" i="4"/>
  <c r="AA27" i="4"/>
  <c r="X27" i="4"/>
  <c r="BJ27" i="4"/>
  <c r="BQ27" i="4"/>
  <c r="BB27" i="4"/>
  <c r="AO27" i="4"/>
  <c r="AE27" i="4"/>
  <c r="BK27" i="4"/>
  <c r="AQ27" i="4"/>
  <c r="BE27" i="4"/>
  <c r="AM27" i="4"/>
  <c r="AS27" i="4"/>
  <c r="AC27" i="4"/>
  <c r="BT27" i="4"/>
  <c r="AG27" i="4"/>
  <c r="AY27" i="4"/>
  <c r="AU27" i="4"/>
  <c r="AK27" i="4"/>
  <c r="AI27" i="4"/>
  <c r="BN27" i="4"/>
  <c r="BP27" i="4"/>
  <c r="T10" i="4"/>
  <c r="O10" i="13" s="1"/>
  <c r="BT10" i="4"/>
  <c r="BF10" i="4"/>
  <c r="AT10" i="4"/>
  <c r="AS10" i="4"/>
  <c r="AW10" i="4"/>
  <c r="AZ10" i="4"/>
  <c r="BR10" i="4"/>
  <c r="AR10" i="4"/>
  <c r="Z10" i="4"/>
  <c r="BO10" i="4"/>
  <c r="AY10" i="4"/>
  <c r="AN10" i="4"/>
  <c r="AD10" i="4"/>
  <c r="AP10" i="4"/>
  <c r="AM10" i="4"/>
  <c r="BM10" i="4"/>
  <c r="X10" i="4"/>
  <c r="BB10" i="4"/>
  <c r="AV10" i="4"/>
  <c r="AB10" i="4"/>
  <c r="T13" i="2" a="1"/>
  <c r="T13" i="2" s="1"/>
  <c r="R13" i="2" s="1"/>
  <c r="AK10" i="4"/>
  <c r="BP10" i="4"/>
  <c r="AF10" i="4"/>
  <c r="BJ10" i="4"/>
  <c r="AX10" i="4"/>
  <c r="AQ10" i="4"/>
  <c r="BL10" i="4"/>
  <c r="W10" i="4"/>
  <c r="AA10" i="4"/>
  <c r="AH10" i="4"/>
  <c r="BE10" i="4"/>
  <c r="AJ10" i="4"/>
  <c r="AG10" i="4"/>
  <c r="BD10" i="4"/>
  <c r="BI10" i="4"/>
  <c r="BS10" i="4"/>
  <c r="BH10" i="4"/>
  <c r="BK10" i="4"/>
  <c r="AC10" i="4"/>
  <c r="AL10" i="4"/>
  <c r="BN10" i="4"/>
  <c r="BC10" i="4"/>
  <c r="BQ10" i="4"/>
  <c r="Y10" i="4"/>
  <c r="AI10" i="4"/>
  <c r="AU10" i="4"/>
  <c r="AO10" i="4"/>
  <c r="AE10" i="4"/>
  <c r="BA10" i="4"/>
  <c r="BG10" i="4"/>
  <c r="FA28" i="2"/>
  <c r="FC28" i="2"/>
  <c r="FC15" i="2"/>
  <c r="FU11" i="2"/>
  <c r="FG28" i="2"/>
  <c r="FQ32" i="2"/>
  <c r="EH28" i="2"/>
  <c r="EM11" i="2"/>
  <c r="FN28" i="2"/>
  <c r="EY11" i="2"/>
  <c r="FP11" i="2"/>
  <c r="FJ11" i="2"/>
  <c r="FV28" i="2"/>
  <c r="EH15" i="2"/>
  <c r="GA8" i="2"/>
  <c r="EQ11" i="2"/>
  <c r="FE11" i="2"/>
  <c r="EZ11" i="2"/>
  <c r="EV18" i="2"/>
  <c r="FO28" i="2"/>
  <c r="EH18" i="2"/>
  <c r="EF28" i="2"/>
  <c r="EQ18" i="2"/>
  <c r="FU32" i="2"/>
  <c r="FX18" i="2"/>
  <c r="FW28" i="2"/>
  <c r="EM32" i="2"/>
  <c r="EV9" i="2"/>
  <c r="FE18" i="2"/>
  <c r="FX32" i="2"/>
  <c r="EP32" i="2"/>
  <c r="EW11" i="2"/>
  <c r="ET15" i="2"/>
  <c r="EZ8" i="2"/>
  <c r="FR32" i="2"/>
  <c r="FI15" i="2"/>
  <c r="FS28" i="2"/>
  <c r="EJ28" i="2"/>
  <c r="FI32" i="2"/>
  <c r="EO28" i="2"/>
  <c r="EK11" i="2"/>
  <c r="GB32" i="2"/>
  <c r="FI9" i="2"/>
  <c r="EQ32" i="2"/>
  <c r="FY32" i="2"/>
  <c r="EM28" i="2"/>
  <c r="EY28" i="2"/>
  <c r="FK15" i="2"/>
  <c r="EK8" i="2"/>
  <c r="FA18" i="2"/>
  <c r="FQ28" i="2"/>
  <c r="EX28" i="2"/>
  <c r="FK8" i="2"/>
  <c r="FD28" i="2"/>
  <c r="EK28" i="2"/>
  <c r="FH32" i="2"/>
  <c r="EZ9" i="2"/>
  <c r="EV28" i="2"/>
  <c r="EM8" i="2"/>
  <c r="EK15" i="2"/>
  <c r="FM18" i="2"/>
  <c r="EQ15" i="2"/>
  <c r="FL32" i="2"/>
  <c r="FS32" i="2"/>
  <c r="FZ28" i="2"/>
  <c r="FH28" i="2"/>
  <c r="AB35" i="2" a="1"/>
  <c r="AB35" i="2" s="1"/>
  <c r="AC35" i="2" s="1" a="1"/>
  <c r="AC35" i="2" s="1"/>
  <c r="FB28" i="2"/>
  <c r="FT28" i="2"/>
  <c r="FX28" i="2"/>
  <c r="FL28" i="2"/>
  <c r="ES15" i="2"/>
  <c r="EP28" i="2"/>
  <c r="GB28" i="2"/>
  <c r="AB26" i="2" a="1"/>
  <c r="AB26" i="2" s="1"/>
  <c r="S23" i="4" s="1"/>
  <c r="N23" i="13" s="1"/>
  <c r="GA28" i="2"/>
  <c r="FP28" i="2"/>
  <c r="EU28" i="2"/>
  <c r="ER28" i="2"/>
  <c r="FI28" i="2"/>
  <c r="FE28" i="2"/>
  <c r="EL28" i="2"/>
  <c r="ET28" i="2"/>
  <c r="FY28" i="2"/>
  <c r="FR15" i="2"/>
  <c r="EP18" i="2"/>
  <c r="AB24" i="2" a="1"/>
  <c r="AB24" i="2" s="1"/>
  <c r="S21" i="4" s="1"/>
  <c r="N21" i="13" s="1"/>
  <c r="S7" i="2"/>
  <c r="FR28" i="2"/>
  <c r="EI28" i="2"/>
  <c r="EG28" i="2"/>
  <c r="FJ28" i="2"/>
  <c r="FF28" i="2"/>
  <c r="EW28" i="2"/>
  <c r="AB25" i="2" a="1"/>
  <c r="AB25" i="2" s="1"/>
  <c r="AC25" i="2" s="1" a="1"/>
  <c r="AC25" i="2" s="1"/>
  <c r="ES28" i="2"/>
  <c r="EN28" i="2"/>
  <c r="FK28" i="2"/>
  <c r="FU28" i="2"/>
  <c r="R29" i="4"/>
  <c r="M29" i="13" s="1"/>
  <c r="FS9" i="2"/>
  <c r="Z35" i="2" a="1"/>
  <c r="Z35" i="2" s="1"/>
  <c r="Z25" i="2" a="1"/>
  <c r="Z25" i="2" s="1"/>
  <c r="AB29" i="12"/>
  <c r="P10" i="4"/>
  <c r="K10" i="13" s="1"/>
  <c r="FZ18" i="2"/>
  <c r="AC36" i="2" a="1"/>
  <c r="AC36" i="2" s="1"/>
  <c r="S33" i="4"/>
  <c r="N33" i="13" s="1"/>
  <c r="Q16" i="4"/>
  <c r="L16" i="13" s="1"/>
  <c r="Z29" i="12"/>
  <c r="Z13" i="12"/>
  <c r="P9" i="4"/>
  <c r="K9" i="13" s="1"/>
  <c r="EL8" i="2"/>
  <c r="FX9" i="2"/>
  <c r="FT18" i="2"/>
  <c r="AC19" i="2" a="1"/>
  <c r="AC19" i="2" s="1"/>
  <c r="S16" i="4"/>
  <c r="N16" i="13" s="1"/>
  <c r="AA7" i="12"/>
  <c r="AB30" i="12"/>
  <c r="AB13" i="12"/>
  <c r="R12" i="4"/>
  <c r="M12" i="13" s="1"/>
  <c r="FF8" i="2"/>
  <c r="EN18" i="2"/>
  <c r="Y16" i="2" a="1"/>
  <c r="Y16" i="2" s="1"/>
  <c r="Q13" i="4"/>
  <c r="L13" i="13" s="1"/>
  <c r="AA24" i="12"/>
  <c r="AB7" i="2" a="1"/>
  <c r="AB7" i="2" s="1"/>
  <c r="Q33" i="4"/>
  <c r="L33" i="13" s="1"/>
  <c r="Z12" i="12"/>
  <c r="Z28" i="2"/>
  <c r="Q25" i="4" s="1"/>
  <c r="L25" i="13" s="1"/>
  <c r="AC28" i="2"/>
  <c r="AB28" i="2"/>
  <c r="S25" i="4" s="1"/>
  <c r="N25" i="13" s="1"/>
  <c r="Y28" i="2"/>
  <c r="R6" i="4"/>
  <c r="M6" i="13" s="1"/>
  <c r="R15" i="4"/>
  <c r="M15" i="13" s="1"/>
  <c r="AB16" i="12"/>
  <c r="Z24" i="2" a="1"/>
  <c r="Z24" i="2" s="1"/>
  <c r="Z7" i="2" a="1"/>
  <c r="Z7" i="2" s="1"/>
  <c r="P27" i="4"/>
  <c r="K27" i="13" s="1"/>
  <c r="AA26" i="12"/>
  <c r="AB12" i="12"/>
  <c r="EL15" i="2"/>
  <c r="FC9" i="2"/>
  <c r="FK9" i="2"/>
  <c r="FF9" i="2"/>
  <c r="ER9" i="2"/>
  <c r="FF15" i="2"/>
  <c r="EG8" i="2"/>
  <c r="EP8" i="2"/>
  <c r="FC8" i="2"/>
  <c r="EN15" i="2"/>
  <c r="FO15" i="2"/>
  <c r="FW15" i="2"/>
  <c r="FZ9" i="2"/>
  <c r="FW8" i="2"/>
  <c r="FD32" i="2"/>
  <c r="FC18" i="2"/>
  <c r="FJ32" i="2"/>
  <c r="Z30" i="12"/>
  <c r="Y33" i="2" a="1"/>
  <c r="Y33" i="2" s="1"/>
  <c r="Q30" i="4"/>
  <c r="L30" i="13" s="1"/>
  <c r="Z26" i="2" a="1"/>
  <c r="Z26" i="2" s="1"/>
  <c r="AB11" i="2"/>
  <c r="S8" i="4" s="1"/>
  <c r="N8" i="13" s="1"/>
  <c r="Z11" i="2"/>
  <c r="Q8" i="4" s="1"/>
  <c r="L8" i="13" s="1"/>
  <c r="Y11" i="2"/>
  <c r="AC11" i="2"/>
  <c r="R5" i="4"/>
  <c r="M5" i="13" s="1"/>
  <c r="FA15" i="2"/>
  <c r="EJ15" i="2"/>
  <c r="AA35" i="12"/>
  <c r="AA25" i="12"/>
  <c r="P26" i="4"/>
  <c r="K26" i="13" s="1"/>
  <c r="AB33" i="12"/>
  <c r="FP9" i="2"/>
  <c r="ER8" i="2"/>
  <c r="EY15" i="2"/>
  <c r="EK32" i="2"/>
  <c r="EO18" i="2"/>
  <c r="FZ32" i="2"/>
  <c r="ET9" i="2"/>
  <c r="EI9" i="2"/>
  <c r="FI8" i="2"/>
  <c r="FV15" i="2"/>
  <c r="FC32" i="2"/>
  <c r="EF18" i="2"/>
  <c r="FM15" i="2"/>
  <c r="FV9" i="2"/>
  <c r="ES32" i="2"/>
  <c r="FE32" i="2"/>
  <c r="FF18" i="2"/>
  <c r="FF32" i="2"/>
  <c r="FB9" i="2"/>
  <c r="EK9" i="2"/>
  <c r="FZ15" i="2"/>
  <c r="GB15" i="2"/>
  <c r="FS8" i="2"/>
  <c r="EJ18" i="2"/>
  <c r="EF15" i="2"/>
  <c r="FS15" i="2"/>
  <c r="FN18" i="2"/>
  <c r="FM32" i="2"/>
  <c r="EG32" i="2"/>
  <c r="EV8" i="2"/>
  <c r="FB32" i="2"/>
  <c r="EH32" i="2"/>
  <c r="EX9" i="2"/>
  <c r="FN8" i="2"/>
  <c r="FB8" i="2"/>
  <c r="EY8" i="2"/>
  <c r="EW8" i="2"/>
  <c r="EX15" i="2"/>
  <c r="FV8" i="2"/>
  <c r="EW32" i="2"/>
  <c r="FG18" i="2"/>
  <c r="FD9" i="2"/>
  <c r="EW9" i="2"/>
  <c r="EU9" i="2"/>
  <c r="FG9" i="2"/>
  <c r="EG15" i="2"/>
  <c r="EP15" i="2"/>
  <c r="ES8" i="2"/>
  <c r="FM8" i="2"/>
  <c r="FH8" i="2"/>
  <c r="EM15" i="2"/>
  <c r="FY15" i="2"/>
  <c r="FY9" i="2"/>
  <c r="GA15" i="2"/>
  <c r="FZ8" i="2"/>
  <c r="EJ32" i="2"/>
  <c r="EI18" i="2"/>
  <c r="EO32" i="2"/>
  <c r="EG18" i="2"/>
  <c r="EU15" i="2"/>
  <c r="FL9" i="2"/>
  <c r="EN9" i="2"/>
  <c r="EO9" i="2"/>
  <c r="EO15" i="2"/>
  <c r="FL8" i="2"/>
  <c r="FJ15" i="2"/>
  <c r="FQ9" i="2"/>
  <c r="FT15" i="2"/>
  <c r="EU32" i="2"/>
  <c r="FN32" i="2"/>
  <c r="EF32" i="2"/>
  <c r="EU18" i="2"/>
  <c r="EM18" i="2"/>
  <c r="FK32" i="2"/>
  <c r="EP9" i="2"/>
  <c r="FJ9" i="2"/>
  <c r="FH9" i="2"/>
  <c r="FE15" i="2"/>
  <c r="FO8" i="2"/>
  <c r="FN15" i="2"/>
  <c r="FR9" i="2"/>
  <c r="FW9" i="2"/>
  <c r="FQ8" i="2"/>
  <c r="FQ15" i="2"/>
  <c r="FO18" i="2"/>
  <c r="FO32" i="2"/>
  <c r="EY18" i="2"/>
  <c r="FA32" i="2"/>
  <c r="FA9" i="2"/>
  <c r="EJ9" i="2"/>
  <c r="EG9" i="2"/>
  <c r="ES9" i="2"/>
  <c r="ET8" i="2"/>
  <c r="EQ8" i="2"/>
  <c r="EU8" i="2"/>
  <c r="FA8" i="2"/>
  <c r="FH15" i="2"/>
  <c r="GB9" i="2"/>
  <c r="FU9" i="2"/>
  <c r="FY8" i="2"/>
  <c r="FR8" i="2"/>
  <c r="FU15" i="2"/>
  <c r="FR18" i="2"/>
  <c r="ER32" i="2"/>
  <c r="EN32" i="2"/>
  <c r="EZ18" i="2"/>
  <c r="EL32" i="2"/>
  <c r="EX32" i="2"/>
  <c r="FD15" i="2"/>
  <c r="EY9" i="2"/>
  <c r="EL9" i="2"/>
  <c r="FP15" i="2"/>
  <c r="FJ8" i="2"/>
  <c r="EO8" i="2"/>
  <c r="EJ8" i="2"/>
  <c r="EW15" i="2"/>
  <c r="FT9" i="2"/>
  <c r="GB8" i="2"/>
  <c r="FU8" i="2"/>
  <c r="EI15" i="2"/>
  <c r="FS18" i="2"/>
  <c r="FV32" i="2"/>
  <c r="FB18" i="2"/>
  <c r="ER18" i="2"/>
  <c r="EH8" i="2"/>
  <c r="FE9" i="2"/>
  <c r="EV15" i="2"/>
  <c r="FX8" i="2"/>
  <c r="FX15" i="2"/>
  <c r="ET32" i="2"/>
  <c r="FQ18" i="2"/>
  <c r="FU18" i="2"/>
  <c r="GA32" i="2"/>
  <c r="FJ18" i="2"/>
  <c r="FP32" i="2"/>
  <c r="FK18" i="2"/>
  <c r="EK18" i="2"/>
  <c r="FG32" i="2"/>
  <c r="FG15" i="2"/>
  <c r="FN9" i="2"/>
  <c r="FD8" i="2"/>
  <c r="FG8" i="2"/>
  <c r="EF8" i="2"/>
  <c r="FB15" i="2"/>
  <c r="ER15" i="2"/>
  <c r="GA9" i="2"/>
  <c r="ET18" i="2"/>
  <c r="EI32" i="2"/>
  <c r="EV32" i="2"/>
  <c r="FW32" i="2"/>
  <c r="FD18" i="2"/>
  <c r="EW18" i="2"/>
  <c r="EY32" i="2"/>
  <c r="FH18" i="2"/>
  <c r="FN11" i="2"/>
  <c r="EL11" i="2"/>
  <c r="EO11" i="2"/>
  <c r="FD11" i="2"/>
  <c r="FA11" i="2"/>
  <c r="EN11" i="2"/>
  <c r="FO11" i="2"/>
  <c r="EX11" i="2"/>
  <c r="FI11" i="2"/>
  <c r="ES11" i="2"/>
  <c r="EU11" i="2"/>
  <c r="ER11" i="2"/>
  <c r="EJ11" i="2"/>
  <c r="FS11" i="2"/>
  <c r="FQ11" i="2"/>
  <c r="EG11" i="2"/>
  <c r="EH11" i="2"/>
  <c r="FG11" i="2"/>
  <c r="FV11" i="2"/>
  <c r="FW11" i="2"/>
  <c r="EP11" i="2"/>
  <c r="FL11" i="2"/>
  <c r="EV11" i="2"/>
  <c r="GA11" i="2"/>
  <c r="FT11" i="2"/>
  <c r="AC12" i="12" l="1"/>
  <c r="AC29" i="12"/>
  <c r="AC13" i="12"/>
  <c r="AC30" i="12"/>
  <c r="T33" i="2" a="1"/>
  <c r="T33" i="2" s="1"/>
  <c r="R33" i="2" s="1"/>
  <c r="T22" i="4"/>
  <c r="O22" i="13" s="1"/>
  <c r="BM22" i="4"/>
  <c r="Z22" i="4"/>
  <c r="AL22" i="4"/>
  <c r="BP22" i="4"/>
  <c r="BO22" i="4"/>
  <c r="AV22" i="4"/>
  <c r="AU22" i="4"/>
  <c r="AH22" i="4"/>
  <c r="BL22" i="4"/>
  <c r="BG22" i="4"/>
  <c r="BK22" i="4"/>
  <c r="AR22" i="4"/>
  <c r="BR22" i="4"/>
  <c r="AQ22" i="4"/>
  <c r="AX22" i="4"/>
  <c r="AD22" i="4"/>
  <c r="BC22" i="4"/>
  <c r="AS22" i="4"/>
  <c r="BB22" i="4"/>
  <c r="AN22" i="4"/>
  <c r="BN22" i="4"/>
  <c r="AW22" i="4"/>
  <c r="AM22" i="4"/>
  <c r="BD22" i="4"/>
  <c r="AY22" i="4"/>
  <c r="AO22" i="4"/>
  <c r="X22" i="4"/>
  <c r="AJ22" i="4"/>
  <c r="BA22" i="4"/>
  <c r="AI22" i="4"/>
  <c r="Y22" i="4"/>
  <c r="AK22" i="4"/>
  <c r="AF22" i="4"/>
  <c r="W22" i="4"/>
  <c r="AE22" i="4"/>
  <c r="BQ22" i="4"/>
  <c r="BH22" i="4"/>
  <c r="AG22" i="4"/>
  <c r="AB22" i="4"/>
  <c r="T25" i="2" a="1"/>
  <c r="T25" i="2" s="1"/>
  <c r="R25" i="2" s="1"/>
  <c r="AA22" i="4"/>
  <c r="AZ22" i="4"/>
  <c r="AP22" i="4"/>
  <c r="BT22" i="4"/>
  <c r="BS22" i="4"/>
  <c r="BF22" i="4"/>
  <c r="BI22" i="4"/>
  <c r="AT22" i="4"/>
  <c r="AC22" i="4"/>
  <c r="BE22" i="4"/>
  <c r="BJ22" i="4"/>
  <c r="T8" i="4"/>
  <c r="O8" i="13" s="1"/>
  <c r="AM8" i="4"/>
  <c r="AP8" i="4"/>
  <c r="AF8" i="4"/>
  <c r="AE8" i="4"/>
  <c r="BM8" i="4"/>
  <c r="BK8" i="4"/>
  <c r="BS8" i="4"/>
  <c r="AY8" i="4"/>
  <c r="BB8" i="4"/>
  <c r="AZ8" i="4"/>
  <c r="AD8" i="4"/>
  <c r="AI8" i="4"/>
  <c r="BC8" i="4"/>
  <c r="BR8" i="4"/>
  <c r="AX8" i="4"/>
  <c r="BO8" i="4"/>
  <c r="AA8" i="4"/>
  <c r="AU8" i="4"/>
  <c r="AW8" i="4"/>
  <c r="AB8" i="4"/>
  <c r="AQ8" i="4"/>
  <c r="T11" i="2" a="1"/>
  <c r="T11" i="2" s="1"/>
  <c r="R11" i="2" s="1"/>
  <c r="BQ8" i="4"/>
  <c r="BE8" i="4"/>
  <c r="W8" i="4"/>
  <c r="BJ8" i="4"/>
  <c r="AC8" i="4"/>
  <c r="X8" i="4"/>
  <c r="BI8" i="4"/>
  <c r="AO8" i="4"/>
  <c r="BA8" i="4"/>
  <c r="AK8" i="4"/>
  <c r="AJ8" i="4"/>
  <c r="BG8" i="4"/>
  <c r="BN8" i="4"/>
  <c r="BF8" i="4"/>
  <c r="AG8" i="4"/>
  <c r="AR8" i="4"/>
  <c r="Y8" i="4"/>
  <c r="AV8" i="4"/>
  <c r="AS8" i="4"/>
  <c r="BH8" i="4"/>
  <c r="AT8" i="4"/>
  <c r="AL8" i="4"/>
  <c r="BD8" i="4"/>
  <c r="BT8" i="4"/>
  <c r="Z8" i="4"/>
  <c r="AN8" i="4"/>
  <c r="BL8" i="4"/>
  <c r="BP8" i="4"/>
  <c r="AH8" i="4"/>
  <c r="T25" i="4"/>
  <c r="O25" i="13" s="1"/>
  <c r="AL25" i="4"/>
  <c r="Y25" i="4"/>
  <c r="Y28" i="4" s="1"/>
  <c r="AB25" i="4"/>
  <c r="AB28" i="4" s="1"/>
  <c r="W25" i="4"/>
  <c r="AO25" i="4"/>
  <c r="AO28" i="4" s="1"/>
  <c r="BP25" i="4"/>
  <c r="BP28" i="4" s="1"/>
  <c r="T28" i="2" a="1"/>
  <c r="T28" i="2" s="1"/>
  <c r="R28" i="2" s="1"/>
  <c r="AP25" i="4"/>
  <c r="AY25" i="4"/>
  <c r="BC25" i="4"/>
  <c r="AN25" i="4"/>
  <c r="AN28" i="4" s="1"/>
  <c r="AM25" i="4"/>
  <c r="AT25" i="4"/>
  <c r="AT28" i="4" s="1"/>
  <c r="BQ25" i="4"/>
  <c r="AQ25" i="4"/>
  <c r="BM25" i="4"/>
  <c r="AD25" i="4"/>
  <c r="AA25" i="4"/>
  <c r="AA28" i="4" s="1"/>
  <c r="AX25" i="4"/>
  <c r="AX28" i="4" s="1"/>
  <c r="AW25" i="4"/>
  <c r="AF25" i="4"/>
  <c r="AF28" i="4" s="1"/>
  <c r="AV25" i="4"/>
  <c r="AG25" i="4"/>
  <c r="AG28" i="4" s="1"/>
  <c r="BA25" i="4"/>
  <c r="BI25" i="4"/>
  <c r="BF25" i="4"/>
  <c r="BF28" i="4" s="1"/>
  <c r="AR25" i="4"/>
  <c r="AR28" i="4" s="1"/>
  <c r="AZ25" i="4"/>
  <c r="BH25" i="4"/>
  <c r="BH28" i="4" s="1"/>
  <c r="AS25" i="4"/>
  <c r="BJ25" i="4"/>
  <c r="BJ28" i="4" s="1"/>
  <c r="BD25" i="4"/>
  <c r="AU25" i="4"/>
  <c r="Z25" i="4"/>
  <c r="Z28" i="4" s="1"/>
  <c r="AI25" i="4"/>
  <c r="AH25" i="4"/>
  <c r="BG25" i="4"/>
  <c r="BE25" i="4"/>
  <c r="AC25" i="4"/>
  <c r="AC28" i="4" s="1"/>
  <c r="X25" i="4"/>
  <c r="BT25" i="4"/>
  <c r="BO25" i="4"/>
  <c r="BO28" i="4" s="1"/>
  <c r="BK25" i="4"/>
  <c r="BK28" i="4" s="1"/>
  <c r="BS25" i="4"/>
  <c r="BN25" i="4"/>
  <c r="BN28" i="4" s="1"/>
  <c r="AE25" i="4"/>
  <c r="BR25" i="4"/>
  <c r="BL25" i="4"/>
  <c r="BB25" i="4"/>
  <c r="AK25" i="4"/>
  <c r="AK28" i="4" s="1"/>
  <c r="AJ25" i="4"/>
  <c r="AJ28" i="4" s="1"/>
  <c r="T33" i="4"/>
  <c r="O33" i="13" s="1"/>
  <c r="BC33" i="4"/>
  <c r="BS33" i="4"/>
  <c r="AY33" i="4"/>
  <c r="T36" i="2" a="1"/>
  <c r="T36" i="2" s="1"/>
  <c r="R36" i="2" s="1"/>
  <c r="Z33" i="4"/>
  <c r="BQ33" i="4"/>
  <c r="BL33" i="4"/>
  <c r="AB33" i="4"/>
  <c r="AU33" i="4"/>
  <c r="BT33" i="4"/>
  <c r="BN33" i="4"/>
  <c r="AS33" i="4"/>
  <c r="AS34" i="4" s="1"/>
  <c r="X33" i="4"/>
  <c r="AQ33" i="4"/>
  <c r="AW33" i="4"/>
  <c r="BJ33" i="4"/>
  <c r="BE33" i="4"/>
  <c r="AO33" i="4"/>
  <c r="BH33" i="4"/>
  <c r="AM33" i="4"/>
  <c r="AZ33" i="4"/>
  <c r="AK33" i="4"/>
  <c r="AK34" i="4" s="1"/>
  <c r="BD33" i="4"/>
  <c r="AV33" i="4"/>
  <c r="BG33" i="4"/>
  <c r="AI33" i="4"/>
  <c r="BF33" i="4"/>
  <c r="AL33" i="4"/>
  <c r="AG33" i="4"/>
  <c r="AR33" i="4"/>
  <c r="BB33" i="4"/>
  <c r="BO33" i="4"/>
  <c r="AE33" i="4"/>
  <c r="AE34" i="4" s="1"/>
  <c r="BA33" i="4"/>
  <c r="AP33" i="4"/>
  <c r="BM33" i="4"/>
  <c r="AC33" i="4"/>
  <c r="AN33" i="4"/>
  <c r="AN34" i="4" s="1"/>
  <c r="BK33" i="4"/>
  <c r="AA33" i="4"/>
  <c r="AD33" i="4"/>
  <c r="BR33" i="4"/>
  <c r="BP33" i="4"/>
  <c r="AF33" i="4"/>
  <c r="AF34" i="4" s="1"/>
  <c r="AX33" i="4"/>
  <c r="BI33" i="4"/>
  <c r="AH33" i="4"/>
  <c r="Y33" i="4"/>
  <c r="AJ33" i="4"/>
  <c r="AJ34" i="4" s="1"/>
  <c r="AT33" i="4"/>
  <c r="W33" i="4"/>
  <c r="T16" i="2" a="1"/>
  <c r="T16" i="2" s="1"/>
  <c r="R16" i="2" s="1"/>
  <c r="I12" i="6"/>
  <c r="T32" i="4"/>
  <c r="O32" i="13" s="1"/>
  <c r="T35" i="2" a="1"/>
  <c r="T35" i="2" s="1"/>
  <c r="R35" i="2" s="1"/>
  <c r="AR34" i="4"/>
  <c r="AV34" i="4"/>
  <c r="AZ34" i="4"/>
  <c r="T16" i="4"/>
  <c r="O16" i="13" s="1"/>
  <c r="AY16" i="4"/>
  <c r="T19" i="2" a="1"/>
  <c r="T19" i="2" s="1"/>
  <c r="R19" i="2" s="1"/>
  <c r="BI16" i="4"/>
  <c r="BQ16" i="4"/>
  <c r="BC16" i="4"/>
  <c r="BS16" i="4"/>
  <c r="BT16" i="4"/>
  <c r="BN16" i="4"/>
  <c r="AD16" i="4"/>
  <c r="AZ16" i="4"/>
  <c r="AG16" i="4"/>
  <c r="AJ16" i="4"/>
  <c r="AI16" i="4"/>
  <c r="BJ16" i="4"/>
  <c r="Z16" i="4"/>
  <c r="BM16" i="4"/>
  <c r="AC16" i="4"/>
  <c r="BH16" i="4"/>
  <c r="BP16" i="4"/>
  <c r="AF16" i="4"/>
  <c r="BO16" i="4"/>
  <c r="AE16" i="4"/>
  <c r="Y16" i="4"/>
  <c r="BD16" i="4"/>
  <c r="BL16" i="4"/>
  <c r="AB16" i="4"/>
  <c r="BK16" i="4"/>
  <c r="AA16" i="4"/>
  <c r="AA17" i="4" s="1"/>
  <c r="BF16" i="4"/>
  <c r="X16" i="4"/>
  <c r="W16" i="4"/>
  <c r="I15" i="6" s="1"/>
  <c r="BA16" i="4"/>
  <c r="AT16" i="4"/>
  <c r="BR16" i="4"/>
  <c r="AW16" i="4"/>
  <c r="AP16" i="4"/>
  <c r="AS16" i="4"/>
  <c r="AS17" i="4" s="1"/>
  <c r="AV16" i="4"/>
  <c r="AU16" i="4"/>
  <c r="AH16" i="4"/>
  <c r="BE16" i="4"/>
  <c r="AK16" i="4"/>
  <c r="AN16" i="4"/>
  <c r="BB16" i="4"/>
  <c r="AM16" i="4"/>
  <c r="AL16" i="4"/>
  <c r="AO16" i="4"/>
  <c r="AQ16" i="4"/>
  <c r="AX16" i="4"/>
  <c r="AR16" i="4"/>
  <c r="BG16" i="4"/>
  <c r="AC26" i="2" a="1"/>
  <c r="AC26" i="2" s="1"/>
  <c r="S22" i="4"/>
  <c r="N22" i="13" s="1"/>
  <c r="S32" i="4"/>
  <c r="N32" i="13" s="1"/>
  <c r="AC24" i="2" a="1"/>
  <c r="AC24" i="2" s="1"/>
  <c r="AB15" i="2" a="1"/>
  <c r="AB15" i="2" s="1"/>
  <c r="S12" i="4" s="1"/>
  <c r="N12" i="13" s="1"/>
  <c r="AB8" i="2" a="1"/>
  <c r="AB8" i="2" s="1"/>
  <c r="AC8" i="2" s="1" a="1"/>
  <c r="AC8" i="2" s="1"/>
  <c r="T8" i="2" s="1" a="1"/>
  <c r="T8" i="2" s="1"/>
  <c r="R8" i="2" s="1"/>
  <c r="Z32" i="2" a="1"/>
  <c r="Z32" i="2" s="1"/>
  <c r="Q29" i="4" s="1"/>
  <c r="L29" i="13" s="1"/>
  <c r="Z18" i="2" a="1"/>
  <c r="Z18" i="2" s="1"/>
  <c r="Z9" i="2" a="1"/>
  <c r="Z9" i="2" s="1"/>
  <c r="Q6" i="4" s="1"/>
  <c r="L6" i="13" s="1"/>
  <c r="AA8" i="12"/>
  <c r="Z33" i="12"/>
  <c r="AA18" i="12"/>
  <c r="AC28" i="12"/>
  <c r="AA15" i="12"/>
  <c r="AT17" i="4"/>
  <c r="Z19" i="12"/>
  <c r="AB24" i="12"/>
  <c r="Y29" i="12"/>
  <c r="Z8" i="2" a="1"/>
  <c r="Z8" i="2" s="1"/>
  <c r="P30" i="4"/>
  <c r="K30" i="13" s="1"/>
  <c r="AB18" i="2" a="1"/>
  <c r="AB18" i="2" s="1"/>
  <c r="Z28" i="12"/>
  <c r="T7" i="2" a="1"/>
  <c r="T7" i="2" s="1"/>
  <c r="R7" i="2" s="1"/>
  <c r="S4" i="4"/>
  <c r="N4" i="13" s="1"/>
  <c r="Z15" i="2" a="1"/>
  <c r="Z15" i="2" s="1"/>
  <c r="BI34" i="4"/>
  <c r="Y12" i="12"/>
  <c r="Y17" i="4"/>
  <c r="BE17" i="4"/>
  <c r="AY17" i="4"/>
  <c r="Q22" i="4"/>
  <c r="L22" i="13" s="1"/>
  <c r="AB26" i="12"/>
  <c r="AC11" i="12"/>
  <c r="Y30" i="12"/>
  <c r="AA9" i="12"/>
  <c r="AB34" i="4"/>
  <c r="Z36" i="12"/>
  <c r="AB19" i="12"/>
  <c r="AU17" i="4"/>
  <c r="Y13" i="12"/>
  <c r="Q32" i="4"/>
  <c r="L32" i="13" s="1"/>
  <c r="BL34" i="4"/>
  <c r="X34" i="4"/>
  <c r="BD34" i="4"/>
  <c r="W34" i="4"/>
  <c r="P8" i="4"/>
  <c r="K8" i="13" s="1"/>
  <c r="Q4" i="4"/>
  <c r="L4" i="13" s="1"/>
  <c r="AB9" i="2" a="1"/>
  <c r="AB9" i="2" s="1"/>
  <c r="AA34" i="4"/>
  <c r="Z16" i="12"/>
  <c r="AC19" i="12"/>
  <c r="AB25" i="12"/>
  <c r="Z11" i="12"/>
  <c r="Q21" i="4"/>
  <c r="L21" i="13" s="1"/>
  <c r="P13" i="4"/>
  <c r="K13" i="13" s="1"/>
  <c r="AB36" i="12"/>
  <c r="AA32" i="12"/>
  <c r="AC25" i="12"/>
  <c r="AB11" i="12"/>
  <c r="P25" i="4"/>
  <c r="K25" i="13" s="1"/>
  <c r="BC28" i="4"/>
  <c r="W28" i="4"/>
  <c r="AV28" i="4"/>
  <c r="BI28" i="4"/>
  <c r="AP28" i="4"/>
  <c r="BQ28" i="4"/>
  <c r="AY28" i="4"/>
  <c r="AQ28" i="4"/>
  <c r="AD28" i="4"/>
  <c r="BM28" i="4"/>
  <c r="AL28" i="4"/>
  <c r="BA28" i="4"/>
  <c r="AM28" i="4"/>
  <c r="AW28" i="4"/>
  <c r="AI28" i="4"/>
  <c r="AH28" i="4"/>
  <c r="AU28" i="4"/>
  <c r="BG28" i="4"/>
  <c r="AE28" i="4"/>
  <c r="BE28" i="4"/>
  <c r="BD28" i="4"/>
  <c r="AZ28" i="4"/>
  <c r="BB28" i="4"/>
  <c r="X28" i="4"/>
  <c r="BS28" i="4"/>
  <c r="BT28" i="4"/>
  <c r="BL28" i="4"/>
  <c r="BR28" i="4"/>
  <c r="AS28" i="4"/>
  <c r="AT34" i="4"/>
  <c r="AU34" i="4"/>
  <c r="BB34" i="4"/>
  <c r="BS34" i="4"/>
  <c r="AC36" i="12"/>
  <c r="AB32" i="2" a="1"/>
  <c r="AB32" i="2" s="1"/>
  <c r="S29" i="4" s="1"/>
  <c r="N29" i="13" s="1"/>
  <c r="Q23" i="4"/>
  <c r="L23" i="13" s="1"/>
  <c r="AB28" i="12"/>
  <c r="I25" i="6"/>
  <c r="I8" i="6"/>
  <c r="AN17" i="4"/>
  <c r="AK17" i="4"/>
  <c r="I26" i="6"/>
  <c r="I9" i="6"/>
  <c r="CW9" i="14" l="1"/>
  <c r="CY9" i="14"/>
  <c r="CY27" i="14"/>
  <c r="CW10" i="14"/>
  <c r="CX10" i="14"/>
  <c r="CY10" i="14"/>
  <c r="CX26" i="14"/>
  <c r="CW26" i="14"/>
  <c r="CT10" i="14"/>
  <c r="CQ10" i="14"/>
  <c r="DA10" i="14"/>
  <c r="DB10" i="14"/>
  <c r="CR10" i="14"/>
  <c r="CM10" i="14"/>
  <c r="CP10" i="14"/>
  <c r="CN10" i="14"/>
  <c r="CZ10" i="14"/>
  <c r="CU10" i="14"/>
  <c r="CO10" i="14"/>
  <c r="CS10" i="14"/>
  <c r="CV10" i="14"/>
  <c r="CU16" i="14"/>
  <c r="CP16" i="14"/>
  <c r="DA16" i="14"/>
  <c r="CQ16" i="14"/>
  <c r="DB16" i="14"/>
  <c r="CN16" i="14"/>
  <c r="CV16" i="14"/>
  <c r="CT16" i="14"/>
  <c r="CZ16" i="14"/>
  <c r="CM16" i="14"/>
  <c r="CS16" i="14"/>
  <c r="CR16" i="14"/>
  <c r="CT9" i="14"/>
  <c r="DA9" i="14"/>
  <c r="CN9" i="14"/>
  <c r="CO9" i="14"/>
  <c r="CS9" i="14"/>
  <c r="CR9" i="14"/>
  <c r="CP9" i="14"/>
  <c r="CV9" i="14"/>
  <c r="DB9" i="14"/>
  <c r="CM9" i="14"/>
  <c r="CZ9" i="14"/>
  <c r="CU9" i="14"/>
  <c r="CQ9" i="14"/>
  <c r="W22" i="13"/>
  <c r="V16" i="14"/>
  <c r="BJ16" i="14"/>
  <c r="BR16" i="14"/>
  <c r="CH16" i="14"/>
  <c r="O16" i="14"/>
  <c r="AN16" i="14"/>
  <c r="AV16" i="14"/>
  <c r="BL16" i="14"/>
  <c r="BE16" i="14"/>
  <c r="BU16" i="14"/>
  <c r="Q16" i="14"/>
  <c r="AB16" i="14"/>
  <c r="BF16" i="14"/>
  <c r="BV16" i="14"/>
  <c r="S16" i="14"/>
  <c r="AA16" i="14"/>
  <c r="CE16" i="14"/>
  <c r="W16" i="13" a="1"/>
  <c r="W16" i="13" s="1"/>
  <c r="I16" i="14" s="1"/>
  <c r="CF16" i="14"/>
  <c r="AS16" i="14"/>
  <c r="BA16" i="14"/>
  <c r="BQ16" i="14"/>
  <c r="CA16" i="14"/>
  <c r="BH16" i="14"/>
  <c r="W25" i="13" a="1"/>
  <c r="W25" i="13" s="1"/>
  <c r="BE34" i="4"/>
  <c r="BC34" i="4"/>
  <c r="W27" i="13" a="1"/>
  <c r="W27" i="13" s="1"/>
  <c r="P10" i="14"/>
  <c r="X10" i="14"/>
  <c r="AB10" i="14"/>
  <c r="M10" i="14"/>
  <c r="AC10" i="14"/>
  <c r="AS10" i="14"/>
  <c r="BA10" i="14"/>
  <c r="BI10" i="14"/>
  <c r="BQ10" i="14"/>
  <c r="AD10" i="14"/>
  <c r="AL10" i="14"/>
  <c r="AT10" i="14"/>
  <c r="BB10" i="14"/>
  <c r="BW10" i="14"/>
  <c r="O10" i="14"/>
  <c r="AE10" i="14"/>
  <c r="AM10" i="14"/>
  <c r="CA10" i="14"/>
  <c r="CI10" i="14"/>
  <c r="W10" i="13" a="1"/>
  <c r="W10" i="13" s="1"/>
  <c r="CE10" i="14"/>
  <c r="BD10" i="14"/>
  <c r="BL10" i="14"/>
  <c r="BT10" i="14"/>
  <c r="CB10" i="14"/>
  <c r="AO10" i="14"/>
  <c r="AW10" i="14"/>
  <c r="BE10" i="14"/>
  <c r="BM10" i="14"/>
  <c r="W10" i="14"/>
  <c r="AH10" i="14"/>
  <c r="AP10" i="14"/>
  <c r="AX10" i="14"/>
  <c r="AQ10" i="14"/>
  <c r="Z10" i="14"/>
  <c r="AJ10" i="14"/>
  <c r="AR10" i="14"/>
  <c r="CF10" i="14"/>
  <c r="AY10" i="14"/>
  <c r="I32" i="6"/>
  <c r="BP34" i="4"/>
  <c r="W26" i="13" a="1"/>
  <c r="W26" i="13" s="1"/>
  <c r="W33" i="13" a="1"/>
  <c r="W33" i="13" s="1"/>
  <c r="O9" i="14"/>
  <c r="AE9" i="14"/>
  <c r="BC9" i="14"/>
  <c r="BS9" i="14"/>
  <c r="CA9" i="14"/>
  <c r="Q9" i="14"/>
  <c r="AO9" i="14"/>
  <c r="BE9" i="14"/>
  <c r="BM9" i="14"/>
  <c r="AA9" i="14"/>
  <c r="AQ9" i="14"/>
  <c r="AY9" i="14"/>
  <c r="BO9" i="14"/>
  <c r="L9" i="14"/>
  <c r="AB9" i="14"/>
  <c r="AJ9" i="14"/>
  <c r="AZ9" i="14"/>
  <c r="BX9" i="14"/>
  <c r="M9" i="14"/>
  <c r="U9" i="14"/>
  <c r="AK9" i="14"/>
  <c r="BI9" i="14"/>
  <c r="BY9" i="14"/>
  <c r="CG9" i="14"/>
  <c r="AT9" i="14"/>
  <c r="Z9" i="14"/>
  <c r="BR9" i="14"/>
  <c r="AD9" i="14"/>
  <c r="N9" i="14"/>
  <c r="AH9" i="14"/>
  <c r="BZ9" i="14"/>
  <c r="P9" i="14"/>
  <c r="BF9" i="14"/>
  <c r="CB9" i="14"/>
  <c r="BL9" i="14"/>
  <c r="W9" i="13" a="1"/>
  <c r="W9" i="13" s="1"/>
  <c r="I9" i="14" s="1"/>
  <c r="AC35" i="12"/>
  <c r="AB35" i="12"/>
  <c r="AG17" i="4"/>
  <c r="BK34" i="4"/>
  <c r="BT34" i="4"/>
  <c r="BS17" i="4"/>
  <c r="BI17" i="4"/>
  <c r="AM34" i="4"/>
  <c r="BB17" i="4"/>
  <c r="BQ17" i="4"/>
  <c r="AY34" i="4"/>
  <c r="T23" i="4"/>
  <c r="AC23" i="4"/>
  <c r="BG23" i="4"/>
  <c r="AN23" i="4"/>
  <c r="AV23" i="4"/>
  <c r="AM23" i="4"/>
  <c r="AX23" i="4"/>
  <c r="BI23" i="4"/>
  <c r="AZ23" i="4"/>
  <c r="AZ24" i="4" s="1"/>
  <c r="AT23" i="4"/>
  <c r="BL23" i="4"/>
  <c r="X23" i="4"/>
  <c r="AS23" i="4"/>
  <c r="AJ23" i="4"/>
  <c r="AA23" i="4"/>
  <c r="AI23" i="4"/>
  <c r="AU23" i="4"/>
  <c r="AP23" i="4"/>
  <c r="AF23" i="4"/>
  <c r="AE23" i="4"/>
  <c r="AL23" i="4"/>
  <c r="BC23" i="4"/>
  <c r="AB23" i="4"/>
  <c r="Z23" i="4"/>
  <c r="AH23" i="4"/>
  <c r="BP23" i="4"/>
  <c r="AY23" i="4"/>
  <c r="W23" i="4"/>
  <c r="BR23" i="4"/>
  <c r="AD23" i="4"/>
  <c r="AO23" i="4"/>
  <c r="BS23" i="4"/>
  <c r="T26" i="2" a="1"/>
  <c r="T26" i="2" s="1"/>
  <c r="R26" i="2" s="1"/>
  <c r="BN23" i="4"/>
  <c r="Y23" i="4"/>
  <c r="AG23" i="4"/>
  <c r="BK23" i="4"/>
  <c r="BB23" i="4"/>
  <c r="BF23" i="4"/>
  <c r="AQ23" i="4"/>
  <c r="BM23" i="4"/>
  <c r="BM24" i="4" s="1"/>
  <c r="BD23" i="4"/>
  <c r="BQ23" i="4"/>
  <c r="AK23" i="4"/>
  <c r="BH23" i="4"/>
  <c r="BO23" i="4"/>
  <c r="BT23" i="4"/>
  <c r="BJ23" i="4"/>
  <c r="BA23" i="4"/>
  <c r="BA24" i="4" s="1"/>
  <c r="AW23" i="4"/>
  <c r="AR23" i="4"/>
  <c r="BE23" i="4"/>
  <c r="T21" i="4"/>
  <c r="O21" i="13" s="1"/>
  <c r="BS21" i="4"/>
  <c r="BL21" i="4"/>
  <c r="AY21" i="4"/>
  <c r="Z21" i="4"/>
  <c r="Z24" i="4" s="1"/>
  <c r="AS21" i="4"/>
  <c r="BK21" i="4"/>
  <c r="BC21" i="4"/>
  <c r="T24" i="2" a="1"/>
  <c r="T24" i="2" s="1"/>
  <c r="R24" i="2" s="1"/>
  <c r="BP21" i="4"/>
  <c r="AU21" i="4"/>
  <c r="AG21" i="4"/>
  <c r="AV21" i="4"/>
  <c r="AV24" i="4" s="1"/>
  <c r="AQ21" i="4"/>
  <c r="BN21" i="4"/>
  <c r="Y21" i="4"/>
  <c r="AI21" i="4"/>
  <c r="AI24" i="4" s="1"/>
  <c r="AN21" i="4"/>
  <c r="BA21" i="4"/>
  <c r="BT21" i="4"/>
  <c r="AL21" i="4"/>
  <c r="AL24" i="4" s="1"/>
  <c r="AE21" i="4"/>
  <c r="AA21" i="4"/>
  <c r="BG21" i="4"/>
  <c r="AM21" i="4"/>
  <c r="AM24" i="4" s="1"/>
  <c r="AB21" i="4"/>
  <c r="BO21" i="4"/>
  <c r="AT21" i="4"/>
  <c r="AH21" i="4"/>
  <c r="AH24" i="4" s="1"/>
  <c r="BB21" i="4"/>
  <c r="BF21" i="4"/>
  <c r="BR21" i="4"/>
  <c r="W21" i="4"/>
  <c r="W24" i="4" s="1"/>
  <c r="AX21" i="4"/>
  <c r="BD21" i="4"/>
  <c r="BH21" i="4"/>
  <c r="X21" i="4"/>
  <c r="X24" i="4" s="1"/>
  <c r="AR21" i="4"/>
  <c r="AC21" i="4"/>
  <c r="BM21" i="4"/>
  <c r="AO21" i="4"/>
  <c r="BI21" i="4"/>
  <c r="AD21" i="4"/>
  <c r="BQ21" i="4"/>
  <c r="AK21" i="4"/>
  <c r="AK24" i="4" s="1"/>
  <c r="AF21" i="4"/>
  <c r="BE21" i="4"/>
  <c r="AZ21" i="4"/>
  <c r="AJ21" i="4"/>
  <c r="AJ24" i="4" s="1"/>
  <c r="AW21" i="4"/>
  <c r="AP21" i="4"/>
  <c r="BJ21" i="4"/>
  <c r="AC24" i="12"/>
  <c r="S5" i="4"/>
  <c r="N5" i="13" s="1"/>
  <c r="Q15" i="4"/>
  <c r="L15" i="13" s="1"/>
  <c r="AB15" i="12"/>
  <c r="BH34" i="4"/>
  <c r="Y32" i="2" a="1"/>
  <c r="Y32" i="2" s="1"/>
  <c r="T5" i="4"/>
  <c r="O5" i="13" s="1"/>
  <c r="BL5" i="4"/>
  <c r="BF5" i="4"/>
  <c r="BE5" i="4"/>
  <c r="AU5" i="4"/>
  <c r="AX5" i="4"/>
  <c r="BM5" i="4"/>
  <c r="BJ5" i="4"/>
  <c r="Y5" i="4"/>
  <c r="BP5" i="4"/>
  <c r="AV5" i="4"/>
  <c r="BA5" i="4"/>
  <c r="AQ5" i="4"/>
  <c r="BD5" i="4"/>
  <c r="BI5" i="4"/>
  <c r="AS5" i="4"/>
  <c r="AR5" i="4"/>
  <c r="W5" i="4"/>
  <c r="BT5" i="4"/>
  <c r="AM5" i="4"/>
  <c r="BG5" i="4"/>
  <c r="AZ5" i="4"/>
  <c r="BH5" i="4"/>
  <c r="BQ5" i="4"/>
  <c r="BS5" i="4"/>
  <c r="AO5" i="4"/>
  <c r="AN5" i="4"/>
  <c r="AY5" i="4"/>
  <c r="AI5" i="4"/>
  <c r="AC5" i="4"/>
  <c r="Z5" i="4"/>
  <c r="AT5" i="4"/>
  <c r="BO5" i="4"/>
  <c r="AJ5" i="4"/>
  <c r="AG5" i="4"/>
  <c r="AK5" i="4"/>
  <c r="AE5" i="4"/>
  <c r="AP5" i="4"/>
  <c r="BK5" i="4"/>
  <c r="AF5" i="4"/>
  <c r="BC5" i="4"/>
  <c r="AL5" i="4"/>
  <c r="AW5" i="4"/>
  <c r="AD5" i="4"/>
  <c r="BB5" i="4"/>
  <c r="AB5" i="4"/>
  <c r="BR5" i="4"/>
  <c r="AH5" i="4"/>
  <c r="X5" i="4"/>
  <c r="BN5" i="4"/>
  <c r="AA5" i="4"/>
  <c r="AZ4" i="4"/>
  <c r="BO4" i="4"/>
  <c r="AG4" i="4"/>
  <c r="BG4" i="4"/>
  <c r="AY4" i="4"/>
  <c r="AD4" i="4"/>
  <c r="W4" i="4"/>
  <c r="BJ4" i="4"/>
  <c r="BA4" i="4"/>
  <c r="AP4" i="4"/>
  <c r="BM4" i="4"/>
  <c r="AX4" i="4"/>
  <c r="AK4" i="4"/>
  <c r="BC4" i="4"/>
  <c r="AE4" i="4"/>
  <c r="BQ4" i="4"/>
  <c r="BR4" i="4"/>
  <c r="AO4" i="4"/>
  <c r="AC4" i="4"/>
  <c r="BS4" i="4"/>
  <c r="BK4" i="4"/>
  <c r="BN4" i="4"/>
  <c r="X4" i="4"/>
  <c r="AM4" i="4"/>
  <c r="AQ4" i="4"/>
  <c r="BI4" i="4"/>
  <c r="AJ4" i="4"/>
  <c r="AI4" i="4"/>
  <c r="AU4" i="4"/>
  <c r="AN4" i="4"/>
  <c r="AH4" i="4"/>
  <c r="BH4" i="4"/>
  <c r="AT4" i="4"/>
  <c r="BE4" i="4"/>
  <c r="BF4" i="4"/>
  <c r="BT4" i="4"/>
  <c r="AV4" i="4"/>
  <c r="AF4" i="4"/>
  <c r="AR4" i="4"/>
  <c r="BP4" i="4"/>
  <c r="BB4" i="4"/>
  <c r="BL4" i="4"/>
  <c r="AW4" i="4"/>
  <c r="AL4" i="4"/>
  <c r="AA4" i="4"/>
  <c r="BD4" i="4"/>
  <c r="Z4" i="4"/>
  <c r="AB4" i="4"/>
  <c r="AS4" i="4"/>
  <c r="Y4" i="4"/>
  <c r="I16" i="15"/>
  <c r="BI24" i="4"/>
  <c r="AA24" i="4"/>
  <c r="BR24" i="4"/>
  <c r="Y24" i="4"/>
  <c r="AG24" i="4"/>
  <c r="BT11" i="4"/>
  <c r="AD11" i="4"/>
  <c r="AP34" i="4"/>
  <c r="Z32" i="12"/>
  <c r="AD24" i="4"/>
  <c r="AF24" i="4"/>
  <c r="BL24" i="4"/>
  <c r="BT24" i="4"/>
  <c r="AE24" i="4"/>
  <c r="AN11" i="4"/>
  <c r="AV11" i="4"/>
  <c r="BG11" i="4"/>
  <c r="BN11" i="4"/>
  <c r="AY11" i="4"/>
  <c r="BM11" i="4"/>
  <c r="AD34" i="4"/>
  <c r="AW34" i="4"/>
  <c r="AI34" i="4"/>
  <c r="Z25" i="12"/>
  <c r="BI11" i="4"/>
  <c r="Y16" i="12"/>
  <c r="BK11" i="4"/>
  <c r="BJ34" i="4"/>
  <c r="H10" i="15"/>
  <c r="O10" i="15"/>
  <c r="BQ24" i="4"/>
  <c r="AT24" i="4"/>
  <c r="BD24" i="4"/>
  <c r="BH24" i="4"/>
  <c r="Z7" i="12"/>
  <c r="AH11" i="4"/>
  <c r="AQ11" i="4"/>
  <c r="I24" i="6"/>
  <c r="I7" i="6"/>
  <c r="W11" i="4"/>
  <c r="AG11" i="4"/>
  <c r="BB11" i="4"/>
  <c r="BR11" i="4"/>
  <c r="AH34" i="4"/>
  <c r="AQ34" i="4"/>
  <c r="AC11" i="4"/>
  <c r="AC18" i="2" a="1"/>
  <c r="AC18" i="2" s="1"/>
  <c r="S15" i="4"/>
  <c r="N15" i="13" s="1"/>
  <c r="H28" i="15"/>
  <c r="I9" i="15"/>
  <c r="O9" i="15"/>
  <c r="Z26" i="12"/>
  <c r="AR24" i="4"/>
  <c r="AP24" i="4"/>
  <c r="AN24" i="4"/>
  <c r="AB24" i="4"/>
  <c r="BO24" i="4"/>
  <c r="Z11" i="4"/>
  <c r="AL11" i="4"/>
  <c r="AJ11" i="4"/>
  <c r="BJ11" i="4"/>
  <c r="AW11" i="4"/>
  <c r="AA11" i="4"/>
  <c r="BC11" i="4"/>
  <c r="AC34" i="4"/>
  <c r="AX34" i="4"/>
  <c r="BO34" i="4"/>
  <c r="AL34" i="4"/>
  <c r="Y15" i="2" a="1"/>
  <c r="Y15" i="2" s="1"/>
  <c r="Q12" i="4"/>
  <c r="L12" i="13" s="1"/>
  <c r="Q5" i="4"/>
  <c r="L5" i="13" s="1"/>
  <c r="I4" i="6"/>
  <c r="BK24" i="4"/>
  <c r="AO11" i="4"/>
  <c r="AF11" i="4"/>
  <c r="BG34" i="4"/>
  <c r="I27" i="15"/>
  <c r="Y28" i="12"/>
  <c r="AW24" i="4"/>
  <c r="BJ24" i="4"/>
  <c r="BG24" i="4"/>
  <c r="BP24" i="4"/>
  <c r="BC24" i="4"/>
  <c r="Z24" i="12"/>
  <c r="BH11" i="4"/>
  <c r="AT11" i="4"/>
  <c r="AK11" i="4"/>
  <c r="BA11" i="4"/>
  <c r="AZ11" i="4"/>
  <c r="AX11" i="4"/>
  <c r="AP11" i="4"/>
  <c r="BR34" i="4"/>
  <c r="AO34" i="4"/>
  <c r="BN34" i="4"/>
  <c r="AG34" i="4"/>
  <c r="Y34" i="4"/>
  <c r="AB7" i="12"/>
  <c r="BE11" i="4"/>
  <c r="AE11" i="4"/>
  <c r="BM34" i="4"/>
  <c r="BS24" i="4"/>
  <c r="AS24" i="4"/>
  <c r="BL11" i="4"/>
  <c r="AU11" i="4"/>
  <c r="BN24" i="4"/>
  <c r="AQ24" i="4"/>
  <c r="H16" i="15"/>
  <c r="BD11" i="4"/>
  <c r="AB11" i="4"/>
  <c r="AS11" i="4"/>
  <c r="AR11" i="4"/>
  <c r="BS11" i="4"/>
  <c r="AM11" i="4"/>
  <c r="Y11" i="12"/>
  <c r="BF34" i="4"/>
  <c r="Z34" i="4"/>
  <c r="Z35" i="12"/>
  <c r="T4" i="4"/>
  <c r="O4" i="13" s="1"/>
  <c r="Z18" i="12"/>
  <c r="AC9" i="2" a="1"/>
  <c r="AC9" i="2" s="1"/>
  <c r="T9" i="2" s="1" a="1"/>
  <c r="T9" i="2" s="1"/>
  <c r="R9" i="2" s="1"/>
  <c r="S6" i="4"/>
  <c r="N6" i="13" s="1"/>
  <c r="BA34" i="4"/>
  <c r="Y11" i="4"/>
  <c r="CC9" i="14"/>
  <c r="BB9" i="14"/>
  <c r="BW9" i="14"/>
  <c r="AC9" i="14"/>
  <c r="R9" i="14"/>
  <c r="CE9" i="14"/>
  <c r="AS9" i="14"/>
  <c r="J9" i="14"/>
  <c r="S9" i="14"/>
  <c r="BQ9" i="14"/>
  <c r="AN9" i="14"/>
  <c r="AF9" i="14"/>
  <c r="CI9" i="14"/>
  <c r="BN9" i="14"/>
  <c r="BV9" i="14"/>
  <c r="AM9" i="14"/>
  <c r="AX9" i="14"/>
  <c r="W9" i="14"/>
  <c r="BD9" i="14"/>
  <c r="K9" i="14"/>
  <c r="BK9" i="14"/>
  <c r="Y9" i="14"/>
  <c r="AG9" i="14"/>
  <c r="CF9" i="14"/>
  <c r="AI9" i="14"/>
  <c r="BU9" i="14"/>
  <c r="AW9" i="14"/>
  <c r="CH9" i="14"/>
  <c r="CJ9" i="14"/>
  <c r="BA9" i="14"/>
  <c r="AP9" i="14"/>
  <c r="BH9" i="14"/>
  <c r="AL9" i="14"/>
  <c r="AV9" i="14"/>
  <c r="CD9" i="14"/>
  <c r="AU9" i="14"/>
  <c r="BP9" i="14"/>
  <c r="BG9" i="14"/>
  <c r="AR9" i="14"/>
  <c r="T9" i="14"/>
  <c r="V9" i="14"/>
  <c r="BT9" i="14"/>
  <c r="BJ9" i="14"/>
  <c r="X9" i="14"/>
  <c r="AT16" i="14"/>
  <c r="AF16" i="14"/>
  <c r="BS16" i="14"/>
  <c r="AH16" i="14"/>
  <c r="BK16" i="14"/>
  <c r="X16" i="14"/>
  <c r="BY16" i="14"/>
  <c r="AI16" i="14"/>
  <c r="BI16" i="14"/>
  <c r="BW16" i="14"/>
  <c r="T16" i="14"/>
  <c r="Y16" i="14"/>
  <c r="BZ16" i="14"/>
  <c r="Z16" i="14"/>
  <c r="BG16" i="14"/>
  <c r="BC16" i="14"/>
  <c r="CB16" i="14"/>
  <c r="CG16" i="14"/>
  <c r="BD16" i="14"/>
  <c r="AK16" i="14"/>
  <c r="BN16" i="14"/>
  <c r="BO16" i="14"/>
  <c r="BB16" i="14"/>
  <c r="AD16" i="14"/>
  <c r="AW16" i="14"/>
  <c r="AR16" i="14"/>
  <c r="AP16" i="14"/>
  <c r="W16" i="14"/>
  <c r="P16" i="14"/>
  <c r="AC16" i="14"/>
  <c r="AE16" i="14"/>
  <c r="BX16" i="14"/>
  <c r="R16" i="14"/>
  <c r="AO16" i="14"/>
  <c r="BT16" i="14"/>
  <c r="CD16" i="14"/>
  <c r="AZ16" i="14"/>
  <c r="AY16" i="14"/>
  <c r="J16" i="14"/>
  <c r="U16" i="14"/>
  <c r="AL16" i="14"/>
  <c r="N16" i="14"/>
  <c r="AB32" i="12"/>
  <c r="BE24" i="4"/>
  <c r="AC24" i="4"/>
  <c r="AX24" i="4"/>
  <c r="AY24" i="4"/>
  <c r="BB24" i="4"/>
  <c r="BF24" i="4"/>
  <c r="BP11" i="4"/>
  <c r="BQ11" i="4"/>
  <c r="X11" i="4"/>
  <c r="BF11" i="4"/>
  <c r="BO11" i="4"/>
  <c r="AI11" i="4"/>
  <c r="BQ34" i="4"/>
  <c r="AI10" i="14"/>
  <c r="AA10" i="14"/>
  <c r="T10" i="14"/>
  <c r="AZ10" i="14"/>
  <c r="BC10" i="14"/>
  <c r="CG10" i="14"/>
  <c r="I10" i="14"/>
  <c r="L10" i="14"/>
  <c r="AN10" i="14"/>
  <c r="BO10" i="14"/>
  <c r="BG10" i="14"/>
  <c r="BX10" i="14"/>
  <c r="S10" i="14"/>
  <c r="BZ10" i="14"/>
  <c r="Y10" i="14"/>
  <c r="BV10" i="14"/>
  <c r="Q10" i="14"/>
  <c r="AU10" i="14"/>
  <c r="N10" i="14"/>
  <c r="AV10" i="14"/>
  <c r="J10" i="14"/>
  <c r="BN10" i="14"/>
  <c r="BP10" i="14"/>
  <c r="AK10" i="14"/>
  <c r="BR10" i="14"/>
  <c r="CC10" i="14"/>
  <c r="BU10" i="14"/>
  <c r="K10" i="14"/>
  <c r="U10" i="14"/>
  <c r="BJ10" i="14"/>
  <c r="AF10" i="14"/>
  <c r="BF10" i="14"/>
  <c r="V10" i="14"/>
  <c r="AG10" i="14"/>
  <c r="BY10" i="14"/>
  <c r="CJ10" i="14"/>
  <c r="BK10" i="14"/>
  <c r="CD10" i="14"/>
  <c r="CH10" i="14"/>
  <c r="BH10" i="14"/>
  <c r="BS10" i="14"/>
  <c r="R10" i="14"/>
  <c r="I29" i="6"/>
  <c r="Y33" i="12"/>
  <c r="AB8" i="12"/>
  <c r="Z9" i="12"/>
  <c r="CX27" i="14" l="1"/>
  <c r="CW27" i="14"/>
  <c r="CY26" i="14"/>
  <c r="W13" i="13"/>
  <c r="CX9" i="14"/>
  <c r="CR26" i="14"/>
  <c r="CU26" i="14"/>
  <c r="CM33" i="14"/>
  <c r="CO33" i="14"/>
  <c r="CR27" i="14"/>
  <c r="DB26" i="14"/>
  <c r="DA26" i="14"/>
  <c r="DA33" i="14"/>
  <c r="DB33" i="14"/>
  <c r="CO27" i="14"/>
  <c r="CQ27" i="14"/>
  <c r="CO26" i="14"/>
  <c r="CV33" i="14"/>
  <c r="CQ33" i="14"/>
  <c r="CN27" i="14"/>
  <c r="CO16" i="14"/>
  <c r="CO17" i="14" s="1"/>
  <c r="CN26" i="14"/>
  <c r="CR33" i="14"/>
  <c r="CP33" i="14"/>
  <c r="CV27" i="14"/>
  <c r="CT26" i="14"/>
  <c r="CU33" i="14"/>
  <c r="CU27" i="14"/>
  <c r="DA27" i="14"/>
  <c r="CM26" i="14"/>
  <c r="CZ26" i="14"/>
  <c r="CS33" i="14"/>
  <c r="CT27" i="14"/>
  <c r="CS27" i="14"/>
  <c r="CV26" i="14"/>
  <c r="CQ26" i="14"/>
  <c r="CT33" i="14"/>
  <c r="DB27" i="14"/>
  <c r="CP27" i="14"/>
  <c r="CZ30" i="14"/>
  <c r="CZ13" i="14"/>
  <c r="CV13" i="14"/>
  <c r="CM13" i="14"/>
  <c r="CT13" i="14"/>
  <c r="CQ13" i="14"/>
  <c r="CR13" i="14"/>
  <c r="DA13" i="14"/>
  <c r="CP13" i="14"/>
  <c r="CO13" i="14"/>
  <c r="CU13" i="14"/>
  <c r="DB13" i="14"/>
  <c r="CS13" i="14"/>
  <c r="CN13" i="14"/>
  <c r="CP26" i="14"/>
  <c r="CS26" i="14"/>
  <c r="CZ33" i="14"/>
  <c r="CN33" i="14"/>
  <c r="CM27" i="14"/>
  <c r="CZ27" i="14"/>
  <c r="N13" i="14"/>
  <c r="O13" i="14"/>
  <c r="AL13" i="14"/>
  <c r="BJ13" i="14"/>
  <c r="BR13" i="14"/>
  <c r="BZ13" i="14"/>
  <c r="BW13" i="14"/>
  <c r="AM13" i="14"/>
  <c r="AU13" i="14"/>
  <c r="BK13" i="14"/>
  <c r="CI13" i="14"/>
  <c r="Y13" i="14"/>
  <c r="AG13" i="14"/>
  <c r="AN13" i="14"/>
  <c r="BL13" i="14"/>
  <c r="CE13" i="14"/>
  <c r="J13" i="14"/>
  <c r="R13" i="14"/>
  <c r="BE13" i="14"/>
  <c r="CC13" i="14"/>
  <c r="L13" i="14"/>
  <c r="AY13" i="14"/>
  <c r="AX13" i="14"/>
  <c r="BF13" i="14"/>
  <c r="BN13" i="14"/>
  <c r="AC13" i="14"/>
  <c r="AK13" i="14"/>
  <c r="AR13" i="14"/>
  <c r="BP13" i="14"/>
  <c r="I13" i="14"/>
  <c r="BG13" i="14"/>
  <c r="W21" i="13"/>
  <c r="W34" i="13"/>
  <c r="W8" i="13" a="1"/>
  <c r="W8" i="13" s="1"/>
  <c r="AO24" i="4"/>
  <c r="W28" i="13"/>
  <c r="AU24" i="4"/>
  <c r="T15" i="4"/>
  <c r="O15" i="13" s="1"/>
  <c r="T18" i="2" a="1"/>
  <c r="T18" i="2" s="1"/>
  <c r="R18" i="2" s="1"/>
  <c r="AM17" i="4"/>
  <c r="BH17" i="4"/>
  <c r="AW17" i="4"/>
  <c r="O23" i="13"/>
  <c r="AC26" i="12"/>
  <c r="T15" i="2" a="1"/>
  <c r="T15" i="2" s="1"/>
  <c r="R15" i="2" s="1"/>
  <c r="R21" i="2" s="1"/>
  <c r="AS31" i="4"/>
  <c r="AS35" i="4" s="1"/>
  <c r="BM31" i="4"/>
  <c r="BM35" i="4" s="1"/>
  <c r="BQ31" i="4"/>
  <c r="BQ35" i="4" s="1"/>
  <c r="AC31" i="4"/>
  <c r="AC35" i="4" s="1"/>
  <c r="BP31" i="4"/>
  <c r="BP35" i="4" s="1"/>
  <c r="BG31" i="4"/>
  <c r="BG35" i="4" s="1"/>
  <c r="AT31" i="4"/>
  <c r="AT35" i="4" s="1"/>
  <c r="AD31" i="4"/>
  <c r="AD35" i="4" s="1"/>
  <c r="AV31" i="4"/>
  <c r="AV35" i="4" s="1"/>
  <c r="BA31" i="4"/>
  <c r="BA35" i="4" s="1"/>
  <c r="AW31" i="4"/>
  <c r="AW35" i="4" s="1"/>
  <c r="AY31" i="4"/>
  <c r="AY35" i="4" s="1"/>
  <c r="AM31" i="4"/>
  <c r="AM35" i="4" s="1"/>
  <c r="AI31" i="4"/>
  <c r="AI35" i="4" s="1"/>
  <c r="AU31" i="4"/>
  <c r="AU35" i="4" s="1"/>
  <c r="AQ31" i="4"/>
  <c r="AQ35" i="4" s="1"/>
  <c r="AX31" i="4"/>
  <c r="AX35" i="4" s="1"/>
  <c r="BC31" i="4"/>
  <c r="BC35" i="4" s="1"/>
  <c r="BI31" i="4"/>
  <c r="BI35" i="4" s="1"/>
  <c r="AN31" i="4"/>
  <c r="AN35" i="4" s="1"/>
  <c r="BB31" i="4"/>
  <c r="BB35" i="4" s="1"/>
  <c r="BH31" i="4"/>
  <c r="BH35" i="4" s="1"/>
  <c r="T32" i="2" a="1"/>
  <c r="T32" i="2" s="1"/>
  <c r="R32" i="2" s="1"/>
  <c r="R38" i="2" s="1"/>
  <c r="BD31" i="4"/>
  <c r="BD35" i="4" s="1"/>
  <c r="AP31" i="4"/>
  <c r="AP35" i="4" s="1"/>
  <c r="AZ31" i="4"/>
  <c r="AZ35" i="4" s="1"/>
  <c r="BL31" i="4"/>
  <c r="BL35" i="4" s="1"/>
  <c r="AL31" i="4"/>
  <c r="AL35" i="4" s="1"/>
  <c r="AK31" i="4"/>
  <c r="AK35" i="4" s="1"/>
  <c r="AI17" i="4"/>
  <c r="BG17" i="4"/>
  <c r="BT31" i="4"/>
  <c r="BT35" i="4" s="1"/>
  <c r="AC8" i="12"/>
  <c r="BO31" i="4"/>
  <c r="AH27" i="14"/>
  <c r="AA31" i="4"/>
  <c r="AA35" i="4" s="1"/>
  <c r="P29" i="4"/>
  <c r="K29" i="13" s="1"/>
  <c r="X31" i="4"/>
  <c r="X35" i="4" s="1"/>
  <c r="BE31" i="4"/>
  <c r="BE35" i="4" s="1"/>
  <c r="CB27" i="14"/>
  <c r="AF31" i="4"/>
  <c r="AF35" i="4" s="1"/>
  <c r="W31" i="4"/>
  <c r="AG31" i="4"/>
  <c r="AG35" i="4" s="1"/>
  <c r="AY33" i="14"/>
  <c r="BU33" i="14"/>
  <c r="AI33" i="14"/>
  <c r="BR33" i="14"/>
  <c r="AP33" i="14"/>
  <c r="AH33" i="14"/>
  <c r="N33" i="14"/>
  <c r="AZ33" i="14"/>
  <c r="W33" i="14"/>
  <c r="I26" i="14"/>
  <c r="R26" i="14"/>
  <c r="AW26" i="14"/>
  <c r="BC26" i="14"/>
  <c r="CB26" i="14"/>
  <c r="AB26" i="14"/>
  <c r="BQ26" i="14"/>
  <c r="AK26" i="14"/>
  <c r="BK26" i="14"/>
  <c r="AE26" i="14"/>
  <c r="BM27" i="14"/>
  <c r="R27" i="14"/>
  <c r="BT27" i="14"/>
  <c r="U27" i="14"/>
  <c r="BW27" i="14"/>
  <c r="AW27" i="14"/>
  <c r="T6" i="4"/>
  <c r="O6" i="13" s="1"/>
  <c r="W6" i="4"/>
  <c r="W7" i="4" s="1"/>
  <c r="BR6" i="4"/>
  <c r="BA6" i="4"/>
  <c r="AL6" i="4"/>
  <c r="AT6" i="4"/>
  <c r="BB6" i="4"/>
  <c r="BC6" i="4"/>
  <c r="AP6" i="4"/>
  <c r="BN6" i="4"/>
  <c r="AQ6" i="4"/>
  <c r="AH6" i="4"/>
  <c r="BG6" i="4"/>
  <c r="AY6" i="4"/>
  <c r="BJ6" i="4"/>
  <c r="BJ7" i="4" s="1"/>
  <c r="BS6" i="4"/>
  <c r="AM6" i="4"/>
  <c r="AX6" i="4"/>
  <c r="AD6" i="4"/>
  <c r="AO6" i="4"/>
  <c r="BE6" i="4"/>
  <c r="BH6" i="4"/>
  <c r="BF6" i="4"/>
  <c r="AI6" i="4"/>
  <c r="BQ6" i="4"/>
  <c r="BK6" i="4"/>
  <c r="Y6" i="4"/>
  <c r="AK6" i="4"/>
  <c r="AW6" i="4"/>
  <c r="AV6" i="4"/>
  <c r="AN6" i="4"/>
  <c r="AE6" i="4"/>
  <c r="BM6" i="4"/>
  <c r="AF6" i="4"/>
  <c r="BT6" i="4"/>
  <c r="AG6" i="4"/>
  <c r="AS6" i="4"/>
  <c r="Z6" i="4"/>
  <c r="AJ6" i="4"/>
  <c r="BI6" i="4"/>
  <c r="AR6" i="4"/>
  <c r="AR7" i="4" s="1"/>
  <c r="BD6" i="4"/>
  <c r="BP6" i="4"/>
  <c r="AC6" i="4"/>
  <c r="AU6" i="4"/>
  <c r="AZ6" i="4"/>
  <c r="BL6" i="4"/>
  <c r="BO6" i="4"/>
  <c r="X6" i="4"/>
  <c r="AB6" i="4"/>
  <c r="AA6" i="4"/>
  <c r="L28" i="15"/>
  <c r="I13" i="15"/>
  <c r="AJ33" i="14"/>
  <c r="AJ34" i="14" s="1"/>
  <c r="BD17" i="4"/>
  <c r="CC16" i="14"/>
  <c r="CC17" i="14" s="1"/>
  <c r="CJ16" i="14"/>
  <c r="CJ17" i="14" s="1"/>
  <c r="AZ27" i="14"/>
  <c r="AI27" i="14"/>
  <c r="AR27" i="14"/>
  <c r="T27" i="14"/>
  <c r="BK27" i="14"/>
  <c r="BL27" i="14"/>
  <c r="L27" i="14"/>
  <c r="AT27" i="14"/>
  <c r="AN27" i="14"/>
  <c r="CJ27" i="14"/>
  <c r="AC7" i="12"/>
  <c r="L16" i="15"/>
  <c r="BH33" i="14"/>
  <c r="AL33" i="14"/>
  <c r="I33" i="14"/>
  <c r="AN33" i="14"/>
  <c r="AR33" i="14"/>
  <c r="AB33" i="14"/>
  <c r="T33" i="14"/>
  <c r="AS33" i="14"/>
  <c r="Y33" i="14"/>
  <c r="BJ33" i="14"/>
  <c r="G13" i="15"/>
  <c r="BT26" i="14"/>
  <c r="AQ26" i="14"/>
  <c r="BM26" i="14"/>
  <c r="BA26" i="14"/>
  <c r="AD26" i="14"/>
  <c r="BS26" i="14"/>
  <c r="AH26" i="14"/>
  <c r="BH26" i="14"/>
  <c r="CE26" i="14"/>
  <c r="BY26" i="14"/>
  <c r="I21" i="6"/>
  <c r="L10" i="15"/>
  <c r="AJ31" i="4"/>
  <c r="AJ35" i="4" s="1"/>
  <c r="BR31" i="4"/>
  <c r="BR35" i="4" s="1"/>
  <c r="AB31" i="4"/>
  <c r="AB35" i="4" s="1"/>
  <c r="BK31" i="4"/>
  <c r="BK35" i="4" s="1"/>
  <c r="G31" i="15"/>
  <c r="H31" i="15"/>
  <c r="I31" i="15"/>
  <c r="O31" i="15"/>
  <c r="L34" i="15"/>
  <c r="AX16" i="14"/>
  <c r="AX17" i="14" s="1"/>
  <c r="BP16" i="14"/>
  <c r="BP17" i="14" s="1"/>
  <c r="AJ16" i="14"/>
  <c r="AJ17" i="14" s="1"/>
  <c r="BP27" i="14"/>
  <c r="AM27" i="14"/>
  <c r="BG27" i="14"/>
  <c r="AJ27" i="14"/>
  <c r="AY27" i="14"/>
  <c r="AA27" i="14"/>
  <c r="J27" i="14"/>
  <c r="Q27" i="14"/>
  <c r="AV27" i="14"/>
  <c r="AP27" i="14"/>
  <c r="BO17" i="4"/>
  <c r="AJ17" i="4"/>
  <c r="L27" i="15"/>
  <c r="Z8" i="12"/>
  <c r="AG33" i="14"/>
  <c r="U33" i="14"/>
  <c r="BA33" i="14"/>
  <c r="Z33" i="14"/>
  <c r="CC33" i="14"/>
  <c r="CC34" i="14" s="1"/>
  <c r="CB33" i="14"/>
  <c r="BL33" i="14"/>
  <c r="L33" i="14"/>
  <c r="BZ33" i="14"/>
  <c r="AF33" i="14"/>
  <c r="H13" i="15"/>
  <c r="AU26" i="14"/>
  <c r="AG26" i="14"/>
  <c r="CD26" i="14"/>
  <c r="BF26" i="14"/>
  <c r="BR26" i="14"/>
  <c r="W26" i="14"/>
  <c r="U26" i="14"/>
  <c r="Q26" i="14"/>
  <c r="CJ26" i="14"/>
  <c r="CH26" i="14"/>
  <c r="L8" i="15"/>
  <c r="I10" i="6"/>
  <c r="J8" i="15" s="1"/>
  <c r="H8" i="15"/>
  <c r="I8" i="15"/>
  <c r="O8" i="15"/>
  <c r="G16" i="15"/>
  <c r="Y31" i="4"/>
  <c r="Y35" i="4" s="1"/>
  <c r="AO31" i="4"/>
  <c r="AO35" i="4" s="1"/>
  <c r="L16" i="14"/>
  <c r="L17" i="14" s="1"/>
  <c r="K16" i="14"/>
  <c r="K17" i="14" s="1"/>
  <c r="BR27" i="14"/>
  <c r="BE27" i="14"/>
  <c r="AB27" i="14"/>
  <c r="AK27" i="14"/>
  <c r="O27" i="14"/>
  <c r="AQ27" i="14"/>
  <c r="AD27" i="14"/>
  <c r="S27" i="14"/>
  <c r="BU27" i="14"/>
  <c r="AX27" i="14"/>
  <c r="BM17" i="4"/>
  <c r="AA33" i="14"/>
  <c r="CE33" i="14"/>
  <c r="O33" i="14"/>
  <c r="BC33" i="14"/>
  <c r="K33" i="14"/>
  <c r="X33" i="14"/>
  <c r="BT33" i="14"/>
  <c r="BI33" i="14"/>
  <c r="V33" i="14"/>
  <c r="R33" i="14"/>
  <c r="L9" i="15"/>
  <c r="G28" i="15"/>
  <c r="BU26" i="14"/>
  <c r="BD26" i="14"/>
  <c r="BO26" i="14"/>
  <c r="CF26" i="14"/>
  <c r="J26" i="14"/>
  <c r="K26" i="14"/>
  <c r="L26" i="14"/>
  <c r="BJ26" i="14"/>
  <c r="AY26" i="14"/>
  <c r="BI26" i="14"/>
  <c r="AB18" i="12"/>
  <c r="I34" i="15"/>
  <c r="I27" i="6"/>
  <c r="J26" i="15" s="1"/>
  <c r="L26" i="15"/>
  <c r="I26" i="15"/>
  <c r="H26" i="15"/>
  <c r="O26" i="15"/>
  <c r="G34" i="15"/>
  <c r="G10" i="15"/>
  <c r="AR31" i="4"/>
  <c r="AR35" i="4" s="1"/>
  <c r="AM16" i="14"/>
  <c r="AM17" i="14" s="1"/>
  <c r="AE27" i="14"/>
  <c r="Y27" i="14"/>
  <c r="V27" i="14"/>
  <c r="BD27" i="14"/>
  <c r="BO27" i="14"/>
  <c r="N27" i="14"/>
  <c r="BV27" i="14"/>
  <c r="BN27" i="14"/>
  <c r="BS27" i="14"/>
  <c r="BF27" i="14"/>
  <c r="AO17" i="4"/>
  <c r="S33" i="14"/>
  <c r="CI33" i="14"/>
  <c r="CI34" i="14" s="1"/>
  <c r="BE33" i="14"/>
  <c r="BO33" i="14"/>
  <c r="AK33" i="14"/>
  <c r="J33" i="14"/>
  <c r="BY33" i="14"/>
  <c r="BK33" i="14"/>
  <c r="BX33" i="14"/>
  <c r="BW33" i="14"/>
  <c r="Z26" i="14"/>
  <c r="V26" i="14"/>
  <c r="CA26" i="14"/>
  <c r="AP26" i="14"/>
  <c r="AI26" i="14"/>
  <c r="BW26" i="14"/>
  <c r="BB26" i="14"/>
  <c r="CI26" i="14"/>
  <c r="X26" i="14"/>
  <c r="CC26" i="14"/>
  <c r="AU16" i="14"/>
  <c r="AU17" i="14" s="1"/>
  <c r="AL27" i="14"/>
  <c r="G9" i="15"/>
  <c r="BI27" i="14"/>
  <c r="BY27" i="14"/>
  <c r="W27" i="14"/>
  <c r="BX27" i="14"/>
  <c r="K27" i="14"/>
  <c r="AU27" i="14"/>
  <c r="AC27" i="14"/>
  <c r="BZ27" i="14"/>
  <c r="CG27" i="14"/>
  <c r="M27" i="14"/>
  <c r="BT17" i="4"/>
  <c r="BS33" i="14"/>
  <c r="AE33" i="14"/>
  <c r="BF33" i="14"/>
  <c r="M33" i="14"/>
  <c r="M34" i="14" s="1"/>
  <c r="BP33" i="14"/>
  <c r="AQ33" i="14"/>
  <c r="CJ33" i="14"/>
  <c r="BQ33" i="14"/>
  <c r="CF33" i="14"/>
  <c r="CH33" i="14"/>
  <c r="O13" i="15"/>
  <c r="O28" i="15"/>
  <c r="P26" i="14"/>
  <c r="BN26" i="14"/>
  <c r="AA26" i="14"/>
  <c r="AJ26" i="14"/>
  <c r="CG26" i="14"/>
  <c r="BV26" i="14"/>
  <c r="AZ26" i="14"/>
  <c r="BX26" i="14"/>
  <c r="AS26" i="14"/>
  <c r="T26" i="14"/>
  <c r="Z31" i="4"/>
  <c r="Z35" i="4" s="1"/>
  <c r="W13" i="14"/>
  <c r="AO13" i="14"/>
  <c r="BO13" i="14"/>
  <c r="AS13" i="14"/>
  <c r="X13" i="14"/>
  <c r="BX13" i="14"/>
  <c r="CB13" i="14"/>
  <c r="BD13" i="14"/>
  <c r="BA13" i="14"/>
  <c r="BQ13" i="14"/>
  <c r="BB13" i="14"/>
  <c r="AD13" i="14"/>
  <c r="CD13" i="14"/>
  <c r="AB13" i="14"/>
  <c r="P13" i="14"/>
  <c r="S13" i="14"/>
  <c r="BH13" i="14"/>
  <c r="BU13" i="14"/>
  <c r="AV13" i="14"/>
  <c r="BM13" i="14"/>
  <c r="AP13" i="14"/>
  <c r="CH13" i="14"/>
  <c r="CA13" i="14"/>
  <c r="BV13" i="14"/>
  <c r="U13" i="14"/>
  <c r="CF13" i="14"/>
  <c r="BT13" i="14"/>
  <c r="K13" i="14"/>
  <c r="V13" i="14"/>
  <c r="AI13" i="14"/>
  <c r="BI13" i="14"/>
  <c r="M13" i="14"/>
  <c r="BS13" i="14"/>
  <c r="Q13" i="14"/>
  <c r="AQ13" i="14"/>
  <c r="AT13" i="14"/>
  <c r="AE13" i="14"/>
  <c r="AH13" i="14"/>
  <c r="AZ13" i="14"/>
  <c r="AQ16" i="14"/>
  <c r="AQ17" i="14" s="1"/>
  <c r="AO27" i="14"/>
  <c r="I3" i="6"/>
  <c r="AG16" i="14"/>
  <c r="AG17" i="14" s="1"/>
  <c r="BM16" i="14"/>
  <c r="BM17" i="14" s="1"/>
  <c r="CI16" i="14"/>
  <c r="CI17" i="14" s="1"/>
  <c r="I27" i="14"/>
  <c r="CD27" i="14"/>
  <c r="CC27" i="14"/>
  <c r="BQ27" i="14"/>
  <c r="BA27" i="14"/>
  <c r="CI27" i="14"/>
  <c r="AS27" i="14"/>
  <c r="CH27" i="14"/>
  <c r="P27" i="14"/>
  <c r="CE27" i="14"/>
  <c r="G27" i="15"/>
  <c r="Z15" i="12"/>
  <c r="AD33" i="14"/>
  <c r="AC33" i="14"/>
  <c r="BN33" i="14"/>
  <c r="AU33" i="14"/>
  <c r="AU34" i="14" s="1"/>
  <c r="AO33" i="14"/>
  <c r="BG33" i="14"/>
  <c r="BV33" i="14"/>
  <c r="BB33" i="14"/>
  <c r="AW33" i="14"/>
  <c r="BD33" i="14"/>
  <c r="BO35" i="4"/>
  <c r="BA17" i="4"/>
  <c r="AX26" i="14"/>
  <c r="AF26" i="14"/>
  <c r="N26" i="14"/>
  <c r="AL26" i="14"/>
  <c r="BG26" i="14"/>
  <c r="BP26" i="14"/>
  <c r="AR26" i="14"/>
  <c r="AT26" i="14"/>
  <c r="BZ26" i="14"/>
  <c r="AO26" i="14"/>
  <c r="BN31" i="4"/>
  <c r="BN35" i="4" s="1"/>
  <c r="AR17" i="4"/>
  <c r="BP17" i="4"/>
  <c r="M16" i="14"/>
  <c r="M17" i="14" s="1"/>
  <c r="CF27" i="14"/>
  <c r="BH27" i="14"/>
  <c r="AG27" i="14"/>
  <c r="Z27" i="14"/>
  <c r="BJ27" i="14"/>
  <c r="BB27" i="14"/>
  <c r="CA27" i="14"/>
  <c r="AF27" i="14"/>
  <c r="X27" i="14"/>
  <c r="BC27" i="14"/>
  <c r="AB9" i="12"/>
  <c r="H34" i="15"/>
  <c r="O27" i="15"/>
  <c r="P12" i="4"/>
  <c r="K12" i="13" s="1"/>
  <c r="P33" i="14"/>
  <c r="BM33" i="14"/>
  <c r="CD33" i="14"/>
  <c r="Q33" i="14"/>
  <c r="AX33" i="14"/>
  <c r="AX34" i="14" s="1"/>
  <c r="CA33" i="14"/>
  <c r="AV33" i="14"/>
  <c r="AM33" i="14"/>
  <c r="AM34" i="14" s="1"/>
  <c r="CG33" i="14"/>
  <c r="AT33" i="14"/>
  <c r="I20" i="6"/>
  <c r="O26" i="14"/>
  <c r="AV26" i="14"/>
  <c r="AN26" i="14"/>
  <c r="AM26" i="14"/>
  <c r="AC26" i="14"/>
  <c r="Y26" i="14"/>
  <c r="S26" i="14"/>
  <c r="BE26" i="14"/>
  <c r="M26" i="14"/>
  <c r="BL26" i="14"/>
  <c r="BS31" i="4"/>
  <c r="BS35" i="4" s="1"/>
  <c r="AH31" i="4"/>
  <c r="AH35" i="4" s="1"/>
  <c r="AE31" i="4"/>
  <c r="AE35" i="4" s="1"/>
  <c r="DD8" i="13" l="1" a="1"/>
  <c r="DD8" i="13" s="1"/>
  <c r="DA8" i="13" a="1"/>
  <c r="DA8" i="13" s="1"/>
  <c r="DF8" i="13" a="1"/>
  <c r="DF8" i="13" s="1"/>
  <c r="DO8" i="13" a="1"/>
  <c r="DO8" i="13" s="1"/>
  <c r="DC8" i="13" a="1"/>
  <c r="DC8" i="13" s="1"/>
  <c r="DP8" i="13" a="1"/>
  <c r="DP8" i="13" s="1"/>
  <c r="DN8" i="13" a="1"/>
  <c r="DN8" i="13" s="1"/>
  <c r="DJ8" i="13" a="1"/>
  <c r="DJ8" i="13" s="1"/>
  <c r="DI8" i="13" a="1"/>
  <c r="DI8" i="13" s="1"/>
  <c r="DM8" i="13" a="1"/>
  <c r="DM8" i="13" s="1"/>
  <c r="DH8" i="13" a="1"/>
  <c r="DH8" i="13" s="1"/>
  <c r="DL8" i="13" a="1"/>
  <c r="DL8" i="13" s="1"/>
  <c r="DG8" i="13" a="1"/>
  <c r="DG8" i="13" s="1"/>
  <c r="DE8" i="13" a="1"/>
  <c r="DE8" i="13" s="1"/>
  <c r="DB8" i="13" a="1"/>
  <c r="DB8" i="13" s="1"/>
  <c r="DK8" i="13" a="1"/>
  <c r="DK8" i="13" s="1"/>
  <c r="BC30" i="14"/>
  <c r="BC13" i="14"/>
  <c r="T30" i="14"/>
  <c r="T13" i="14"/>
  <c r="CJ30" i="14"/>
  <c r="CJ13" i="14"/>
  <c r="Z13" i="14"/>
  <c r="Z30" i="14"/>
  <c r="AW30" i="14"/>
  <c r="AW13" i="14"/>
  <c r="AF13" i="14"/>
  <c r="AF30" i="14"/>
  <c r="AJ30" i="14"/>
  <c r="AJ13" i="14"/>
  <c r="CO30" i="14"/>
  <c r="CP30" i="14"/>
  <c r="CR30" i="14"/>
  <c r="CN30" i="14"/>
  <c r="CM30" i="14"/>
  <c r="CQ30" i="14"/>
  <c r="CS30" i="14"/>
  <c r="CO32" i="14"/>
  <c r="CO34" i="14" s="1"/>
  <c r="CT30" i="14"/>
  <c r="DB30" i="14"/>
  <c r="DA30" i="14"/>
  <c r="CV30" i="14"/>
  <c r="CU30" i="14"/>
  <c r="W23" i="13"/>
  <c r="AR21" i="14"/>
  <c r="AZ21" i="14"/>
  <c r="BP21" i="14"/>
  <c r="CF21" i="14"/>
  <c r="U21" i="14"/>
  <c r="AC4" i="14"/>
  <c r="AK4" i="14"/>
  <c r="BA4" i="14"/>
  <c r="BQ4" i="14"/>
  <c r="N4" i="14"/>
  <c r="V4" i="14"/>
  <c r="AL4" i="14"/>
  <c r="BB21" i="14"/>
  <c r="BZ21" i="14"/>
  <c r="CH21" i="14"/>
  <c r="W4" i="14"/>
  <c r="AM21" i="14"/>
  <c r="BC21" i="14"/>
  <c r="BK4" i="14"/>
  <c r="BS4" i="14"/>
  <c r="CI4" i="14"/>
  <c r="X21" i="14"/>
  <c r="AN21" i="14"/>
  <c r="AV21" i="14"/>
  <c r="BD4" i="14"/>
  <c r="BT4" i="14"/>
  <c r="CJ21" i="14"/>
  <c r="Y21" i="14"/>
  <c r="AG21" i="14"/>
  <c r="AO4" i="14"/>
  <c r="BE21" i="14"/>
  <c r="BU4" i="14"/>
  <c r="R4" i="14"/>
  <c r="Z21" i="14"/>
  <c r="AH4" i="14"/>
  <c r="AP4" i="14"/>
  <c r="BF4" i="14"/>
  <c r="BV21" i="14"/>
  <c r="CD21" i="14"/>
  <c r="AA4" i="14"/>
  <c r="AQ21" i="14"/>
  <c r="BG21" i="14"/>
  <c r="W4" i="13"/>
  <c r="BO4" i="14"/>
  <c r="S21" i="14"/>
  <c r="BW21" i="14"/>
  <c r="BF31" i="4"/>
  <c r="BF35" i="4" s="1"/>
  <c r="AD17" i="4"/>
  <c r="AK5" i="14"/>
  <c r="CG5" i="14"/>
  <c r="BB5" i="14"/>
  <c r="BR5" i="14"/>
  <c r="CH5" i="14"/>
  <c r="AM5" i="14"/>
  <c r="BC5" i="14"/>
  <c r="BS22" i="14"/>
  <c r="X5" i="14"/>
  <c r="AN5" i="14"/>
  <c r="BD5" i="14"/>
  <c r="CJ5" i="14"/>
  <c r="AO5" i="14"/>
  <c r="BU5" i="14"/>
  <c r="J5" i="14"/>
  <c r="Z5" i="14"/>
  <c r="AX5" i="14"/>
  <c r="BF5" i="14"/>
  <c r="BV5" i="14"/>
  <c r="K5" i="14"/>
  <c r="AQ5" i="14"/>
  <c r="BG5" i="14"/>
  <c r="BW5" i="14"/>
  <c r="T5" i="14"/>
  <c r="BH5" i="14"/>
  <c r="AJ5" i="14"/>
  <c r="W5" i="13"/>
  <c r="BP5" i="14"/>
  <c r="AC18" i="12"/>
  <c r="W24" i="13"/>
  <c r="BJ31" i="4"/>
  <c r="BJ35" i="4" s="1"/>
  <c r="Y32" i="12"/>
  <c r="X17" i="4"/>
  <c r="AB17" i="4"/>
  <c r="Z17" i="4"/>
  <c r="I14" i="6"/>
  <c r="I16" i="6" s="1"/>
  <c r="I31" i="6"/>
  <c r="I33" i="6" s="1"/>
  <c r="W17" i="4"/>
  <c r="AL17" i="4"/>
  <c r="AV17" i="4"/>
  <c r="AE17" i="4"/>
  <c r="BJ17" i="4"/>
  <c r="BK17" i="4"/>
  <c r="BF17" i="4"/>
  <c r="AH17" i="4"/>
  <c r="BC17" i="4"/>
  <c r="AC17" i="4"/>
  <c r="BN17" i="4"/>
  <c r="BL17" i="4"/>
  <c r="AZ17" i="4"/>
  <c r="I5" i="15"/>
  <c r="D8" i="15"/>
  <c r="W35" i="4"/>
  <c r="I28" i="6"/>
  <c r="D16" i="15"/>
  <c r="D9" i="15"/>
  <c r="J5" i="15"/>
  <c r="L5" i="15"/>
  <c r="D13" i="15"/>
  <c r="O5" i="15"/>
  <c r="D10" i="15"/>
  <c r="AP17" i="4"/>
  <c r="G5" i="15"/>
  <c r="H5" i="15"/>
  <c r="BY4" i="14"/>
  <c r="BN21" i="14"/>
  <c r="T4" i="14"/>
  <c r="BH21" i="14"/>
  <c r="AY21" i="14"/>
  <c r="AC9" i="12"/>
  <c r="J31" i="15"/>
  <c r="I5" i="6"/>
  <c r="I6" i="6" s="1"/>
  <c r="I22" i="6"/>
  <c r="BA30" i="14"/>
  <c r="BS30" i="14"/>
  <c r="AO30" i="14"/>
  <c r="AL30" i="14"/>
  <c r="Y30" i="14"/>
  <c r="BW30" i="14"/>
  <c r="AZ30" i="14"/>
  <c r="U30" i="14"/>
  <c r="BZ30" i="14"/>
  <c r="AD7" i="4"/>
  <c r="CG4" i="14"/>
  <c r="P4" i="14"/>
  <c r="BL4" i="14"/>
  <c r="AW4" i="14"/>
  <c r="AF17" i="4"/>
  <c r="L32" i="14"/>
  <c r="L34" i="14" s="1"/>
  <c r="AQ32" i="14"/>
  <c r="AQ34" i="14" s="1"/>
  <c r="CE21" i="14"/>
  <c r="AU21" i="14"/>
  <c r="AQ17" i="4"/>
  <c r="AH14" i="4"/>
  <c r="BD14" i="4"/>
  <c r="Y14" i="4"/>
  <c r="BC14" i="4"/>
  <c r="BE14" i="4"/>
  <c r="AG14" i="4"/>
  <c r="BA14" i="4"/>
  <c r="D31" i="15"/>
  <c r="AS25" i="14"/>
  <c r="AS28" i="14" s="1"/>
  <c r="BK25" i="14"/>
  <c r="BK28" i="14" s="1"/>
  <c r="AO25" i="14"/>
  <c r="AO28" i="14" s="1"/>
  <c r="BS25" i="14"/>
  <c r="BS28" i="14" s="1"/>
  <c r="AT25" i="14"/>
  <c r="AT28" i="14" s="1"/>
  <c r="CB25" i="14"/>
  <c r="CB28" i="14" s="1"/>
  <c r="CA25" i="14"/>
  <c r="CA28" i="14" s="1"/>
  <c r="BZ25" i="14"/>
  <c r="BZ28" i="14" s="1"/>
  <c r="L25" i="14"/>
  <c r="L28" i="14" s="1"/>
  <c r="BQ25" i="14"/>
  <c r="BQ28" i="14" s="1"/>
  <c r="D26" i="15"/>
  <c r="BX8" i="14"/>
  <c r="BX11" i="14" s="1"/>
  <c r="L8" i="14"/>
  <c r="L11" i="14" s="1"/>
  <c r="CI8" i="14"/>
  <c r="CI11" i="14" s="1"/>
  <c r="BI8" i="14"/>
  <c r="BI11" i="14" s="1"/>
  <c r="Z8" i="14"/>
  <c r="Z11" i="14" s="1"/>
  <c r="AG8" i="14"/>
  <c r="AG11" i="14" s="1"/>
  <c r="AH8" i="14"/>
  <c r="AH11" i="14" s="1"/>
  <c r="AC8" i="14"/>
  <c r="AC11" i="14" s="1"/>
  <c r="CA8" i="14"/>
  <c r="CA11" i="14" s="1"/>
  <c r="BR8" i="14"/>
  <c r="BR11" i="14" s="1"/>
  <c r="AT14" i="4"/>
  <c r="BP14" i="4"/>
  <c r="AB14" i="4"/>
  <c r="AF14" i="4"/>
  <c r="BQ14" i="4"/>
  <c r="AY14" i="4"/>
  <c r="Y15" i="12"/>
  <c r="AY25" i="14"/>
  <c r="AY28" i="14" s="1"/>
  <c r="AL25" i="14"/>
  <c r="AL28" i="14" s="1"/>
  <c r="O25" i="14"/>
  <c r="O28" i="14" s="1"/>
  <c r="BY25" i="14"/>
  <c r="BY28" i="14" s="1"/>
  <c r="BB25" i="14"/>
  <c r="BB28" i="14" s="1"/>
  <c r="CJ25" i="14"/>
  <c r="CJ28" i="14" s="1"/>
  <c r="AE25" i="14"/>
  <c r="AE28" i="14" s="1"/>
  <c r="CG25" i="14"/>
  <c r="CG28" i="14" s="1"/>
  <c r="BD25" i="14"/>
  <c r="BD28" i="14" s="1"/>
  <c r="I25" i="14"/>
  <c r="P8" i="14"/>
  <c r="P11" i="14" s="1"/>
  <c r="Q8" i="14"/>
  <c r="Q11" i="14" s="1"/>
  <c r="BY8" i="14"/>
  <c r="BY11" i="14" s="1"/>
  <c r="CE8" i="14"/>
  <c r="CE11" i="14" s="1"/>
  <c r="AW8" i="14"/>
  <c r="AW11" i="14" s="1"/>
  <c r="CH8" i="14"/>
  <c r="CH11" i="14" s="1"/>
  <c r="AB8" i="14"/>
  <c r="AB11" i="14" s="1"/>
  <c r="AI8" i="14"/>
  <c r="AI11" i="14" s="1"/>
  <c r="AT8" i="14"/>
  <c r="AT11" i="14" s="1"/>
  <c r="CB8" i="14"/>
  <c r="CB11" i="14" s="1"/>
  <c r="BF30" i="14"/>
  <c r="BK30" i="14"/>
  <c r="AD30" i="14"/>
  <c r="AQ30" i="14"/>
  <c r="BL30" i="14"/>
  <c r="I30" i="14"/>
  <c r="S30" i="14"/>
  <c r="CD30" i="14"/>
  <c r="CH30" i="14"/>
  <c r="AI4" i="14"/>
  <c r="BB4" i="14"/>
  <c r="CA4" i="14"/>
  <c r="AW21" i="14"/>
  <c r="O21" i="14"/>
  <c r="BX21" i="14"/>
  <c r="AE21" i="14"/>
  <c r="AN14" i="4"/>
  <c r="X14" i="4"/>
  <c r="BK14" i="4"/>
  <c r="BS14" i="4"/>
  <c r="BO14" i="4"/>
  <c r="BI14" i="4"/>
  <c r="BG25" i="14"/>
  <c r="BG28" i="14" s="1"/>
  <c r="BH25" i="14"/>
  <c r="BH28" i="14" s="1"/>
  <c r="Y25" i="14"/>
  <c r="Y28" i="14" s="1"/>
  <c r="AP25" i="14"/>
  <c r="AP28" i="14" s="1"/>
  <c r="Q25" i="14"/>
  <c r="Q28" i="14" s="1"/>
  <c r="AF25" i="14"/>
  <c r="AF28" i="14" s="1"/>
  <c r="AW25" i="14"/>
  <c r="AW28" i="14" s="1"/>
  <c r="BE25" i="14"/>
  <c r="BE28" i="14" s="1"/>
  <c r="BL25" i="14"/>
  <c r="BL28" i="14" s="1"/>
  <c r="BJ25" i="14"/>
  <c r="BJ28" i="14" s="1"/>
  <c r="CC8" i="14"/>
  <c r="CC11" i="14" s="1"/>
  <c r="BZ8" i="14"/>
  <c r="BZ11" i="14" s="1"/>
  <c r="U8" i="14"/>
  <c r="U11" i="14" s="1"/>
  <c r="CJ8" i="14"/>
  <c r="CJ11" i="14" s="1"/>
  <c r="J8" i="14"/>
  <c r="J11" i="14" s="1"/>
  <c r="AP8" i="14"/>
  <c r="AP11" i="14" s="1"/>
  <c r="R8" i="14"/>
  <c r="R11" i="14" s="1"/>
  <c r="AM8" i="14"/>
  <c r="AM11" i="14" s="1"/>
  <c r="BP8" i="14"/>
  <c r="BP11" i="14" s="1"/>
  <c r="W8" i="14"/>
  <c r="W11" i="14" s="1"/>
  <c r="BR17" i="4"/>
  <c r="AA13" i="14"/>
  <c r="AA30" i="14"/>
  <c r="BG7" i="4"/>
  <c r="CI30" i="14"/>
  <c r="AN30" i="14"/>
  <c r="BE30" i="14"/>
  <c r="AY30" i="14"/>
  <c r="BI30" i="14"/>
  <c r="R30" i="14"/>
  <c r="AG30" i="14"/>
  <c r="BH30" i="14"/>
  <c r="AD4" i="14"/>
  <c r="O4" i="14"/>
  <c r="L4" i="14"/>
  <c r="AT4" i="14"/>
  <c r="CE4" i="14"/>
  <c r="CB4" i="14"/>
  <c r="AG32" i="14"/>
  <c r="AG34" i="14" s="1"/>
  <c r="BA21" i="14"/>
  <c r="M21" i="14"/>
  <c r="AD21" i="14"/>
  <c r="BC7" i="4"/>
  <c r="BL14" i="4"/>
  <c r="AJ14" i="4"/>
  <c r="AD14" i="4"/>
  <c r="AI14" i="4"/>
  <c r="AQ14" i="4"/>
  <c r="AC14" i="4"/>
  <c r="CD25" i="14"/>
  <c r="CD28" i="14" s="1"/>
  <c r="BP25" i="14"/>
  <c r="BP28" i="14" s="1"/>
  <c r="CI25" i="14"/>
  <c r="CI28" i="14" s="1"/>
  <c r="W25" i="14"/>
  <c r="W28" i="14" s="1"/>
  <c r="K25" i="14"/>
  <c r="K28" i="14" s="1"/>
  <c r="AM25" i="14"/>
  <c r="AM28" i="14" s="1"/>
  <c r="AJ25" i="14"/>
  <c r="AJ28" i="14" s="1"/>
  <c r="BM25" i="14"/>
  <c r="BM28" i="14" s="1"/>
  <c r="BC25" i="14"/>
  <c r="BC28" i="14" s="1"/>
  <c r="AI25" i="14"/>
  <c r="AI28" i="14" s="1"/>
  <c r="BB8" i="14"/>
  <c r="BB11" i="14" s="1"/>
  <c r="T8" i="14"/>
  <c r="T11" i="14" s="1"/>
  <c r="AQ8" i="14"/>
  <c r="AQ11" i="14" s="1"/>
  <c r="AE8" i="14"/>
  <c r="AE11" i="14" s="1"/>
  <c r="BH8" i="14"/>
  <c r="BH11" i="14" s="1"/>
  <c r="BW8" i="14"/>
  <c r="BW11" i="14" s="1"/>
  <c r="BK8" i="14"/>
  <c r="BK11" i="14" s="1"/>
  <c r="AK8" i="14"/>
  <c r="AK11" i="14" s="1"/>
  <c r="AN8" i="14"/>
  <c r="AN11" i="14" s="1"/>
  <c r="M8" i="14"/>
  <c r="M11" i="14" s="1"/>
  <c r="AH30" i="14"/>
  <c r="AV30" i="14"/>
  <c r="P30" i="14"/>
  <c r="BT30" i="14"/>
  <c r="BQ30" i="14"/>
  <c r="AT30" i="14"/>
  <c r="CC30" i="14"/>
  <c r="AI30" i="14"/>
  <c r="BJ4" i="14"/>
  <c r="K4" i="14"/>
  <c r="CJ4" i="14"/>
  <c r="CJ32" i="14"/>
  <c r="CJ34" i="14" s="1"/>
  <c r="AS21" i="14"/>
  <c r="P21" i="14"/>
  <c r="BQ21" i="14"/>
  <c r="AJ21" i="14"/>
  <c r="BT14" i="4"/>
  <c r="AR14" i="4"/>
  <c r="AR18" i="4" s="1"/>
  <c r="AE14" i="4"/>
  <c r="AO14" i="4"/>
  <c r="AU14" i="4"/>
  <c r="BR14" i="4"/>
  <c r="J25" i="14"/>
  <c r="J28" i="14" s="1"/>
  <c r="BO25" i="14"/>
  <c r="BO28" i="14" s="1"/>
  <c r="V25" i="14"/>
  <c r="V28" i="14" s="1"/>
  <c r="AH25" i="14"/>
  <c r="AH28" i="14" s="1"/>
  <c r="S25" i="14"/>
  <c r="S28" i="14" s="1"/>
  <c r="R25" i="14"/>
  <c r="R28" i="14" s="1"/>
  <c r="Z25" i="14"/>
  <c r="Z28" i="14" s="1"/>
  <c r="T25" i="14"/>
  <c r="T28" i="14" s="1"/>
  <c r="AX25" i="14"/>
  <c r="AX28" i="14" s="1"/>
  <c r="N25" i="14"/>
  <c r="N28" i="14" s="1"/>
  <c r="BC8" i="14"/>
  <c r="BC11" i="14" s="1"/>
  <c r="AO8" i="14"/>
  <c r="AO11" i="14" s="1"/>
  <c r="CD8" i="14"/>
  <c r="CD11" i="14" s="1"/>
  <c r="CG8" i="14"/>
  <c r="CG11" i="14" s="1"/>
  <c r="BM8" i="14"/>
  <c r="BM11" i="14" s="1"/>
  <c r="AL8" i="14"/>
  <c r="AL11" i="14" s="1"/>
  <c r="AY8" i="14"/>
  <c r="AY11" i="14" s="1"/>
  <c r="BG8" i="14"/>
  <c r="BG11" i="14" s="1"/>
  <c r="N8" i="14"/>
  <c r="N11" i="14" s="1"/>
  <c r="AF8" i="14"/>
  <c r="AF11" i="14" s="1"/>
  <c r="AX17" i="4"/>
  <c r="V30" i="14"/>
  <c r="O30" i="14"/>
  <c r="CF30" i="14"/>
  <c r="AM30" i="14"/>
  <c r="Q30" i="14"/>
  <c r="BG30" i="14"/>
  <c r="BB30" i="14"/>
  <c r="CB30" i="14"/>
  <c r="BM30" i="14"/>
  <c r="AX4" i="14"/>
  <c r="AB4" i="14"/>
  <c r="CC4" i="14"/>
  <c r="L29" i="15"/>
  <c r="I29" i="15"/>
  <c r="O29" i="15"/>
  <c r="D29" i="15"/>
  <c r="H29" i="15"/>
  <c r="G29" i="15"/>
  <c r="J34" i="15"/>
  <c r="J27" i="15"/>
  <c r="J28" i="15"/>
  <c r="BP32" i="14"/>
  <c r="BP34" i="14" s="1"/>
  <c r="BM32" i="14"/>
  <c r="BM34" i="14" s="1"/>
  <c r="O11" i="15"/>
  <c r="G11" i="15"/>
  <c r="H11" i="15"/>
  <c r="I11" i="15"/>
  <c r="L11" i="15"/>
  <c r="D11" i="15"/>
  <c r="J16" i="15"/>
  <c r="J9" i="15"/>
  <c r="J13" i="15"/>
  <c r="J10" i="15"/>
  <c r="AX21" i="14"/>
  <c r="CA21" i="14"/>
  <c r="AB21" i="14"/>
  <c r="AF21" i="14"/>
  <c r="BU21" i="14"/>
  <c r="Z14" i="4"/>
  <c r="AV14" i="4"/>
  <c r="AM14" i="4"/>
  <c r="AZ14" i="4"/>
  <c r="AP14" i="4"/>
  <c r="BN14" i="4"/>
  <c r="AQ25" i="14"/>
  <c r="AQ28" i="14" s="1"/>
  <c r="BI25" i="14"/>
  <c r="BI28" i="14" s="1"/>
  <c r="BW25" i="14"/>
  <c r="BW28" i="14" s="1"/>
  <c r="AD25" i="14"/>
  <c r="AD28" i="14" s="1"/>
  <c r="BU25" i="14"/>
  <c r="BU28" i="14" s="1"/>
  <c r="AU25" i="14"/>
  <c r="AU28" i="14" s="1"/>
  <c r="AB25" i="14"/>
  <c r="AB28" i="14" s="1"/>
  <c r="AN25" i="14"/>
  <c r="AN28" i="14" s="1"/>
  <c r="AK25" i="14"/>
  <c r="AK28" i="14" s="1"/>
  <c r="BF25" i="14"/>
  <c r="BF28" i="14" s="1"/>
  <c r="AJ8" i="14"/>
  <c r="AJ11" i="14" s="1"/>
  <c r="AD8" i="14"/>
  <c r="AD11" i="14" s="1"/>
  <c r="AS8" i="14"/>
  <c r="AS11" i="14" s="1"/>
  <c r="AU8" i="14"/>
  <c r="AU11" i="14" s="1"/>
  <c r="X8" i="14"/>
  <c r="X11" i="14" s="1"/>
  <c r="BQ8" i="14"/>
  <c r="BQ11" i="14" s="1"/>
  <c r="BN8" i="14"/>
  <c r="BN11" i="14" s="1"/>
  <c r="BL8" i="14"/>
  <c r="BL11" i="14" s="1"/>
  <c r="W11" i="13"/>
  <c r="I8" i="14"/>
  <c r="I11" i="14" s="1"/>
  <c r="AA8" i="14"/>
  <c r="AA11" i="14" s="1"/>
  <c r="AC7" i="4"/>
  <c r="CG13" i="14"/>
  <c r="CG30" i="14"/>
  <c r="AE7" i="4"/>
  <c r="BR30" i="14"/>
  <c r="X30" i="14"/>
  <c r="AS30" i="14"/>
  <c r="AU30" i="14"/>
  <c r="BN30" i="14"/>
  <c r="BO30" i="14"/>
  <c r="L30" i="14"/>
  <c r="W30" i="14"/>
  <c r="AP30" i="14"/>
  <c r="BN4" i="14"/>
  <c r="J4" i="14"/>
  <c r="BX4" i="14"/>
  <c r="Q4" i="14"/>
  <c r="AQ4" i="14"/>
  <c r="BX5" i="14"/>
  <c r="BQ5" i="14"/>
  <c r="AZ5" i="14"/>
  <c r="AU5" i="14"/>
  <c r="S5" i="14"/>
  <c r="AG5" i="14"/>
  <c r="Y5" i="14"/>
  <c r="Q5" i="14"/>
  <c r="N5" i="14"/>
  <c r="O5" i="14"/>
  <c r="CI5" i="14"/>
  <c r="AV5" i="14"/>
  <c r="CC5" i="14"/>
  <c r="BK5" i="14"/>
  <c r="W5" i="14"/>
  <c r="BT5" i="14"/>
  <c r="V5" i="14"/>
  <c r="CF5" i="14"/>
  <c r="CA5" i="14"/>
  <c r="AS5" i="14"/>
  <c r="M5" i="14"/>
  <c r="AP5" i="14"/>
  <c r="BJ5" i="14"/>
  <c r="AB5" i="14"/>
  <c r="CE5" i="14"/>
  <c r="L5" i="14"/>
  <c r="BA5" i="14"/>
  <c r="BE5" i="14"/>
  <c r="AT5" i="14"/>
  <c r="CB5" i="14"/>
  <c r="U5" i="14"/>
  <c r="R5" i="14"/>
  <c r="BI5" i="14"/>
  <c r="BL5" i="14"/>
  <c r="AF5" i="14"/>
  <c r="BZ5" i="14"/>
  <c r="BM5" i="14"/>
  <c r="AW5" i="14"/>
  <c r="AY5" i="14"/>
  <c r="AA5" i="14"/>
  <c r="CD5" i="14"/>
  <c r="AR5" i="14"/>
  <c r="AH5" i="14"/>
  <c r="AE5" i="14"/>
  <c r="BY5" i="14"/>
  <c r="P5" i="14"/>
  <c r="AC5" i="14"/>
  <c r="AI5" i="14"/>
  <c r="AL5" i="14"/>
  <c r="BO5" i="14"/>
  <c r="AD5" i="14"/>
  <c r="BN5" i="14"/>
  <c r="I5" i="14"/>
  <c r="CC21" i="14"/>
  <c r="CG21" i="14"/>
  <c r="CI21" i="14"/>
  <c r="BJ21" i="14"/>
  <c r="Q21" i="14"/>
  <c r="L21" i="14"/>
  <c r="O23" i="15"/>
  <c r="H23" i="15"/>
  <c r="I23" i="15"/>
  <c r="G23" i="15"/>
  <c r="L23" i="15"/>
  <c r="J23" i="15"/>
  <c r="D34" i="15"/>
  <c r="D28" i="15"/>
  <c r="D27" i="15"/>
  <c r="AL14" i="4"/>
  <c r="AA14" i="4"/>
  <c r="AW14" i="4"/>
  <c r="BJ14" i="4"/>
  <c r="BJ18" i="4" s="1"/>
  <c r="I11" i="6"/>
  <c r="W14" i="4"/>
  <c r="W18" i="4" s="1"/>
  <c r="BG14" i="4"/>
  <c r="BA25" i="14"/>
  <c r="BA28" i="14" s="1"/>
  <c r="AV25" i="14"/>
  <c r="AV28" i="14" s="1"/>
  <c r="AC25" i="14"/>
  <c r="AC28" i="14" s="1"/>
  <c r="BX25" i="14"/>
  <c r="BX28" i="14" s="1"/>
  <c r="P25" i="14"/>
  <c r="P28" i="14" s="1"/>
  <c r="BT25" i="14"/>
  <c r="BT28" i="14" s="1"/>
  <c r="AR25" i="14"/>
  <c r="AR28" i="14" s="1"/>
  <c r="CE25" i="14"/>
  <c r="CE28" i="14" s="1"/>
  <c r="U25" i="14"/>
  <c r="U28" i="14" s="1"/>
  <c r="M25" i="14"/>
  <c r="M28" i="14" s="1"/>
  <c r="K8" i="14"/>
  <c r="K11" i="14" s="1"/>
  <c r="BV8" i="14"/>
  <c r="BV11" i="14" s="1"/>
  <c r="AV8" i="14"/>
  <c r="AV11" i="14" s="1"/>
  <c r="BO8" i="14"/>
  <c r="BO11" i="14" s="1"/>
  <c r="BD8" i="14"/>
  <c r="BD11" i="14" s="1"/>
  <c r="BJ8" i="14"/>
  <c r="BJ11" i="14" s="1"/>
  <c r="S8" i="14"/>
  <c r="S11" i="14" s="1"/>
  <c r="O8" i="14"/>
  <c r="O11" i="14" s="1"/>
  <c r="AR8" i="14"/>
  <c r="AR11" i="14" s="1"/>
  <c r="AX8" i="14"/>
  <c r="AX11" i="14" s="1"/>
  <c r="BD30" i="14"/>
  <c r="BX30" i="14"/>
  <c r="AK30" i="14"/>
  <c r="AC30" i="14"/>
  <c r="BV30" i="14"/>
  <c r="CE30" i="14"/>
  <c r="AB30" i="14"/>
  <c r="BJ30" i="14"/>
  <c r="AX30" i="14"/>
  <c r="AS4" i="14"/>
  <c r="BM4" i="14"/>
  <c r="BI4" i="14"/>
  <c r="M4" i="14"/>
  <c r="AF4" i="14"/>
  <c r="AV4" i="14"/>
  <c r="K32" i="14"/>
  <c r="K34" i="14" s="1"/>
  <c r="AA21" i="14"/>
  <c r="BI21" i="14"/>
  <c r="AT21" i="14"/>
  <c r="AI21" i="14"/>
  <c r="BK7" i="4"/>
  <c r="AS14" i="4"/>
  <c r="BH14" i="4"/>
  <c r="BF14" i="4"/>
  <c r="AX14" i="4"/>
  <c r="AK14" i="4"/>
  <c r="BM14" i="4"/>
  <c r="BB14" i="4"/>
  <c r="CH25" i="14"/>
  <c r="CH28" i="14" s="1"/>
  <c r="AG25" i="14"/>
  <c r="AG28" i="14" s="1"/>
  <c r="AA25" i="14"/>
  <c r="AA28" i="14" s="1"/>
  <c r="CF25" i="14"/>
  <c r="CF28" i="14" s="1"/>
  <c r="X25" i="14"/>
  <c r="X28" i="14" s="1"/>
  <c r="BV25" i="14"/>
  <c r="BV28" i="14" s="1"/>
  <c r="AZ25" i="14"/>
  <c r="AZ28" i="14" s="1"/>
  <c r="BR25" i="14"/>
  <c r="BR28" i="14" s="1"/>
  <c r="BN25" i="14"/>
  <c r="BN28" i="14" s="1"/>
  <c r="CC25" i="14"/>
  <c r="CC28" i="14" s="1"/>
  <c r="AZ8" i="14"/>
  <c r="AZ11" i="14" s="1"/>
  <c r="BS8" i="14"/>
  <c r="BS11" i="14" s="1"/>
  <c r="BE8" i="14"/>
  <c r="BE11" i="14" s="1"/>
  <c r="BT8" i="14"/>
  <c r="BT11" i="14" s="1"/>
  <c r="V8" i="14"/>
  <c r="V11" i="14" s="1"/>
  <c r="Y8" i="14"/>
  <c r="Y11" i="14" s="1"/>
  <c r="BU8" i="14"/>
  <c r="BU11" i="14" s="1"/>
  <c r="BF8" i="14"/>
  <c r="BF11" i="14" s="1"/>
  <c r="CF8" i="14"/>
  <c r="CF11" i="14" s="1"/>
  <c r="BA8" i="14"/>
  <c r="BA11" i="14" s="1"/>
  <c r="BY13" i="14"/>
  <c r="BY30" i="14"/>
  <c r="J30" i="14"/>
  <c r="BU30" i="14"/>
  <c r="BP30" i="14"/>
  <c r="CA30" i="14"/>
  <c r="N30" i="14"/>
  <c r="K30" i="14"/>
  <c r="AR30" i="14"/>
  <c r="M30" i="14"/>
  <c r="AE30" i="14"/>
  <c r="AT22" i="14"/>
  <c r="CI22" i="14"/>
  <c r="AF22" i="14"/>
  <c r="AE4" i="14"/>
  <c r="AM4" i="14"/>
  <c r="AU4" i="14"/>
  <c r="K21" i="14"/>
  <c r="BM21" i="14"/>
  <c r="BL21" i="14"/>
  <c r="CB21" i="14"/>
  <c r="BK21" i="14"/>
  <c r="CN25" i="14" l="1"/>
  <c r="CN28" i="14" s="1"/>
  <c r="CN8" i="14"/>
  <c r="CN11" i="14" s="1"/>
  <c r="CZ8" i="14"/>
  <c r="CZ11" i="14" s="1"/>
  <c r="CZ25" i="14"/>
  <c r="CZ28" i="14" s="1"/>
  <c r="CV8" i="14"/>
  <c r="CV11" i="14" s="1"/>
  <c r="CV25" i="14"/>
  <c r="CV28" i="14" s="1"/>
  <c r="CQ25" i="14"/>
  <c r="CQ28" i="14" s="1"/>
  <c r="CQ8" i="14"/>
  <c r="CQ11" i="14" s="1"/>
  <c r="DB25" i="14"/>
  <c r="DB28" i="14" s="1"/>
  <c r="DB8" i="14"/>
  <c r="DB11" i="14" s="1"/>
  <c r="CS8" i="14"/>
  <c r="CS11" i="14" s="1"/>
  <c r="CS25" i="14"/>
  <c r="CS28" i="14" s="1"/>
  <c r="CO8" i="14"/>
  <c r="CO11" i="14" s="1"/>
  <c r="CO25" i="14"/>
  <c r="CO28" i="14" s="1"/>
  <c r="CW8" i="14"/>
  <c r="CW11" i="14" s="1"/>
  <c r="CW25" i="14"/>
  <c r="CW28" i="14" s="1"/>
  <c r="CX8" i="14"/>
  <c r="CX11" i="14" s="1"/>
  <c r="CX25" i="14"/>
  <c r="CX28" i="14" s="1"/>
  <c r="DA25" i="14"/>
  <c r="DA28" i="14" s="1"/>
  <c r="DA8" i="14"/>
  <c r="DA11" i="14" s="1"/>
  <c r="CT25" i="14"/>
  <c r="CT28" i="14" s="1"/>
  <c r="CT8" i="14"/>
  <c r="CT11" i="14" s="1"/>
  <c r="CR8" i="14"/>
  <c r="CR11" i="14" s="1"/>
  <c r="CR25" i="14"/>
  <c r="CR28" i="14" s="1"/>
  <c r="DF11" i="13" a="1"/>
  <c r="DF11" i="13" s="1"/>
  <c r="DE11" i="13" a="1"/>
  <c r="DE11" i="13" s="1"/>
  <c r="DB11" i="13" a="1"/>
  <c r="DB11" i="13" s="1"/>
  <c r="DD11" i="13" a="1"/>
  <c r="DD11" i="13" s="1"/>
  <c r="DA11" i="13" a="1"/>
  <c r="DA11" i="13" s="1"/>
  <c r="DO11" i="13" a="1"/>
  <c r="DO11" i="13" s="1"/>
  <c r="DM11" i="13" a="1"/>
  <c r="DM11" i="13" s="1"/>
  <c r="DC11" i="13" a="1"/>
  <c r="DC11" i="13" s="1"/>
  <c r="DH11" i="13" a="1"/>
  <c r="DH11" i="13" s="1"/>
  <c r="DN11" i="13" a="1"/>
  <c r="DN11" i="13" s="1"/>
  <c r="DL11" i="13" a="1"/>
  <c r="DL11" i="13" s="1"/>
  <c r="DJ11" i="13" a="1"/>
  <c r="DJ11" i="13" s="1"/>
  <c r="DK11" i="13" a="1"/>
  <c r="DK11" i="13" s="1"/>
  <c r="DI11" i="13" a="1"/>
  <c r="DI11" i="13" s="1"/>
  <c r="DP11" i="13" a="1"/>
  <c r="DP11" i="13" s="1"/>
  <c r="DG11" i="13" a="1"/>
  <c r="DG11" i="13" s="1"/>
  <c r="CY8" i="14"/>
  <c r="CY11" i="14" s="1"/>
  <c r="CY25" i="14"/>
  <c r="CY28" i="14" s="1"/>
  <c r="CM25" i="14"/>
  <c r="CM28" i="14" s="1"/>
  <c r="CM8" i="14"/>
  <c r="CM11" i="14" s="1"/>
  <c r="CU8" i="14"/>
  <c r="CU11" i="14" s="1"/>
  <c r="CU25" i="14"/>
  <c r="CU28" i="14" s="1"/>
  <c r="CP25" i="14"/>
  <c r="CP28" i="14" s="1"/>
  <c r="CP8" i="14"/>
  <c r="CP11" i="14" s="1"/>
  <c r="AG4" i="14"/>
  <c r="CD4" i="14"/>
  <c r="BZ4" i="14"/>
  <c r="N21" i="14"/>
  <c r="R21" i="14"/>
  <c r="BF21" i="14"/>
  <c r="CF4" i="14"/>
  <c r="BG4" i="14"/>
  <c r="I21" i="14"/>
  <c r="DJ4" i="13" a="1"/>
  <c r="DJ4" i="13" s="1"/>
  <c r="CV4" i="14" s="1"/>
  <c r="DB4" i="13" a="1"/>
  <c r="DB4" i="13" s="1"/>
  <c r="CN4" i="14" s="1"/>
  <c r="DI4" i="13" a="1"/>
  <c r="DI4" i="13" s="1"/>
  <c r="CU4" i="14" s="1"/>
  <c r="DA4" i="13" a="1"/>
  <c r="DA4" i="13" s="1"/>
  <c r="CM4" i="14" s="1"/>
  <c r="DH4" i="13" a="1"/>
  <c r="DH4" i="13" s="1"/>
  <c r="CT21" i="14" s="1"/>
  <c r="DK4" i="13" a="1"/>
  <c r="DK4" i="13" s="1"/>
  <c r="CW21" i="14" s="1"/>
  <c r="DG4" i="13" a="1"/>
  <c r="DG4" i="13" s="1"/>
  <c r="CS21" i="14" s="1"/>
  <c r="DL4" i="13" a="1"/>
  <c r="DL4" i="13" s="1"/>
  <c r="CX21" i="14" s="1"/>
  <c r="DF4" i="13" a="1"/>
  <c r="DF4" i="13" s="1"/>
  <c r="CR21" i="14" s="1"/>
  <c r="DE4" i="13" a="1"/>
  <c r="DE4" i="13" s="1"/>
  <c r="CQ21" i="14" s="1"/>
  <c r="DD4" i="13" a="1"/>
  <c r="DD4" i="13" s="1"/>
  <c r="CP21" i="14" s="1"/>
  <c r="DM4" i="13" a="1"/>
  <c r="DM4" i="13" s="1"/>
  <c r="DO4" i="13" a="1"/>
  <c r="DO4" i="13" s="1"/>
  <c r="DA4" i="14" s="1"/>
  <c r="DP4" i="13" a="1"/>
  <c r="DP4" i="13" s="1"/>
  <c r="DB4" i="14" s="1"/>
  <c r="DN4" i="13" a="1"/>
  <c r="DN4" i="13" s="1"/>
  <c r="CZ21" i="14" s="1"/>
  <c r="DC4" i="13" a="1"/>
  <c r="DC4" i="13" s="1"/>
  <c r="CO21" i="14" s="1"/>
  <c r="W12" i="13"/>
  <c r="CW6" i="14"/>
  <c r="CX6" i="14"/>
  <c r="CY6" i="14"/>
  <c r="CX4" i="14"/>
  <c r="CY23" i="14"/>
  <c r="CX23" i="14"/>
  <c r="CW5" i="14"/>
  <c r="CW22" i="14"/>
  <c r="CW23" i="14"/>
  <c r="CY5" i="14"/>
  <c r="CY22" i="14"/>
  <c r="CX5" i="14"/>
  <c r="CX22" i="14"/>
  <c r="AE18" i="4"/>
  <c r="BP4" i="14"/>
  <c r="W21" i="14"/>
  <c r="AL21" i="14"/>
  <c r="CN6" i="14"/>
  <c r="CP6" i="14"/>
  <c r="CT6" i="14"/>
  <c r="CZ6" i="14"/>
  <c r="CQ6" i="14"/>
  <c r="DA6" i="14"/>
  <c r="CU6" i="14"/>
  <c r="CR6" i="14"/>
  <c r="DB6" i="14"/>
  <c r="CO6" i="14"/>
  <c r="CV6" i="14"/>
  <c r="CM6" i="14"/>
  <c r="CS6" i="14"/>
  <c r="CN5" i="14"/>
  <c r="CN22" i="14"/>
  <c r="CR5" i="14"/>
  <c r="CR22" i="14"/>
  <c r="CV5" i="14"/>
  <c r="CV22" i="14"/>
  <c r="BT21" i="14"/>
  <c r="CZ5" i="14"/>
  <c r="CZ22" i="14"/>
  <c r="CS5" i="14"/>
  <c r="CS22" i="14"/>
  <c r="DB23" i="14"/>
  <c r="DA5" i="14"/>
  <c r="DA22" i="14"/>
  <c r="CO5" i="14"/>
  <c r="CO22" i="14"/>
  <c r="BE4" i="14"/>
  <c r="CO23" i="14"/>
  <c r="CM5" i="14"/>
  <c r="CM22" i="14"/>
  <c r="CQ5" i="14"/>
  <c r="CQ22" i="14"/>
  <c r="DA23" i="14"/>
  <c r="CS23" i="14"/>
  <c r="CT5" i="14"/>
  <c r="CT22" i="14"/>
  <c r="CN23" i="14"/>
  <c r="CT23" i="14"/>
  <c r="CP5" i="14"/>
  <c r="CP22" i="14"/>
  <c r="BW4" i="14"/>
  <c r="CU23" i="14"/>
  <c r="CQ23" i="14"/>
  <c r="DB5" i="14"/>
  <c r="DB22" i="14"/>
  <c r="CU5" i="14"/>
  <c r="CU22" i="14"/>
  <c r="V21" i="14"/>
  <c r="AK21" i="14"/>
  <c r="S4" i="14"/>
  <c r="Z4" i="14"/>
  <c r="BD21" i="14"/>
  <c r="AK22" i="14"/>
  <c r="AO21" i="14"/>
  <c r="BS5" i="14"/>
  <c r="CH4" i="14"/>
  <c r="CH7" i="14" s="1"/>
  <c r="AZ4" i="14"/>
  <c r="CN21" i="14"/>
  <c r="CV21" i="14"/>
  <c r="DB21" i="14"/>
  <c r="CS4" i="14"/>
  <c r="W31" i="13"/>
  <c r="W35" i="13" s="1"/>
  <c r="BV4" i="14"/>
  <c r="I34" i="6"/>
  <c r="Y4" i="14"/>
  <c r="AC18" i="4"/>
  <c r="AJ4" i="14"/>
  <c r="U4" i="14"/>
  <c r="BK18" i="4"/>
  <c r="CE32" i="14"/>
  <c r="CE34" i="14" s="1"/>
  <c r="R15" i="14"/>
  <c r="R17" i="14" s="1"/>
  <c r="CF15" i="14"/>
  <c r="CF17" i="14" s="1"/>
  <c r="V6" i="14"/>
  <c r="V7" i="14" s="1"/>
  <c r="AT6" i="14"/>
  <c r="AT7" i="14" s="1"/>
  <c r="BR6" i="14"/>
  <c r="BZ6" i="14"/>
  <c r="BZ7" i="14" s="1"/>
  <c r="CH6" i="14"/>
  <c r="O6" i="14"/>
  <c r="O7" i="14" s="1"/>
  <c r="W6" i="14"/>
  <c r="W7" i="14" s="1"/>
  <c r="AE6" i="14"/>
  <c r="AE7" i="14" s="1"/>
  <c r="BK6" i="14"/>
  <c r="BK7" i="14" s="1"/>
  <c r="P6" i="14"/>
  <c r="P7" i="14" s="1"/>
  <c r="BD6" i="14"/>
  <c r="BD7" i="14" s="1"/>
  <c r="BL6" i="14"/>
  <c r="BL7" i="14" s="1"/>
  <c r="BT6" i="14"/>
  <c r="BT7" i="14" s="1"/>
  <c r="BE6" i="14"/>
  <c r="BM6" i="14"/>
  <c r="BM7" i="14" s="1"/>
  <c r="R6" i="14"/>
  <c r="R7" i="14" s="1"/>
  <c r="Z6" i="14"/>
  <c r="BF6" i="14"/>
  <c r="BF7" i="14" s="1"/>
  <c r="AI6" i="14"/>
  <c r="AI7" i="14" s="1"/>
  <c r="BG6" i="14"/>
  <c r="BG7" i="14" s="1"/>
  <c r="T6" i="14"/>
  <c r="T7" i="14" s="1"/>
  <c r="AJ6" i="14"/>
  <c r="AZ6" i="14"/>
  <c r="BP6" i="14"/>
  <c r="BI6" i="14"/>
  <c r="BI7" i="14" s="1"/>
  <c r="BQ6" i="14"/>
  <c r="BQ7" i="14" s="1"/>
  <c r="W6" i="13"/>
  <c r="W7" i="13" s="1"/>
  <c r="BA6" i="14"/>
  <c r="BA7" i="14" s="1"/>
  <c r="J21" i="14"/>
  <c r="AN4" i="14"/>
  <c r="BR4" i="14"/>
  <c r="BI32" i="14"/>
  <c r="BI34" i="14" s="1"/>
  <c r="AY4" i="14"/>
  <c r="AH21" i="14"/>
  <c r="BC4" i="14"/>
  <c r="X4" i="14"/>
  <c r="V32" i="14"/>
  <c r="V34" i="14" s="1"/>
  <c r="BR21" i="14"/>
  <c r="T21" i="14"/>
  <c r="AR4" i="14"/>
  <c r="Z15" i="14"/>
  <c r="Z17" i="14" s="1"/>
  <c r="V15" i="14"/>
  <c r="V17" i="14" s="1"/>
  <c r="BO21" i="14"/>
  <c r="BQ15" i="14"/>
  <c r="BQ17" i="14" s="1"/>
  <c r="BX32" i="14"/>
  <c r="BX34" i="14" s="1"/>
  <c r="CB32" i="14"/>
  <c r="CB34" i="14" s="1"/>
  <c r="BL23" i="14"/>
  <c r="AE22" i="14"/>
  <c r="BI23" i="14"/>
  <c r="BA32" i="14"/>
  <c r="BA34" i="14" s="1"/>
  <c r="N22" i="14"/>
  <c r="I4" i="14"/>
  <c r="U22" i="14"/>
  <c r="AZ15" i="14"/>
  <c r="AZ17" i="14" s="1"/>
  <c r="BS21" i="14"/>
  <c r="AO15" i="14"/>
  <c r="AO17" i="14" s="1"/>
  <c r="AM22" i="14"/>
  <c r="V22" i="14"/>
  <c r="Y32" i="14"/>
  <c r="Y34" i="14" s="1"/>
  <c r="U32" i="14"/>
  <c r="U34" i="14" s="1"/>
  <c r="AV32" i="14"/>
  <c r="AV34" i="14" s="1"/>
  <c r="AC21" i="14"/>
  <c r="CG22" i="14"/>
  <c r="BC18" i="4"/>
  <c r="AD18" i="4"/>
  <c r="N11" i="15"/>
  <c r="BZ22" i="14"/>
  <c r="AC22" i="14"/>
  <c r="Y22" i="14"/>
  <c r="W23" i="14"/>
  <c r="BP23" i="14"/>
  <c r="P23" i="14"/>
  <c r="P22" i="14"/>
  <c r="AP21" i="14"/>
  <c r="N8" i="15"/>
  <c r="CD22" i="14"/>
  <c r="N13" i="15"/>
  <c r="AV22" i="14"/>
  <c r="M23" i="15"/>
  <c r="BU6" i="14"/>
  <c r="BU7" i="14" s="1"/>
  <c r="T22" i="14"/>
  <c r="N23" i="15"/>
  <c r="BY21" i="14"/>
  <c r="BZ32" i="14"/>
  <c r="BZ34" i="14" s="1"/>
  <c r="AL6" i="14"/>
  <c r="AL7" i="14" s="1"/>
  <c r="AY6" i="14"/>
  <c r="BY6" i="14"/>
  <c r="BY7" i="14" s="1"/>
  <c r="BH4" i="14"/>
  <c r="CG6" i="14"/>
  <c r="CG7" i="14" s="1"/>
  <c r="AD6" i="14"/>
  <c r="AD7" i="14" s="1"/>
  <c r="CE6" i="14"/>
  <c r="AH6" i="14"/>
  <c r="AH7" i="14" s="1"/>
  <c r="AP6" i="14"/>
  <c r="AP7" i="14" s="1"/>
  <c r="X6" i="14"/>
  <c r="N10" i="15"/>
  <c r="AW6" i="14"/>
  <c r="AW7" i="14" s="1"/>
  <c r="S6" i="14"/>
  <c r="M22" i="14"/>
  <c r="CD6" i="14"/>
  <c r="CD7" i="14" s="1"/>
  <c r="AK6" i="14"/>
  <c r="AK7" i="14" s="1"/>
  <c r="N26" i="15"/>
  <c r="K11" i="15"/>
  <c r="N32" i="15"/>
  <c r="BJ22" i="14"/>
  <c r="N24" i="15"/>
  <c r="E32" i="15"/>
  <c r="E23" i="15"/>
  <c r="BA22" i="14"/>
  <c r="CC22" i="14"/>
  <c r="M28" i="15"/>
  <c r="H32" i="15"/>
  <c r="L22" i="14"/>
  <c r="Z22" i="14"/>
  <c r="N28" i="15"/>
  <c r="AR22" i="14"/>
  <c r="AW22" i="14"/>
  <c r="AP22" i="14"/>
  <c r="BI22" i="14"/>
  <c r="Z23" i="14"/>
  <c r="CF22" i="14"/>
  <c r="K33" i="15"/>
  <c r="D30" i="15"/>
  <c r="L30" i="15"/>
  <c r="BG22" i="14"/>
  <c r="J6" i="15"/>
  <c r="R22" i="14"/>
  <c r="M27" i="15"/>
  <c r="G32" i="15"/>
  <c r="O22" i="14"/>
  <c r="W22" i="14"/>
  <c r="AQ22" i="14"/>
  <c r="CE22" i="14"/>
  <c r="E27" i="15"/>
  <c r="H24" i="15"/>
  <c r="E28" i="15"/>
  <c r="I24" i="15"/>
  <c r="E33" i="15"/>
  <c r="G24" i="15"/>
  <c r="E34" i="15"/>
  <c r="E31" i="15"/>
  <c r="E26" i="15"/>
  <c r="O24" i="15"/>
  <c r="L24" i="15"/>
  <c r="BB22" i="14"/>
  <c r="X22" i="14"/>
  <c r="K26" i="15"/>
  <c r="O30" i="15"/>
  <c r="K23" i="15"/>
  <c r="K22" i="14"/>
  <c r="M34" i="15"/>
  <c r="I32" i="15"/>
  <c r="BD23" i="14"/>
  <c r="BE22" i="14"/>
  <c r="N27" i="15"/>
  <c r="CJ22" i="14"/>
  <c r="N9" i="15"/>
  <c r="O6" i="15"/>
  <c r="E10" i="15"/>
  <c r="L6" i="15"/>
  <c r="E16" i="15"/>
  <c r="I6" i="15"/>
  <c r="H6" i="15"/>
  <c r="D6" i="15"/>
  <c r="E9" i="15"/>
  <c r="G6" i="15"/>
  <c r="E8" i="15"/>
  <c r="E13" i="15"/>
  <c r="E5" i="15"/>
  <c r="E15" i="15"/>
  <c r="AN22" i="14"/>
  <c r="X29" i="14"/>
  <c r="X31" i="14" s="1"/>
  <c r="AV29" i="14"/>
  <c r="AV31" i="14" s="1"/>
  <c r="CJ29" i="14"/>
  <c r="CJ31" i="14" s="1"/>
  <c r="BE29" i="14"/>
  <c r="BE31" i="14" s="1"/>
  <c r="AP29" i="14"/>
  <c r="AP31" i="14" s="1"/>
  <c r="AL29" i="14"/>
  <c r="AL31" i="14" s="1"/>
  <c r="BK29" i="14"/>
  <c r="BK31" i="14" s="1"/>
  <c r="BV29" i="14"/>
  <c r="BV31" i="14" s="1"/>
  <c r="BJ29" i="14"/>
  <c r="BJ31" i="14" s="1"/>
  <c r="BL29" i="14"/>
  <c r="BL31" i="14" s="1"/>
  <c r="J29" i="14"/>
  <c r="J31" i="14" s="1"/>
  <c r="AI29" i="14"/>
  <c r="AI31" i="14" s="1"/>
  <c r="CI29" i="14"/>
  <c r="CI31" i="14" s="1"/>
  <c r="BG29" i="14"/>
  <c r="BG31" i="14" s="1"/>
  <c r="BO29" i="14"/>
  <c r="BO31" i="14" s="1"/>
  <c r="BU29" i="14"/>
  <c r="BU31" i="14" s="1"/>
  <c r="BT29" i="14"/>
  <c r="BT31" i="14" s="1"/>
  <c r="BA29" i="14"/>
  <c r="BA31" i="14" s="1"/>
  <c r="O23" i="14"/>
  <c r="BM22" i="14"/>
  <c r="K27" i="15"/>
  <c r="E30" i="15"/>
  <c r="BY22" i="14"/>
  <c r="J24" i="15"/>
  <c r="AI22" i="14"/>
  <c r="L32" i="15"/>
  <c r="BU22" i="14"/>
  <c r="N5" i="15"/>
  <c r="BF22" i="14"/>
  <c r="N6" i="15"/>
  <c r="BD22" i="14"/>
  <c r="AU22" i="14"/>
  <c r="K24" i="15"/>
  <c r="I30" i="15"/>
  <c r="E17" i="15"/>
  <c r="I15" i="15"/>
  <c r="G15" i="15"/>
  <c r="N16" i="15"/>
  <c r="H15" i="15"/>
  <c r="L15" i="15"/>
  <c r="D15" i="15"/>
  <c r="O15" i="15"/>
  <c r="J15" i="15"/>
  <c r="D24" i="15"/>
  <c r="AX22" i="14"/>
  <c r="BR22" i="14"/>
  <c r="E11" i="15"/>
  <c r="AS22" i="14"/>
  <c r="J32" i="15"/>
  <c r="K32" i="15"/>
  <c r="Q22" i="14"/>
  <c r="BL22" i="14"/>
  <c r="BT22" i="14"/>
  <c r="CH22" i="14"/>
  <c r="K28" i="15"/>
  <c r="M30" i="15"/>
  <c r="P26" i="15"/>
  <c r="O33" i="15"/>
  <c r="L33" i="15"/>
  <c r="D33" i="15"/>
  <c r="I33" i="15"/>
  <c r="J33" i="15"/>
  <c r="H33" i="15"/>
  <c r="N34" i="15"/>
  <c r="G33" i="15"/>
  <c r="BN22" i="14"/>
  <c r="CA22" i="14"/>
  <c r="N29" i="15"/>
  <c r="AB22" i="14"/>
  <c r="BQ22" i="14"/>
  <c r="D32" i="15"/>
  <c r="BH22" i="14"/>
  <c r="AG22" i="14"/>
  <c r="BG18" i="4"/>
  <c r="BC22" i="14"/>
  <c r="BT23" i="14"/>
  <c r="BK22" i="14"/>
  <c r="CD29" i="14"/>
  <c r="CD31" i="14" s="1"/>
  <c r="K34" i="15"/>
  <c r="H30" i="15"/>
  <c r="J22" i="14"/>
  <c r="BO22" i="14"/>
  <c r="K29" i="15"/>
  <c r="M29" i="15"/>
  <c r="AO22" i="14"/>
  <c r="AA22" i="14"/>
  <c r="O32" i="15"/>
  <c r="AY22" i="14"/>
  <c r="CE7" i="14"/>
  <c r="CB22" i="14"/>
  <c r="M33" i="15"/>
  <c r="M31" i="15"/>
  <c r="BW22" i="14"/>
  <c r="S22" i="14"/>
  <c r="AH22" i="14"/>
  <c r="M26" i="15"/>
  <c r="J30" i="15"/>
  <c r="G30" i="15"/>
  <c r="N31" i="15"/>
  <c r="I13" i="6"/>
  <c r="M12" i="15" s="1"/>
  <c r="L12" i="15"/>
  <c r="N12" i="15"/>
  <c r="G12" i="15"/>
  <c r="H12" i="15"/>
  <c r="I12" i="15"/>
  <c r="O12" i="15"/>
  <c r="E12" i="15"/>
  <c r="D12" i="15"/>
  <c r="J12" i="15"/>
  <c r="K16" i="15"/>
  <c r="K10" i="15"/>
  <c r="K9" i="15"/>
  <c r="K13" i="15"/>
  <c r="K6" i="15"/>
  <c r="K8" i="15"/>
  <c r="K5" i="15"/>
  <c r="K15" i="15"/>
  <c r="BP22" i="14"/>
  <c r="E29" i="15"/>
  <c r="AJ22" i="14"/>
  <c r="M24" i="15"/>
  <c r="I22" i="14"/>
  <c r="BX22" i="14"/>
  <c r="X23" i="14"/>
  <c r="AL22" i="14"/>
  <c r="AD22" i="14"/>
  <c r="I28" i="14"/>
  <c r="BV22" i="14"/>
  <c r="AZ22" i="14"/>
  <c r="Y29" i="14"/>
  <c r="Y31" i="14" s="1"/>
  <c r="K31" i="15"/>
  <c r="N30" i="15"/>
  <c r="AN7" i="4"/>
  <c r="AN18" i="4" s="1"/>
  <c r="AA7" i="4"/>
  <c r="AA18" i="4" s="1"/>
  <c r="AK7" i="4"/>
  <c r="AK18" i="4" s="1"/>
  <c r="Z7" i="4"/>
  <c r="Z18" i="4" s="1"/>
  <c r="BD7" i="4"/>
  <c r="BD18" i="4" s="1"/>
  <c r="BF7" i="4"/>
  <c r="BF18" i="4" s="1"/>
  <c r="AP7" i="4"/>
  <c r="AP18" i="4" s="1"/>
  <c r="AT7" i="4"/>
  <c r="AT18" i="4" s="1"/>
  <c r="AO7" i="4"/>
  <c r="AO18" i="4" s="1"/>
  <c r="BQ7" i="4"/>
  <c r="BQ18" i="4" s="1"/>
  <c r="AM7" i="4"/>
  <c r="AM18" i="4" s="1"/>
  <c r="AL7" i="4"/>
  <c r="AL18" i="4" s="1"/>
  <c r="AJ7" i="4"/>
  <c r="AJ18" i="4" s="1"/>
  <c r="AF7" i="4"/>
  <c r="AF18" i="4" s="1"/>
  <c r="AV7" i="4"/>
  <c r="AV18" i="4" s="1"/>
  <c r="BH7" i="4"/>
  <c r="BH18" i="4" s="1"/>
  <c r="BN7" i="4"/>
  <c r="BN18" i="4" s="1"/>
  <c r="BT7" i="4"/>
  <c r="BT18" i="4" s="1"/>
  <c r="AU7" i="4"/>
  <c r="AU18" i="4" s="1"/>
  <c r="BI7" i="4"/>
  <c r="BI18" i="4" s="1"/>
  <c r="AG7" i="4"/>
  <c r="AG18" i="4" s="1"/>
  <c r="BE7" i="4"/>
  <c r="BE18" i="4" s="1"/>
  <c r="BM7" i="4"/>
  <c r="BM18" i="4" s="1"/>
  <c r="BA7" i="4"/>
  <c r="BA18" i="4" s="1"/>
  <c r="AI7" i="4"/>
  <c r="AI18" i="4" s="1"/>
  <c r="X7" i="4"/>
  <c r="X18" i="4" s="1"/>
  <c r="AS7" i="4"/>
  <c r="AS18" i="4" s="1"/>
  <c r="BB7" i="4"/>
  <c r="BB18" i="4" s="1"/>
  <c r="Y7" i="4"/>
  <c r="Y18" i="4" s="1"/>
  <c r="AH7" i="4"/>
  <c r="AH18" i="4" s="1"/>
  <c r="BS7" i="4"/>
  <c r="BS18" i="4" s="1"/>
  <c r="AW7" i="4"/>
  <c r="AW18" i="4" s="1"/>
  <c r="BP7" i="4"/>
  <c r="BP18" i="4" s="1"/>
  <c r="BO7" i="4"/>
  <c r="BO18" i="4" s="1"/>
  <c r="AZ7" i="4"/>
  <c r="AZ18" i="4" s="1"/>
  <c r="BR7" i="4"/>
  <c r="BR18" i="4" s="1"/>
  <c r="AY7" i="4"/>
  <c r="AY18" i="4" s="1"/>
  <c r="AB7" i="4"/>
  <c r="AB18" i="4" s="1"/>
  <c r="AQ7" i="4"/>
  <c r="AQ18" i="4" s="1"/>
  <c r="AX7" i="4"/>
  <c r="AX18" i="4" s="1"/>
  <c r="BL7" i="4"/>
  <c r="BL18" i="4" s="1"/>
  <c r="CQ24" i="14" l="1"/>
  <c r="CO24" i="14"/>
  <c r="BE7" i="14"/>
  <c r="BP7" i="14"/>
  <c r="CZ4" i="14"/>
  <c r="CU21" i="14"/>
  <c r="CU24" i="14" s="1"/>
  <c r="CQ4" i="14"/>
  <c r="CT4" i="14"/>
  <c r="CT7" i="14" s="1"/>
  <c r="S7" i="14"/>
  <c r="DA21" i="14"/>
  <c r="DA24" i="14" s="1"/>
  <c r="CV7" i="14"/>
  <c r="CO4" i="14"/>
  <c r="CO7" i="14" s="1"/>
  <c r="Z7" i="14"/>
  <c r="CS24" i="14"/>
  <c r="DB7" i="14"/>
  <c r="CS7" i="14"/>
  <c r="CW4" i="14"/>
  <c r="CW24" i="14"/>
  <c r="CW35" i="14" s="1"/>
  <c r="CR4" i="14"/>
  <c r="CR7" i="14" s="1"/>
  <c r="CM21" i="14"/>
  <c r="CY21" i="14"/>
  <c r="CY24" i="14" s="1"/>
  <c r="CY35" i="14" s="1"/>
  <c r="CY4" i="14"/>
  <c r="CY7" i="14" s="1"/>
  <c r="CY18" i="14" s="1"/>
  <c r="CP4" i="14"/>
  <c r="CP7" i="14" s="1"/>
  <c r="CX24" i="14"/>
  <c r="CX35" i="14" s="1"/>
  <c r="CW7" i="14"/>
  <c r="CW18" i="14" s="1"/>
  <c r="CX7" i="14"/>
  <c r="CX18" i="14" s="1"/>
  <c r="CM7" i="14"/>
  <c r="CN7" i="14"/>
  <c r="S29" i="14"/>
  <c r="S31" i="14" s="1"/>
  <c r="AB29" i="14"/>
  <c r="AB31" i="14" s="1"/>
  <c r="Y6" i="14"/>
  <c r="CZ7" i="14"/>
  <c r="CN24" i="14"/>
  <c r="AW29" i="14"/>
  <c r="AW31" i="14" s="1"/>
  <c r="R29" i="14"/>
  <c r="R31" i="14" s="1"/>
  <c r="DA7" i="14"/>
  <c r="CU7" i="14"/>
  <c r="CT24" i="14"/>
  <c r="V29" i="14"/>
  <c r="V31" i="14" s="1"/>
  <c r="BF29" i="14"/>
  <c r="BF31" i="14" s="1"/>
  <c r="BQ32" i="14"/>
  <c r="BQ34" i="14" s="1"/>
  <c r="AZ29" i="14"/>
  <c r="AZ31" i="14" s="1"/>
  <c r="AE29" i="14"/>
  <c r="AE31" i="14" s="1"/>
  <c r="BQ29" i="14"/>
  <c r="BQ31" i="14" s="1"/>
  <c r="CZ23" i="14"/>
  <c r="CZ24" i="14" s="1"/>
  <c r="CP23" i="14"/>
  <c r="CP24" i="14" s="1"/>
  <c r="CM23" i="14"/>
  <c r="CM24" i="14" s="1"/>
  <c r="BR7" i="14"/>
  <c r="CV23" i="14"/>
  <c r="CV24" i="14" s="1"/>
  <c r="BR29" i="14"/>
  <c r="BR31" i="14" s="1"/>
  <c r="AZ7" i="14"/>
  <c r="CM29" i="14"/>
  <c r="CM31" i="14" s="1"/>
  <c r="DA12" i="14"/>
  <c r="DA14" i="14" s="1"/>
  <c r="CR12" i="14"/>
  <c r="CR14" i="14" s="1"/>
  <c r="CN15" i="14"/>
  <c r="CN17" i="14" s="1"/>
  <c r="CN32" i="14"/>
  <c r="CN34" i="14" s="1"/>
  <c r="CT15" i="14"/>
  <c r="CT17" i="14" s="1"/>
  <c r="CT32" i="14"/>
  <c r="CT34" i="14" s="1"/>
  <c r="CT29" i="14"/>
  <c r="CT31" i="14" s="1"/>
  <c r="CP29" i="14"/>
  <c r="CP31" i="14" s="1"/>
  <c r="CU12" i="14"/>
  <c r="CU14" i="14" s="1"/>
  <c r="CP12" i="14"/>
  <c r="CP14" i="14" s="1"/>
  <c r="CZ15" i="14"/>
  <c r="CZ17" i="14" s="1"/>
  <c r="CZ32" i="14"/>
  <c r="CZ34" i="14" s="1"/>
  <c r="DB15" i="14"/>
  <c r="DB17" i="14" s="1"/>
  <c r="DB32" i="14"/>
  <c r="DB34" i="14" s="1"/>
  <c r="CE29" i="14"/>
  <c r="CE31" i="14" s="1"/>
  <c r="AJ7" i="14"/>
  <c r="DB24" i="14"/>
  <c r="CZ29" i="14"/>
  <c r="CZ31" i="14" s="1"/>
  <c r="CV29" i="14"/>
  <c r="CV31" i="14" s="1"/>
  <c r="CO12" i="14"/>
  <c r="CO14" i="14" s="1"/>
  <c r="CV12" i="14"/>
  <c r="CV14" i="14" s="1"/>
  <c r="CP15" i="14"/>
  <c r="CP17" i="14" s="1"/>
  <c r="CP32" i="14"/>
  <c r="CP34" i="14" s="1"/>
  <c r="CM15" i="14"/>
  <c r="CM17" i="14" s="1"/>
  <c r="CM32" i="14"/>
  <c r="CM34" i="14" s="1"/>
  <c r="CR29" i="14"/>
  <c r="CR31" i="14" s="1"/>
  <c r="CS29" i="14"/>
  <c r="CS31" i="14" s="1"/>
  <c r="CM12" i="14"/>
  <c r="CM14" i="14" s="1"/>
  <c r="DA15" i="14"/>
  <c r="DA17" i="14" s="1"/>
  <c r="DA32" i="14"/>
  <c r="DA34" i="14" s="1"/>
  <c r="CH29" i="14"/>
  <c r="CH31" i="14" s="1"/>
  <c r="DA29" i="14"/>
  <c r="DA31" i="14" s="1"/>
  <c r="CU29" i="14"/>
  <c r="CU31" i="14" s="1"/>
  <c r="CN12" i="14"/>
  <c r="CN14" i="14" s="1"/>
  <c r="CV15" i="14"/>
  <c r="CV17" i="14" s="1"/>
  <c r="CV32" i="14"/>
  <c r="CV34" i="14" s="1"/>
  <c r="CR23" i="14"/>
  <c r="CR24" i="14" s="1"/>
  <c r="BS29" i="14"/>
  <c r="BS31" i="14" s="1"/>
  <c r="CF29" i="14"/>
  <c r="CF31" i="14" s="1"/>
  <c r="CA29" i="14"/>
  <c r="CA31" i="14" s="1"/>
  <c r="CQ29" i="14"/>
  <c r="CQ31" i="14" s="1"/>
  <c r="CO29" i="14"/>
  <c r="CO31" i="14" s="1"/>
  <c r="CO35" i="14" s="1"/>
  <c r="CT12" i="14"/>
  <c r="CT14" i="14" s="1"/>
  <c r="CQ15" i="14"/>
  <c r="CQ17" i="14" s="1"/>
  <c r="CQ32" i="14"/>
  <c r="CQ34" i="14" s="1"/>
  <c r="BG23" i="14"/>
  <c r="BG24" i="14" s="1"/>
  <c r="AM29" i="14"/>
  <c r="AM31" i="14" s="1"/>
  <c r="BQ23" i="14"/>
  <c r="BQ24" i="14" s="1"/>
  <c r="CQ7" i="14"/>
  <c r="CN29" i="14"/>
  <c r="CN31" i="14" s="1"/>
  <c r="CS12" i="14"/>
  <c r="CS14" i="14" s="1"/>
  <c r="DB12" i="14"/>
  <c r="DB14" i="14" s="1"/>
  <c r="DB18" i="14" s="1"/>
  <c r="CR15" i="14"/>
  <c r="CR17" i="14" s="1"/>
  <c r="CR32" i="14"/>
  <c r="CR34" i="14" s="1"/>
  <c r="P29" i="14"/>
  <c r="P31" i="14" s="1"/>
  <c r="AR23" i="14"/>
  <c r="AR24" i="14" s="1"/>
  <c r="DB29" i="14"/>
  <c r="DB31" i="14" s="1"/>
  <c r="CQ12" i="14"/>
  <c r="CQ14" i="14" s="1"/>
  <c r="CZ12" i="14"/>
  <c r="CZ14" i="14" s="1"/>
  <c r="CU15" i="14"/>
  <c r="CU17" i="14" s="1"/>
  <c r="CU32" i="14"/>
  <c r="CU34" i="14" s="1"/>
  <c r="CS15" i="14"/>
  <c r="CS17" i="14" s="1"/>
  <c r="CS32" i="14"/>
  <c r="CS34" i="14" s="1"/>
  <c r="Y7" i="14"/>
  <c r="Z29" i="14"/>
  <c r="Z31" i="14" s="1"/>
  <c r="BC29" i="14"/>
  <c r="BC31" i="14" s="1"/>
  <c r="BX29" i="14"/>
  <c r="BX31" i="14" s="1"/>
  <c r="R23" i="14"/>
  <c r="AK29" i="14"/>
  <c r="AK31" i="14" s="1"/>
  <c r="AQ29" i="14"/>
  <c r="AQ31" i="14" s="1"/>
  <c r="AT29" i="14"/>
  <c r="AT31" i="14" s="1"/>
  <c r="BZ29" i="14"/>
  <c r="BZ31" i="14" s="1"/>
  <c r="BD29" i="14"/>
  <c r="BD31" i="14" s="1"/>
  <c r="N6" i="14"/>
  <c r="N7" i="14" s="1"/>
  <c r="AO32" i="14"/>
  <c r="AO34" i="14" s="1"/>
  <c r="K29" i="14"/>
  <c r="K31" i="14" s="1"/>
  <c r="BM29" i="14"/>
  <c r="BM31" i="14" s="1"/>
  <c r="M29" i="14"/>
  <c r="M31" i="14" s="1"/>
  <c r="AR29" i="14"/>
  <c r="AR31" i="14" s="1"/>
  <c r="AG29" i="14"/>
  <c r="AG31" i="14" s="1"/>
  <c r="BW29" i="14"/>
  <c r="BW31" i="14" s="1"/>
  <c r="AU29" i="14"/>
  <c r="AU31" i="14" s="1"/>
  <c r="AZ23" i="14"/>
  <c r="BK23" i="14"/>
  <c r="AO29" i="14"/>
  <c r="AO31" i="14" s="1"/>
  <c r="I29" i="14"/>
  <c r="CG29" i="14"/>
  <c r="CG31" i="14" s="1"/>
  <c r="BZ23" i="14"/>
  <c r="AJ23" i="14"/>
  <c r="AJ24" i="14" s="1"/>
  <c r="BV6" i="14"/>
  <c r="BV7" i="14" s="1"/>
  <c r="BA23" i="14"/>
  <c r="BA24" i="14" s="1"/>
  <c r="BA35" i="14" s="1"/>
  <c r="V23" i="14"/>
  <c r="V24" i="14" s="1"/>
  <c r="AY7" i="14"/>
  <c r="BE23" i="14"/>
  <c r="BE24" i="14" s="1"/>
  <c r="BE35" i="14" s="1"/>
  <c r="BE32" i="14"/>
  <c r="BE34" i="14" s="1"/>
  <c r="BE15" i="14"/>
  <c r="BE17" i="14" s="1"/>
  <c r="AS29" i="14"/>
  <c r="AS31" i="14" s="1"/>
  <c r="T29" i="14"/>
  <c r="T31" i="14" s="1"/>
  <c r="BN29" i="14"/>
  <c r="BN31" i="14" s="1"/>
  <c r="AD29" i="14"/>
  <c r="AD31" i="14" s="1"/>
  <c r="L29" i="14"/>
  <c r="L31" i="14" s="1"/>
  <c r="AI23" i="14"/>
  <c r="AI24" i="14" s="1"/>
  <c r="BB32" i="14"/>
  <c r="BB34" i="14" s="1"/>
  <c r="AB6" i="14"/>
  <c r="AB7" i="14" s="1"/>
  <c r="AB23" i="14"/>
  <c r="AB24" i="14" s="1"/>
  <c r="AQ6" i="14"/>
  <c r="AQ7" i="14" s="1"/>
  <c r="AQ23" i="14"/>
  <c r="AQ24" i="14" s="1"/>
  <c r="CJ6" i="14"/>
  <c r="CJ7" i="14" s="1"/>
  <c r="CJ23" i="14"/>
  <c r="AM6" i="14"/>
  <c r="AM7" i="14" s="1"/>
  <c r="AM23" i="14"/>
  <c r="AM24" i="14" s="1"/>
  <c r="AM35" i="14" s="1"/>
  <c r="BB6" i="14"/>
  <c r="BB7" i="14" s="1"/>
  <c r="BB23" i="14"/>
  <c r="BB24" i="14" s="1"/>
  <c r="BX15" i="14"/>
  <c r="BX17" i="14" s="1"/>
  <c r="BV15" i="14"/>
  <c r="BV17" i="14" s="1"/>
  <c r="BV32" i="14"/>
  <c r="BV34" i="14" s="1"/>
  <c r="AP15" i="14"/>
  <c r="AP17" i="14" s="1"/>
  <c r="AP32" i="14"/>
  <c r="AP34" i="14" s="1"/>
  <c r="BL32" i="14"/>
  <c r="BL34" i="14" s="1"/>
  <c r="BL15" i="14"/>
  <c r="BL17" i="14" s="1"/>
  <c r="AB32" i="14"/>
  <c r="AB34" i="14" s="1"/>
  <c r="AB15" i="14"/>
  <c r="AB17" i="14" s="1"/>
  <c r="X32" i="14"/>
  <c r="X34" i="14" s="1"/>
  <c r="X15" i="14"/>
  <c r="X17" i="14" s="1"/>
  <c r="BC15" i="14"/>
  <c r="BC17" i="14" s="1"/>
  <c r="BC32" i="14"/>
  <c r="BC34" i="14" s="1"/>
  <c r="BI15" i="14"/>
  <c r="BI17" i="14" s="1"/>
  <c r="BN32" i="14"/>
  <c r="BN34" i="14" s="1"/>
  <c r="BN15" i="14"/>
  <c r="BN17" i="14" s="1"/>
  <c r="BH29" i="14"/>
  <c r="BH31" i="14" s="1"/>
  <c r="T23" i="14"/>
  <c r="BB15" i="14"/>
  <c r="BB17" i="14" s="1"/>
  <c r="BX6" i="14"/>
  <c r="BX7" i="14" s="1"/>
  <c r="BX23" i="14"/>
  <c r="BX24" i="14" s="1"/>
  <c r="BX35" i="14" s="1"/>
  <c r="L6" i="14"/>
  <c r="L7" i="14" s="1"/>
  <c r="L23" i="14"/>
  <c r="L24" i="14" s="1"/>
  <c r="CI6" i="14"/>
  <c r="CI7" i="14" s="1"/>
  <c r="CI23" i="14"/>
  <c r="CI24" i="14" s="1"/>
  <c r="BA15" i="14"/>
  <c r="BA17" i="14" s="1"/>
  <c r="BF32" i="14"/>
  <c r="BF34" i="14" s="1"/>
  <c r="BF15" i="14"/>
  <c r="BF17" i="14" s="1"/>
  <c r="Z32" i="14"/>
  <c r="Z34" i="14" s="1"/>
  <c r="AW15" i="14"/>
  <c r="AW17" i="14" s="1"/>
  <c r="AW32" i="14"/>
  <c r="AW34" i="14" s="1"/>
  <c r="BS15" i="14"/>
  <c r="BS17" i="14" s="1"/>
  <c r="BS32" i="14"/>
  <c r="BS34" i="14" s="1"/>
  <c r="BW15" i="14"/>
  <c r="BW17" i="14" s="1"/>
  <c r="BW32" i="14"/>
  <c r="BW34" i="14" s="1"/>
  <c r="W32" i="14"/>
  <c r="W34" i="14" s="1"/>
  <c r="W15" i="14"/>
  <c r="W17" i="14" s="1"/>
  <c r="AT32" i="14"/>
  <c r="AT34" i="14" s="1"/>
  <c r="AT15" i="14"/>
  <c r="AT17" i="14" s="1"/>
  <c r="CH23" i="14"/>
  <c r="CH24" i="14" s="1"/>
  <c r="CF6" i="14"/>
  <c r="CF7" i="14" s="1"/>
  <c r="CF23" i="14"/>
  <c r="CF24" i="14" s="1"/>
  <c r="CB29" i="14"/>
  <c r="CB31" i="14" s="1"/>
  <c r="W29" i="14"/>
  <c r="W31" i="14" s="1"/>
  <c r="AA29" i="14"/>
  <c r="AA31" i="14" s="1"/>
  <c r="CJ24" i="14"/>
  <c r="CJ35" i="14" s="1"/>
  <c r="BM23" i="14"/>
  <c r="BM24" i="14" s="1"/>
  <c r="BM35" i="14" s="1"/>
  <c r="U6" i="14"/>
  <c r="U7" i="14" s="1"/>
  <c r="U23" i="14"/>
  <c r="U24" i="14" s="1"/>
  <c r="CA6" i="14"/>
  <c r="CA7" i="14" s="1"/>
  <c r="CA23" i="14"/>
  <c r="CA24" i="14" s="1"/>
  <c r="AS32" i="14"/>
  <c r="AS34" i="14" s="1"/>
  <c r="AS15" i="14"/>
  <c r="AS17" i="14" s="1"/>
  <c r="AY32" i="14"/>
  <c r="AY34" i="14" s="1"/>
  <c r="AY15" i="14"/>
  <c r="AY17" i="14" s="1"/>
  <c r="R32" i="14"/>
  <c r="R34" i="14" s="1"/>
  <c r="BK15" i="14"/>
  <c r="BK17" i="14" s="1"/>
  <c r="BK32" i="14"/>
  <c r="BK34" i="14" s="1"/>
  <c r="AR32" i="14"/>
  <c r="AR34" i="14" s="1"/>
  <c r="AR15" i="14"/>
  <c r="AR17" i="14" s="1"/>
  <c r="O32" i="14"/>
  <c r="O34" i="14" s="1"/>
  <c r="O15" i="14"/>
  <c r="O17" i="14" s="1"/>
  <c r="AL15" i="14"/>
  <c r="AL17" i="14" s="1"/>
  <c r="AL32" i="14"/>
  <c r="AL34" i="14" s="1"/>
  <c r="CA15" i="14"/>
  <c r="CA17" i="14" s="1"/>
  <c r="AX29" i="14"/>
  <c r="AX31" i="14" s="1"/>
  <c r="AT23" i="14"/>
  <c r="AT24" i="14" s="1"/>
  <c r="K6" i="14"/>
  <c r="K7" i="14" s="1"/>
  <c r="K23" i="14"/>
  <c r="K24" i="14" s="1"/>
  <c r="AO6" i="14"/>
  <c r="AO7" i="14" s="1"/>
  <c r="AO23" i="14"/>
  <c r="AO24" i="14" s="1"/>
  <c r="AO35" i="14" s="1"/>
  <c r="AK15" i="14"/>
  <c r="AK17" i="14" s="1"/>
  <c r="AK32" i="14"/>
  <c r="AK34" i="14" s="1"/>
  <c r="AI32" i="14"/>
  <c r="AI34" i="14" s="1"/>
  <c r="AI15" i="14"/>
  <c r="AI17" i="14" s="1"/>
  <c r="J32" i="14"/>
  <c r="J34" i="14" s="1"/>
  <c r="J15" i="14"/>
  <c r="J17" i="14" s="1"/>
  <c r="Y15" i="14"/>
  <c r="Y17" i="14" s="1"/>
  <c r="BD15" i="14"/>
  <c r="BD17" i="14" s="1"/>
  <c r="BD32" i="14"/>
  <c r="BD34" i="14" s="1"/>
  <c r="CH15" i="14"/>
  <c r="CH17" i="14" s="1"/>
  <c r="CH32" i="14"/>
  <c r="CH34" i="14" s="1"/>
  <c r="BG15" i="14"/>
  <c r="BG17" i="14" s="1"/>
  <c r="BG32" i="14"/>
  <c r="BG34" i="14" s="1"/>
  <c r="AD15" i="14"/>
  <c r="AD17" i="14" s="1"/>
  <c r="AD32" i="14"/>
  <c r="AD34" i="14" s="1"/>
  <c r="AH32" i="14"/>
  <c r="AH34" i="14" s="1"/>
  <c r="AH15" i="14"/>
  <c r="AH17" i="14" s="1"/>
  <c r="AN29" i="14"/>
  <c r="AN31" i="14" s="1"/>
  <c r="M6" i="14"/>
  <c r="M7" i="14" s="1"/>
  <c r="M23" i="14"/>
  <c r="M24" i="14" s="1"/>
  <c r="AG6" i="14"/>
  <c r="AG7" i="14" s="1"/>
  <c r="AG23" i="14"/>
  <c r="AG24" i="14" s="1"/>
  <c r="AV6" i="14"/>
  <c r="AV7" i="14" s="1"/>
  <c r="AV23" i="14"/>
  <c r="AV24" i="14" s="1"/>
  <c r="AV35" i="14" s="1"/>
  <c r="BO15" i="14"/>
  <c r="BO17" i="14" s="1"/>
  <c r="BO32" i="14"/>
  <c r="BO34" i="14" s="1"/>
  <c r="AC15" i="14"/>
  <c r="AC17" i="14" s="1"/>
  <c r="AC32" i="14"/>
  <c r="AC34" i="14" s="1"/>
  <c r="AA15" i="14"/>
  <c r="AA17" i="14" s="1"/>
  <c r="AA32" i="14"/>
  <c r="AA34" i="14" s="1"/>
  <c r="AZ32" i="14"/>
  <c r="AZ34" i="14" s="1"/>
  <c r="Q32" i="14"/>
  <c r="Q34" i="14" s="1"/>
  <c r="Q15" i="14"/>
  <c r="Q17" i="14" s="1"/>
  <c r="AV15" i="14"/>
  <c r="AV17" i="14" s="1"/>
  <c r="BZ15" i="14"/>
  <c r="BZ17" i="14" s="1"/>
  <c r="CG32" i="14"/>
  <c r="CG34" i="14" s="1"/>
  <c r="CG15" i="14"/>
  <c r="CG17" i="14" s="1"/>
  <c r="AX6" i="14"/>
  <c r="AX7" i="14" s="1"/>
  <c r="AX23" i="14"/>
  <c r="AX24" i="14" s="1"/>
  <c r="P32" i="14"/>
  <c r="P34" i="14" s="1"/>
  <c r="AY29" i="14"/>
  <c r="AY31" i="14" s="1"/>
  <c r="Q29" i="14"/>
  <c r="Q31" i="14" s="1"/>
  <c r="AE23" i="14"/>
  <c r="AE24" i="14" s="1"/>
  <c r="CA32" i="14"/>
  <c r="CA34" i="14" s="1"/>
  <c r="T15" i="14"/>
  <c r="T17" i="14" s="1"/>
  <c r="T32" i="14"/>
  <c r="T34" i="14" s="1"/>
  <c r="U15" i="14"/>
  <c r="U17" i="14" s="1"/>
  <c r="S32" i="14"/>
  <c r="S34" i="14" s="1"/>
  <c r="S15" i="14"/>
  <c r="S17" i="14" s="1"/>
  <c r="CB15" i="14"/>
  <c r="CB17" i="14" s="1"/>
  <c r="I15" i="14"/>
  <c r="I17" i="14" s="1"/>
  <c r="I32" i="14"/>
  <c r="I34" i="14" s="1"/>
  <c r="W17" i="13"/>
  <c r="AN15" i="14"/>
  <c r="AN17" i="14" s="1"/>
  <c r="AN32" i="14"/>
  <c r="AN34" i="14" s="1"/>
  <c r="BR15" i="14"/>
  <c r="BR17" i="14" s="1"/>
  <c r="BR32" i="14"/>
  <c r="BR34" i="14" s="1"/>
  <c r="BY15" i="14"/>
  <c r="BY17" i="14" s="1"/>
  <c r="BY32" i="14"/>
  <c r="BY34" i="14" s="1"/>
  <c r="N32" i="14"/>
  <c r="N34" i="14" s="1"/>
  <c r="N15" i="14"/>
  <c r="N17" i="14" s="1"/>
  <c r="BF23" i="14"/>
  <c r="BF24" i="14" s="1"/>
  <c r="CB6" i="14"/>
  <c r="CB7" i="14" s="1"/>
  <c r="CB23" i="14"/>
  <c r="CB24" i="14" s="1"/>
  <c r="BH32" i="14"/>
  <c r="BH34" i="14" s="1"/>
  <c r="BH15" i="14"/>
  <c r="BH17" i="14" s="1"/>
  <c r="AE15" i="14"/>
  <c r="AE17" i="14" s="1"/>
  <c r="AE32" i="14"/>
  <c r="AE34" i="14" s="1"/>
  <c r="AF29" i="14"/>
  <c r="AF31" i="14" s="1"/>
  <c r="AJ29" i="14"/>
  <c r="AJ31" i="14" s="1"/>
  <c r="P15" i="14"/>
  <c r="P17" i="14" s="1"/>
  <c r="AS6" i="14"/>
  <c r="AS7" i="14" s="1"/>
  <c r="AS23" i="14"/>
  <c r="AS24" i="14" s="1"/>
  <c r="CC6" i="14"/>
  <c r="CC7" i="14" s="1"/>
  <c r="CC23" i="14"/>
  <c r="CC24" i="14" s="1"/>
  <c r="Q6" i="14"/>
  <c r="Q7" i="14" s="1"/>
  <c r="Q23" i="14"/>
  <c r="Q24" i="14" s="1"/>
  <c r="AF6" i="14"/>
  <c r="AF7" i="14" s="1"/>
  <c r="AF23" i="14"/>
  <c r="AF24" i="14" s="1"/>
  <c r="AU6" i="14"/>
  <c r="AU7" i="14" s="1"/>
  <c r="AU23" i="14"/>
  <c r="AU24" i="14" s="1"/>
  <c r="BJ6" i="14"/>
  <c r="BJ7" i="14" s="1"/>
  <c r="BJ23" i="14"/>
  <c r="BJ24" i="14" s="1"/>
  <c r="CF32" i="14"/>
  <c r="CF34" i="14" s="1"/>
  <c r="CD15" i="14"/>
  <c r="CD17" i="14" s="1"/>
  <c r="CD32" i="14"/>
  <c r="CD34" i="14" s="1"/>
  <c r="BU15" i="14"/>
  <c r="BU17" i="14" s="1"/>
  <c r="BU32" i="14"/>
  <c r="BU34" i="14" s="1"/>
  <c r="BT15" i="14"/>
  <c r="BT17" i="14" s="1"/>
  <c r="BT32" i="14"/>
  <c r="BT34" i="14" s="1"/>
  <c r="CE15" i="14"/>
  <c r="CE17" i="14" s="1"/>
  <c r="AF32" i="14"/>
  <c r="AF34" i="14" s="1"/>
  <c r="AF15" i="14"/>
  <c r="AF17" i="14" s="1"/>
  <c r="BJ32" i="14"/>
  <c r="BJ34" i="14" s="1"/>
  <c r="BJ15" i="14"/>
  <c r="BJ17" i="14" s="1"/>
  <c r="X7" i="14"/>
  <c r="BL24" i="14"/>
  <c r="BZ24" i="14"/>
  <c r="BK24" i="14"/>
  <c r="O24" i="14"/>
  <c r="BV23" i="14"/>
  <c r="BV24" i="14" s="1"/>
  <c r="BV35" i="14" s="1"/>
  <c r="W24" i="14"/>
  <c r="BI24" i="14"/>
  <c r="P24" i="14"/>
  <c r="CG23" i="14"/>
  <c r="CG24" i="14" s="1"/>
  <c r="BU23" i="14"/>
  <c r="BU24" i="14" s="1"/>
  <c r="BR23" i="14"/>
  <c r="BR24" i="14" s="1"/>
  <c r="CE23" i="14"/>
  <c r="CE24" i="14" s="1"/>
  <c r="CE35" i="14" s="1"/>
  <c r="R24" i="14"/>
  <c r="AD23" i="14"/>
  <c r="AD24" i="14" s="1"/>
  <c r="Y23" i="14"/>
  <c r="Y24" i="14" s="1"/>
  <c r="Y35" i="14" s="1"/>
  <c r="BD24" i="14"/>
  <c r="Q26" i="15"/>
  <c r="P30" i="15"/>
  <c r="T24" i="14"/>
  <c r="BP24" i="14"/>
  <c r="S23" i="14"/>
  <c r="S24" i="14" s="1"/>
  <c r="AZ24" i="14"/>
  <c r="BY23" i="14"/>
  <c r="BY24" i="14" s="1"/>
  <c r="AH23" i="14"/>
  <c r="AH24" i="14" s="1"/>
  <c r="P6" i="15"/>
  <c r="AL23" i="14"/>
  <c r="AL24" i="14" s="1"/>
  <c r="P12" i="15"/>
  <c r="CD23" i="14"/>
  <c r="CD24" i="14" s="1"/>
  <c r="CD35" i="14" s="1"/>
  <c r="BS6" i="14"/>
  <c r="BS7" i="14" s="1"/>
  <c r="BS23" i="14"/>
  <c r="BS24" i="14" s="1"/>
  <c r="AK23" i="14"/>
  <c r="AK24" i="14" s="1"/>
  <c r="Z24" i="14"/>
  <c r="AP23" i="14"/>
  <c r="AP24" i="14" s="1"/>
  <c r="I6" i="14"/>
  <c r="I7" i="14" s="1"/>
  <c r="I23" i="14"/>
  <c r="I24" i="14" s="1"/>
  <c r="BH6" i="14"/>
  <c r="BH7" i="14" s="1"/>
  <c r="BH23" i="14"/>
  <c r="BH24" i="14" s="1"/>
  <c r="J6" i="14"/>
  <c r="J7" i="14" s="1"/>
  <c r="J23" i="14"/>
  <c r="J24" i="14" s="1"/>
  <c r="J35" i="14" s="1"/>
  <c r="AR6" i="14"/>
  <c r="AR7" i="14" s="1"/>
  <c r="BW6" i="14"/>
  <c r="BW7" i="14" s="1"/>
  <c r="BW23" i="14"/>
  <c r="BW24" i="14" s="1"/>
  <c r="AW23" i="14"/>
  <c r="AW24" i="14" s="1"/>
  <c r="BO6" i="14"/>
  <c r="BO7" i="14" s="1"/>
  <c r="BO23" i="14"/>
  <c r="BO24" i="14" s="1"/>
  <c r="AN6" i="14"/>
  <c r="AN7" i="14" s="1"/>
  <c r="AN23" i="14"/>
  <c r="AN24" i="14" s="1"/>
  <c r="AY23" i="14"/>
  <c r="AY24" i="14" s="1"/>
  <c r="BN6" i="14"/>
  <c r="BN7" i="14" s="1"/>
  <c r="BN23" i="14"/>
  <c r="BN24" i="14" s="1"/>
  <c r="AC6" i="14"/>
  <c r="AC7" i="14" s="1"/>
  <c r="AC23" i="14"/>
  <c r="AC24" i="14" s="1"/>
  <c r="N23" i="14"/>
  <c r="N24" i="14" s="1"/>
  <c r="BC6" i="14"/>
  <c r="BC7" i="14" s="1"/>
  <c r="BC23" i="14"/>
  <c r="BC24" i="14" s="1"/>
  <c r="AA6" i="14"/>
  <c r="AA7" i="14" s="1"/>
  <c r="AA23" i="14"/>
  <c r="BT24" i="14"/>
  <c r="J35" i="15"/>
  <c r="P27" i="15"/>
  <c r="K35" i="15"/>
  <c r="N35" i="15"/>
  <c r="P28" i="15"/>
  <c r="L35" i="15"/>
  <c r="P24" i="15"/>
  <c r="I35" i="15"/>
  <c r="P34" i="15"/>
  <c r="H35" i="15"/>
  <c r="G35" i="15"/>
  <c r="E35" i="15"/>
  <c r="P23" i="15"/>
  <c r="D35" i="15"/>
  <c r="O35" i="15"/>
  <c r="M35" i="15"/>
  <c r="AK12" i="14"/>
  <c r="AK14" i="14" s="1"/>
  <c r="AK18" i="14" s="1"/>
  <c r="T12" i="14"/>
  <c r="T14" i="14" s="1"/>
  <c r="AC12" i="14"/>
  <c r="AC14" i="14" s="1"/>
  <c r="BY12" i="14"/>
  <c r="BY14" i="14" s="1"/>
  <c r="BY18" i="14" s="1"/>
  <c r="BG12" i="14"/>
  <c r="BG14" i="14" s="1"/>
  <c r="CB12" i="14"/>
  <c r="CB14" i="14" s="1"/>
  <c r="BJ12" i="14"/>
  <c r="BJ14" i="14" s="1"/>
  <c r="L12" i="14"/>
  <c r="L14" i="14" s="1"/>
  <c r="AW12" i="14"/>
  <c r="AW14" i="14" s="1"/>
  <c r="AU12" i="14"/>
  <c r="AU14" i="14" s="1"/>
  <c r="P29" i="15"/>
  <c r="S12" i="14"/>
  <c r="S14" i="14" s="1"/>
  <c r="BP12" i="14"/>
  <c r="BP14" i="14" s="1"/>
  <c r="BP18" i="14" s="1"/>
  <c r="BB12" i="14"/>
  <c r="BB14" i="14" s="1"/>
  <c r="BH12" i="14"/>
  <c r="BH14" i="14" s="1"/>
  <c r="CC12" i="14"/>
  <c r="CC14" i="14" s="1"/>
  <c r="BI12" i="14"/>
  <c r="BI14" i="14" s="1"/>
  <c r="AQ12" i="14"/>
  <c r="AQ14" i="14" s="1"/>
  <c r="AQ18" i="14" s="1"/>
  <c r="AP12" i="14"/>
  <c r="AP14" i="14" s="1"/>
  <c r="R12" i="14"/>
  <c r="R14" i="14" s="1"/>
  <c r="R18" i="14" s="1"/>
  <c r="BQ12" i="14"/>
  <c r="BQ14" i="14" s="1"/>
  <c r="BQ18" i="14" s="1"/>
  <c r="BM12" i="14"/>
  <c r="BM14" i="14" s="1"/>
  <c r="BM18" i="14" s="1"/>
  <c r="BU12" i="14"/>
  <c r="BU14" i="14" s="1"/>
  <c r="CF12" i="14"/>
  <c r="CF14" i="14" s="1"/>
  <c r="AH12" i="14"/>
  <c r="AH14" i="14" s="1"/>
  <c r="AD12" i="14"/>
  <c r="AD14" i="14" s="1"/>
  <c r="AD18" i="14" s="1"/>
  <c r="CE12" i="14"/>
  <c r="CE14" i="14" s="1"/>
  <c r="CE18" i="14" s="1"/>
  <c r="P12" i="14"/>
  <c r="P14" i="14" s="1"/>
  <c r="P18" i="14" s="1"/>
  <c r="AE12" i="14"/>
  <c r="AE14" i="14" s="1"/>
  <c r="CJ12" i="14"/>
  <c r="CJ14" i="14" s="1"/>
  <c r="X12" i="14"/>
  <c r="X14" i="14" s="1"/>
  <c r="I31" i="14"/>
  <c r="CI35" i="14"/>
  <c r="AO12" i="14"/>
  <c r="AO14" i="14" s="1"/>
  <c r="BA12" i="14"/>
  <c r="BA14" i="14" s="1"/>
  <c r="BO12" i="14"/>
  <c r="BO14" i="14" s="1"/>
  <c r="O12" i="14"/>
  <c r="O14" i="14" s="1"/>
  <c r="O18" i="14" s="1"/>
  <c r="W12" i="14"/>
  <c r="W14" i="14" s="1"/>
  <c r="U12" i="14"/>
  <c r="U14" i="14" s="1"/>
  <c r="J12" i="14"/>
  <c r="J14" i="14" s="1"/>
  <c r="N12" i="14"/>
  <c r="N14" i="14" s="1"/>
  <c r="AB12" i="14"/>
  <c r="AB14" i="14" s="1"/>
  <c r="BX12" i="14"/>
  <c r="BX14" i="14" s="1"/>
  <c r="BB29" i="14"/>
  <c r="BB31" i="14" s="1"/>
  <c r="L17" i="15"/>
  <c r="P13" i="15"/>
  <c r="O17" i="15"/>
  <c r="P10" i="15"/>
  <c r="G17" i="15"/>
  <c r="P8" i="15"/>
  <c r="N17" i="15"/>
  <c r="P15" i="15"/>
  <c r="D17" i="15"/>
  <c r="H17" i="15"/>
  <c r="I17" i="15"/>
  <c r="J17" i="15"/>
  <c r="P16" i="15"/>
  <c r="P9" i="15"/>
  <c r="P11" i="15"/>
  <c r="X24" i="14"/>
  <c r="X35" i="14" s="1"/>
  <c r="P32" i="15"/>
  <c r="CD12" i="14"/>
  <c r="CD14" i="14" s="1"/>
  <c r="CD18" i="14" s="1"/>
  <c r="AY12" i="14"/>
  <c r="AY14" i="14" s="1"/>
  <c r="AT12" i="14"/>
  <c r="AT14" i="14" s="1"/>
  <c r="AT18" i="14" s="1"/>
  <c r="BR12" i="14"/>
  <c r="BR14" i="14" s="1"/>
  <c r="AS12" i="14"/>
  <c r="AS14" i="14" s="1"/>
  <c r="K12" i="14"/>
  <c r="K14" i="14" s="1"/>
  <c r="AN12" i="14"/>
  <c r="AN14" i="14" s="1"/>
  <c r="AR12" i="14"/>
  <c r="AR14" i="14" s="1"/>
  <c r="AF12" i="14"/>
  <c r="AF14" i="14" s="1"/>
  <c r="AA12" i="14"/>
  <c r="AA14" i="14" s="1"/>
  <c r="AH29" i="14"/>
  <c r="AH31" i="14" s="1"/>
  <c r="N14" i="15"/>
  <c r="L14" i="15"/>
  <c r="K14" i="15"/>
  <c r="G14" i="15"/>
  <c r="H14" i="15"/>
  <c r="O14" i="15"/>
  <c r="I14" i="15"/>
  <c r="E14" i="15"/>
  <c r="D14" i="15"/>
  <c r="J14" i="15"/>
  <c r="P14" i="15"/>
  <c r="M16" i="15"/>
  <c r="M6" i="15"/>
  <c r="M9" i="15"/>
  <c r="M10" i="15"/>
  <c r="M13" i="15"/>
  <c r="M5" i="15"/>
  <c r="M8" i="15"/>
  <c r="M15" i="15"/>
  <c r="M11" i="15"/>
  <c r="I17" i="6"/>
  <c r="M17" i="15"/>
  <c r="V12" i="14"/>
  <c r="V14" i="14" s="1"/>
  <c r="V18" i="14" s="1"/>
  <c r="I12" i="14"/>
  <c r="I14" i="14" s="1"/>
  <c r="W14" i="13"/>
  <c r="CH12" i="14"/>
  <c r="CH14" i="14" s="1"/>
  <c r="CH18" i="14" s="1"/>
  <c r="AJ12" i="14"/>
  <c r="AJ14" i="14" s="1"/>
  <c r="AX12" i="14"/>
  <c r="AX14" i="14" s="1"/>
  <c r="CI12" i="14"/>
  <c r="CI14" i="14" s="1"/>
  <c r="CI18" i="14" s="1"/>
  <c r="CG12" i="14"/>
  <c r="CG14" i="14" s="1"/>
  <c r="BV12" i="14"/>
  <c r="BV14" i="14" s="1"/>
  <c r="BV18" i="14" s="1"/>
  <c r="BZ12" i="14"/>
  <c r="BZ14" i="14" s="1"/>
  <c r="AV12" i="14"/>
  <c r="AV14" i="14" s="1"/>
  <c r="AV18" i="14" s="1"/>
  <c r="N29" i="14"/>
  <c r="N31" i="14" s="1"/>
  <c r="AC29" i="14"/>
  <c r="AC31" i="14" s="1"/>
  <c r="BS12" i="14"/>
  <c r="BS14" i="14" s="1"/>
  <c r="Z12" i="14"/>
  <c r="Z14" i="14" s="1"/>
  <c r="Z18" i="14" s="1"/>
  <c r="M12" i="14"/>
  <c r="M14" i="14" s="1"/>
  <c r="BN12" i="14"/>
  <c r="BN14" i="14" s="1"/>
  <c r="AM12" i="14"/>
  <c r="AM14" i="14" s="1"/>
  <c r="Y12" i="14"/>
  <c r="Y14" i="14" s="1"/>
  <c r="BL12" i="14"/>
  <c r="BL14" i="14" s="1"/>
  <c r="BL18" i="14" s="1"/>
  <c r="BK12" i="14"/>
  <c r="BK14" i="14" s="1"/>
  <c r="BK18" i="14" s="1"/>
  <c r="BE12" i="14"/>
  <c r="BE14" i="14" s="1"/>
  <c r="BD12" i="14"/>
  <c r="BD14" i="14" s="1"/>
  <c r="BD18" i="14" s="1"/>
  <c r="P33" i="15"/>
  <c r="BP29" i="14"/>
  <c r="BP31" i="14" s="1"/>
  <c r="CC29" i="14"/>
  <c r="CC31" i="14" s="1"/>
  <c r="U29" i="14"/>
  <c r="U31" i="14" s="1"/>
  <c r="P31" i="15"/>
  <c r="AZ12" i="14"/>
  <c r="AZ14" i="14" s="1"/>
  <c r="AZ18" i="14" s="1"/>
  <c r="BT12" i="14"/>
  <c r="BT14" i="14" s="1"/>
  <c r="BT18" i="14" s="1"/>
  <c r="AG12" i="14"/>
  <c r="AG14" i="14" s="1"/>
  <c r="BC12" i="14"/>
  <c r="BC14" i="14" s="1"/>
  <c r="Q12" i="14"/>
  <c r="Q14" i="14" s="1"/>
  <c r="AI12" i="14"/>
  <c r="AI14" i="14" s="1"/>
  <c r="AI18" i="14" s="1"/>
  <c r="CA12" i="14"/>
  <c r="CA14" i="14" s="1"/>
  <c r="AL12" i="14"/>
  <c r="AL14" i="14" s="1"/>
  <c r="AL18" i="14" s="1"/>
  <c r="BW12" i="14"/>
  <c r="BW14" i="14" s="1"/>
  <c r="BF12" i="14"/>
  <c r="BF14" i="14" s="1"/>
  <c r="BF18" i="14" s="1"/>
  <c r="BI29" i="14"/>
  <c r="BI31" i="14" s="1"/>
  <c r="O29" i="14"/>
  <c r="O31" i="14" s="1"/>
  <c r="BY29" i="14"/>
  <c r="BY31" i="14" s="1"/>
  <c r="K17" i="15"/>
  <c r="P5" i="15"/>
  <c r="F28" i="15"/>
  <c r="F35" i="15"/>
  <c r="F34" i="15"/>
  <c r="F29" i="15"/>
  <c r="F27" i="15"/>
  <c r="P25" i="15"/>
  <c r="F26" i="15"/>
  <c r="K25" i="15"/>
  <c r="J25" i="15"/>
  <c r="F23" i="15"/>
  <c r="I25" i="15"/>
  <c r="M25" i="15"/>
  <c r="D25" i="15"/>
  <c r="H25" i="15"/>
  <c r="F33" i="15"/>
  <c r="O25" i="15"/>
  <c r="F30" i="15"/>
  <c r="G25" i="15"/>
  <c r="E25" i="15"/>
  <c r="N25" i="15"/>
  <c r="C25" i="15"/>
  <c r="L25" i="15"/>
  <c r="F31" i="15"/>
  <c r="F32" i="15"/>
  <c r="F24" i="15"/>
  <c r="C32" i="15"/>
  <c r="J22" i="15"/>
  <c r="C31" i="15"/>
  <c r="N22" i="15"/>
  <c r="D22" i="15"/>
  <c r="L22" i="15"/>
  <c r="C29" i="15"/>
  <c r="C26" i="15"/>
  <c r="G22" i="15"/>
  <c r="I22" i="15"/>
  <c r="F22" i="15"/>
  <c r="C27" i="15"/>
  <c r="C23" i="15"/>
  <c r="H22" i="15"/>
  <c r="K22" i="15"/>
  <c r="C28" i="15"/>
  <c r="C35" i="15"/>
  <c r="M22" i="15"/>
  <c r="C33" i="15"/>
  <c r="C34" i="15"/>
  <c r="O22" i="15"/>
  <c r="C30" i="15"/>
  <c r="C24" i="15"/>
  <c r="E22" i="15"/>
  <c r="P22" i="15"/>
  <c r="H7" i="15"/>
  <c r="L4" i="15"/>
  <c r="M4" i="15"/>
  <c r="C10" i="15"/>
  <c r="D4" i="15"/>
  <c r="C14" i="15"/>
  <c r="J4" i="15"/>
  <c r="C11" i="15"/>
  <c r="F10" i="15"/>
  <c r="G7" i="15"/>
  <c r="F8" i="15"/>
  <c r="O7" i="15"/>
  <c r="F11" i="15"/>
  <c r="N7" i="15"/>
  <c r="E7" i="15"/>
  <c r="K7" i="15"/>
  <c r="F12" i="15"/>
  <c r="F5" i="15"/>
  <c r="P7" i="15"/>
  <c r="F16" i="15"/>
  <c r="C7" i="15"/>
  <c r="L7" i="15"/>
  <c r="J7" i="15"/>
  <c r="M7" i="15"/>
  <c r="F13" i="15"/>
  <c r="F14" i="15"/>
  <c r="I7" i="15"/>
  <c r="F6" i="15"/>
  <c r="F15" i="15"/>
  <c r="F17" i="15"/>
  <c r="F9" i="15"/>
  <c r="D7" i="15"/>
  <c r="C5" i="15"/>
  <c r="K4" i="15"/>
  <c r="I4" i="15"/>
  <c r="C17" i="15"/>
  <c r="C8" i="15"/>
  <c r="C6" i="15"/>
  <c r="O4" i="15"/>
  <c r="C13" i="15"/>
  <c r="F4" i="15"/>
  <c r="H4" i="15"/>
  <c r="G4" i="15"/>
  <c r="E4" i="15"/>
  <c r="P4" i="15"/>
  <c r="N4" i="15"/>
  <c r="C15" i="15"/>
  <c r="C16" i="15"/>
  <c r="C9" i="15"/>
  <c r="C12" i="15"/>
  <c r="AM18" i="14" l="1"/>
  <c r="AP35" i="14"/>
  <c r="AX18" i="14"/>
  <c r="R35" i="14"/>
  <c r="CT18" i="14"/>
  <c r="CQ35" i="14"/>
  <c r="DL7" i="13" a="1"/>
  <c r="DL7" i="13" s="1"/>
  <c r="CP18" i="14"/>
  <c r="CN35" i="14"/>
  <c r="CN18" i="14"/>
  <c r="CO18" i="14"/>
  <c r="DN7" i="13" a="1"/>
  <c r="DN7" i="13" s="1"/>
  <c r="DH7" i="13" a="1"/>
  <c r="DH7" i="13" s="1"/>
  <c r="DC7" i="13" a="1"/>
  <c r="DC7" i="13" s="1"/>
  <c r="AJ18" i="14"/>
  <c r="K18" i="14"/>
  <c r="DP7" i="13" a="1"/>
  <c r="DP7" i="13" s="1"/>
  <c r="DD7" i="13" a="1"/>
  <c r="DD7" i="13" s="1"/>
  <c r="AO18" i="14"/>
  <c r="DA7" i="13" a="1"/>
  <c r="DA7" i="13" s="1"/>
  <c r="DO7" i="13" a="1"/>
  <c r="DO7" i="13" s="1"/>
  <c r="DF7" i="13" a="1"/>
  <c r="DF7" i="13" s="1"/>
  <c r="DI7" i="13" a="1"/>
  <c r="DI7" i="13" s="1"/>
  <c r="L18" i="14"/>
  <c r="DE7" i="13" a="1"/>
  <c r="DE7" i="13" s="1"/>
  <c r="DM7" i="13" a="1"/>
  <c r="DM7" i="13" s="1"/>
  <c r="DG7" i="13" a="1"/>
  <c r="DG7" i="13" s="1"/>
  <c r="DB7" i="13" a="1"/>
  <c r="DB7" i="13" s="1"/>
  <c r="AF18" i="14"/>
  <c r="DK7" i="13" a="1"/>
  <c r="DK7" i="13" s="1"/>
  <c r="DJ7" i="13" a="1"/>
  <c r="DJ7" i="13" s="1"/>
  <c r="CS35" i="14"/>
  <c r="CV18" i="14"/>
  <c r="CP35" i="14"/>
  <c r="CT35" i="14"/>
  <c r="BE18" i="14"/>
  <c r="AB18" i="14"/>
  <c r="CZ18" i="14"/>
  <c r="Y18" i="14"/>
  <c r="BI18" i="14"/>
  <c r="CF18" i="14"/>
  <c r="AY18" i="14"/>
  <c r="CG18" i="14"/>
  <c r="BT35" i="14"/>
  <c r="BA18" i="14"/>
  <c r="AP18" i="14"/>
  <c r="W18" i="13"/>
  <c r="AH18" i="14"/>
  <c r="BG35" i="14"/>
  <c r="Q18" i="14"/>
  <c r="BF35" i="14"/>
  <c r="BO35" i="14"/>
  <c r="BZ35" i="14"/>
  <c r="CZ35" i="14"/>
  <c r="AG35" i="14"/>
  <c r="AQ35" i="14"/>
  <c r="BS35" i="14"/>
  <c r="AZ35" i="14"/>
  <c r="S35" i="14"/>
  <c r="K35" i="14"/>
  <c r="V35" i="14"/>
  <c r="M35" i="14"/>
  <c r="BD35" i="14"/>
  <c r="BW35" i="14"/>
  <c r="AU35" i="14"/>
  <c r="L35" i="14"/>
  <c r="BQ35" i="14"/>
  <c r="Q32" i="15"/>
  <c r="F17" i="18"/>
  <c r="C17" i="18" s="1"/>
  <c r="B17" i="18" s="1"/>
  <c r="F60" i="18"/>
  <c r="C60" i="18" s="1"/>
  <c r="B60" i="18" s="1"/>
  <c r="M60" i="18" s="1"/>
  <c r="Q28" i="15"/>
  <c r="F39" i="18"/>
  <c r="C39" i="18" s="1"/>
  <c r="B39" i="18" s="1"/>
  <c r="J39" i="18" s="1"/>
  <c r="F52" i="18"/>
  <c r="C52" i="18" s="1"/>
  <c r="B52" i="18" s="1"/>
  <c r="F35" i="18"/>
  <c r="C35" i="18" s="1"/>
  <c r="B35" i="18" s="1"/>
  <c r="R35" i="18" s="1"/>
  <c r="F49" i="18"/>
  <c r="C49" i="18" s="1"/>
  <c r="B49" i="18" s="1"/>
  <c r="F37" i="18"/>
  <c r="C37" i="18" s="1"/>
  <c r="B37" i="18" s="1"/>
  <c r="O37" i="18" s="1"/>
  <c r="F28" i="18"/>
  <c r="C28" i="18" s="1"/>
  <c r="B28" i="18" s="1"/>
  <c r="F42" i="18"/>
  <c r="C42" i="18" s="1"/>
  <c r="B42" i="18" s="1"/>
  <c r="AB42" i="18" s="1"/>
  <c r="F50" i="18"/>
  <c r="C50" i="18" s="1"/>
  <c r="B50" i="18" s="1"/>
  <c r="AL50" i="18" s="1"/>
  <c r="F13" i="18"/>
  <c r="C13" i="18" s="1"/>
  <c r="B13" i="18" s="1"/>
  <c r="AG13" i="18" s="1"/>
  <c r="Q23" i="15"/>
  <c r="F29" i="18"/>
  <c r="C29" i="18" s="1"/>
  <c r="B29" i="18" s="1"/>
  <c r="AB29" i="18" s="1"/>
  <c r="F40" i="18"/>
  <c r="C40" i="18" s="1"/>
  <c r="B40" i="18" s="1"/>
  <c r="N40" i="18" s="1"/>
  <c r="F57" i="18"/>
  <c r="C57" i="18" s="1"/>
  <c r="B57" i="18" s="1"/>
  <c r="I57" i="18" s="1"/>
  <c r="F54" i="18"/>
  <c r="C54" i="18" s="1"/>
  <c r="B54" i="18" s="1"/>
  <c r="F24" i="18"/>
  <c r="C24" i="18" s="1"/>
  <c r="B24" i="18" s="1"/>
  <c r="P24" i="18" s="1"/>
  <c r="F27" i="18"/>
  <c r="C27" i="18" s="1"/>
  <c r="B27" i="18" s="1"/>
  <c r="K27" i="18" s="1"/>
  <c r="M36" i="15"/>
  <c r="Q25" i="15"/>
  <c r="F25" i="18"/>
  <c r="C25" i="18" s="1"/>
  <c r="B25" i="18" s="1"/>
  <c r="N25" i="18" s="1"/>
  <c r="F33" i="18"/>
  <c r="C33" i="18" s="1"/>
  <c r="B33" i="18" s="1"/>
  <c r="P33" i="18" s="1"/>
  <c r="F44" i="18"/>
  <c r="C44" i="18" s="1"/>
  <c r="B44" i="18" s="1"/>
  <c r="O44" i="18" s="1"/>
  <c r="F12" i="18"/>
  <c r="C12" i="18" s="1"/>
  <c r="B12" i="18" s="1"/>
  <c r="F26" i="18"/>
  <c r="C26" i="18" s="1"/>
  <c r="B26" i="18" s="1"/>
  <c r="S26" i="18" s="1"/>
  <c r="L36" i="15"/>
  <c r="Q22" i="15"/>
  <c r="F41" i="18"/>
  <c r="C41" i="18" s="1"/>
  <c r="B41" i="18" s="1"/>
  <c r="M41" i="18" s="1"/>
  <c r="F48" i="18"/>
  <c r="C48" i="18" s="1"/>
  <c r="B48" i="18" s="1"/>
  <c r="F51" i="18"/>
  <c r="C51" i="18" s="1"/>
  <c r="B51" i="18" s="1"/>
  <c r="P51" i="18" s="1"/>
  <c r="F43" i="18"/>
  <c r="C43" i="18" s="1"/>
  <c r="B43" i="18" s="1"/>
  <c r="AM43" i="18" s="1"/>
  <c r="F21" i="18"/>
  <c r="C21" i="18" s="1"/>
  <c r="B21" i="18" s="1"/>
  <c r="P21" i="18" s="1"/>
  <c r="F14" i="18"/>
  <c r="C14" i="18" s="1"/>
  <c r="B14" i="18" s="1"/>
  <c r="AM14" i="18" s="1"/>
  <c r="F22" i="18"/>
  <c r="C22" i="18" s="1"/>
  <c r="B22" i="18" s="1"/>
  <c r="R22" i="18" s="1"/>
  <c r="F45" i="18"/>
  <c r="C45" i="18" s="1"/>
  <c r="B45" i="18" s="1"/>
  <c r="I45" i="18" s="1"/>
  <c r="F56" i="18"/>
  <c r="C56" i="18" s="1"/>
  <c r="B56" i="18" s="1"/>
  <c r="F59" i="18"/>
  <c r="C59" i="18" s="1"/>
  <c r="B59" i="18" s="1"/>
  <c r="V59" i="18" s="1"/>
  <c r="F19" i="18"/>
  <c r="C19" i="18" s="1"/>
  <c r="B19" i="18" s="1"/>
  <c r="V19" i="18" s="1"/>
  <c r="H36" i="15"/>
  <c r="F15" i="18"/>
  <c r="C15" i="18" s="1"/>
  <c r="B15" i="18" s="1"/>
  <c r="AE15" i="18" s="1"/>
  <c r="F32" i="18"/>
  <c r="C32" i="18" s="1"/>
  <c r="B32" i="18" s="1"/>
  <c r="AB32" i="18" s="1"/>
  <c r="F34" i="18"/>
  <c r="C34" i="18" s="1"/>
  <c r="B34" i="18" s="1"/>
  <c r="T34" i="18" s="1"/>
  <c r="F46" i="18"/>
  <c r="C46" i="18" s="1"/>
  <c r="B46" i="18" s="1"/>
  <c r="M46" i="18" s="1"/>
  <c r="F61" i="18"/>
  <c r="C61" i="18" s="1"/>
  <c r="B61" i="18" s="1"/>
  <c r="AL61" i="18" s="1"/>
  <c r="D36" i="15"/>
  <c r="F18" i="18"/>
  <c r="C18" i="18" s="1"/>
  <c r="B18" i="18" s="1"/>
  <c r="AC18" i="18" s="1"/>
  <c r="F16" i="18"/>
  <c r="C16" i="18" s="1"/>
  <c r="B16" i="18" s="1"/>
  <c r="V16" i="18" s="1"/>
  <c r="F47" i="18"/>
  <c r="C47" i="18" s="1"/>
  <c r="B47" i="18" s="1"/>
  <c r="AE47" i="18" s="1"/>
  <c r="F30" i="18"/>
  <c r="C30" i="18" s="1"/>
  <c r="B30" i="18" s="1"/>
  <c r="O30" i="18" s="1"/>
  <c r="F23" i="18"/>
  <c r="C23" i="18" s="1"/>
  <c r="B23" i="18" s="1"/>
  <c r="AB23" i="18" s="1"/>
  <c r="F53" i="18"/>
  <c r="C53" i="18" s="1"/>
  <c r="B53" i="18" s="1"/>
  <c r="AC53" i="18" s="1"/>
  <c r="P36" i="15"/>
  <c r="CS18" i="14"/>
  <c r="CU35" i="14"/>
  <c r="CV35" i="14"/>
  <c r="DA35" i="14"/>
  <c r="CM18" i="14"/>
  <c r="DA18" i="14"/>
  <c r="CU18" i="14"/>
  <c r="CR35" i="14"/>
  <c r="CR18" i="14"/>
  <c r="DB35" i="14"/>
  <c r="CQ18" i="14"/>
  <c r="CM35" i="14"/>
  <c r="AI35" i="14"/>
  <c r="N18" i="14"/>
  <c r="CC18" i="14"/>
  <c r="BJ18" i="14"/>
  <c r="AB35" i="14"/>
  <c r="AE18" i="14"/>
  <c r="BC35" i="14"/>
  <c r="Z35" i="14"/>
  <c r="BU18" i="14"/>
  <c r="T35" i="14"/>
  <c r="BK35" i="14"/>
  <c r="BB35" i="14"/>
  <c r="BB18" i="14"/>
  <c r="AR35" i="14"/>
  <c r="AS18" i="14"/>
  <c r="BR35" i="14"/>
  <c r="AU18" i="14"/>
  <c r="BH35" i="14"/>
  <c r="AW18" i="14"/>
  <c r="AS35" i="14"/>
  <c r="P35" i="14"/>
  <c r="BZ18" i="14"/>
  <c r="AK35" i="14"/>
  <c r="M18" i="14"/>
  <c r="W18" i="14"/>
  <c r="CB35" i="14"/>
  <c r="AT35" i="14"/>
  <c r="BX18" i="14"/>
  <c r="BG18" i="14"/>
  <c r="CA18" i="14"/>
  <c r="S18" i="14"/>
  <c r="AN35" i="14"/>
  <c r="Q35" i="14"/>
  <c r="AX35" i="14"/>
  <c r="AE35" i="14"/>
  <c r="AJ35" i="14"/>
  <c r="BU35" i="14"/>
  <c r="CF35" i="14"/>
  <c r="CH35" i="14"/>
  <c r="CA35" i="14"/>
  <c r="AF35" i="14"/>
  <c r="F55" i="18"/>
  <c r="C55" i="18" s="1"/>
  <c r="B55" i="18" s="1"/>
  <c r="AJ55" i="18" s="1"/>
  <c r="O36" i="15"/>
  <c r="Q30" i="15"/>
  <c r="N36" i="15"/>
  <c r="U18" i="14"/>
  <c r="F36" i="18"/>
  <c r="C36" i="18" s="1"/>
  <c r="B36" i="18" s="1"/>
  <c r="I36" i="15"/>
  <c r="C36" i="15"/>
  <c r="Q35" i="15"/>
  <c r="Q27" i="15"/>
  <c r="Q31" i="15"/>
  <c r="X18" i="14"/>
  <c r="F38" i="18"/>
  <c r="C38" i="18" s="1"/>
  <c r="B38" i="18" s="1"/>
  <c r="N38" i="18" s="1"/>
  <c r="F36" i="15"/>
  <c r="K36" i="15"/>
  <c r="Q33" i="15"/>
  <c r="F58" i="18"/>
  <c r="C58" i="18" s="1"/>
  <c r="B58" i="18" s="1"/>
  <c r="W58" i="18" s="1"/>
  <c r="J36" i="15"/>
  <c r="Q29" i="15"/>
  <c r="F31" i="18"/>
  <c r="C31" i="18" s="1"/>
  <c r="B31" i="18" s="1"/>
  <c r="R31" i="18" s="1"/>
  <c r="Q24" i="15"/>
  <c r="E36" i="15"/>
  <c r="Q34" i="15"/>
  <c r="F20" i="18"/>
  <c r="C20" i="18" s="1"/>
  <c r="B20" i="18" s="1"/>
  <c r="S20" i="18" s="1"/>
  <c r="G36" i="15"/>
  <c r="BL35" i="14"/>
  <c r="U35" i="14"/>
  <c r="AN18" i="14"/>
  <c r="CJ18" i="14"/>
  <c r="AL35" i="14"/>
  <c r="AD35" i="14"/>
  <c r="CB18" i="14"/>
  <c r="AG18" i="14"/>
  <c r="BR18" i="14"/>
  <c r="BN35" i="14"/>
  <c r="AW35" i="14"/>
  <c r="W35" i="14"/>
  <c r="BJ35" i="14"/>
  <c r="T18" i="14"/>
  <c r="AY35" i="14"/>
  <c r="CG35" i="14"/>
  <c r="CC35" i="14"/>
  <c r="BP35" i="14"/>
  <c r="AC18" i="14"/>
  <c r="BS18" i="14"/>
  <c r="BI35" i="14"/>
  <c r="AC35" i="14"/>
  <c r="BW18" i="14"/>
  <c r="J18" i="14"/>
  <c r="BC18" i="14"/>
  <c r="BN18" i="14"/>
  <c r="I18" i="14"/>
  <c r="AA18" i="14"/>
  <c r="AH35" i="14"/>
  <c r="Q7" i="15"/>
  <c r="BO18" i="14"/>
  <c r="AR18" i="14"/>
  <c r="BY35" i="14"/>
  <c r="BH18" i="14"/>
  <c r="AA24" i="14"/>
  <c r="AA35" i="14" s="1"/>
  <c r="Q4" i="15"/>
  <c r="I35" i="14"/>
  <c r="O35" i="14"/>
  <c r="N35" i="14"/>
  <c r="I25" i="18"/>
  <c r="AF44" i="18"/>
  <c r="AL44" i="18"/>
  <c r="W44" i="18"/>
  <c r="V44" i="18"/>
  <c r="P44" i="18"/>
  <c r="AE44" i="18"/>
  <c r="AG44" i="18"/>
  <c r="AB44" i="18"/>
  <c r="H44" i="18"/>
  <c r="K44" i="18"/>
  <c r="AA44" i="18"/>
  <c r="AC24" i="18"/>
  <c r="I24" i="18"/>
  <c r="AA24" i="18"/>
  <c r="AF24" i="18"/>
  <c r="M24" i="18"/>
  <c r="O24" i="18"/>
  <c r="R24" i="18"/>
  <c r="H24" i="18"/>
  <c r="AB24" i="18"/>
  <c r="AI24" i="18"/>
  <c r="AM24" i="18"/>
  <c r="W24" i="18"/>
  <c r="J24" i="18"/>
  <c r="AE24" i="18"/>
  <c r="AG24" i="18"/>
  <c r="X24" i="18"/>
  <c r="AL24" i="18"/>
  <c r="K24" i="18"/>
  <c r="S24" i="18"/>
  <c r="AJ24" i="18"/>
  <c r="T24" i="18"/>
  <c r="J27" i="18"/>
  <c r="W27" i="18"/>
  <c r="AJ27" i="18"/>
  <c r="N27" i="18"/>
  <c r="AA27" i="18"/>
  <c r="AM27" i="18"/>
  <c r="P27" i="18"/>
  <c r="P22" i="18"/>
  <c r="O22" i="18"/>
  <c r="AA22" i="18"/>
  <c r="M22" i="18"/>
  <c r="V45" i="18"/>
  <c r="AJ21" i="18"/>
  <c r="R21" i="18"/>
  <c r="AG21" i="18"/>
  <c r="S21" i="18"/>
  <c r="K21" i="18"/>
  <c r="AI21" i="18"/>
  <c r="J21" i="18"/>
  <c r="AF21" i="18"/>
  <c r="AM21" i="18"/>
  <c r="AL21" i="18"/>
  <c r="M21" i="18"/>
  <c r="O21" i="18"/>
  <c r="R43" i="18"/>
  <c r="V43" i="18"/>
  <c r="I43" i="18"/>
  <c r="X43" i="18"/>
  <c r="AB43" i="18"/>
  <c r="AE43" i="18"/>
  <c r="AC43" i="18"/>
  <c r="P43" i="18"/>
  <c r="J43" i="18"/>
  <c r="N43" i="18"/>
  <c r="AM15" i="18"/>
  <c r="AF15" i="18"/>
  <c r="V15" i="18"/>
  <c r="AJ15" i="18"/>
  <c r="S15" i="18"/>
  <c r="P15" i="18"/>
  <c r="AC15" i="18"/>
  <c r="K15" i="18"/>
  <c r="N15" i="18"/>
  <c r="AA15" i="18"/>
  <c r="W15" i="18"/>
  <c r="O15" i="18"/>
  <c r="T32" i="18"/>
  <c r="R32" i="18"/>
  <c r="AJ32" i="18"/>
  <c r="AI32" i="18"/>
  <c r="K32" i="18"/>
  <c r="AG32" i="18"/>
  <c r="AA32" i="18"/>
  <c r="AF32" i="18"/>
  <c r="V32" i="18"/>
  <c r="AE32" i="18"/>
  <c r="N32" i="18"/>
  <c r="AL32" i="18"/>
  <c r="X34" i="18"/>
  <c r="O34" i="18"/>
  <c r="V34" i="18"/>
  <c r="J34" i="18"/>
  <c r="AI46" i="18"/>
  <c r="X26" i="18"/>
  <c r="AA26" i="18"/>
  <c r="O26" i="18"/>
  <c r="AG26" i="18"/>
  <c r="AC26" i="18"/>
  <c r="M26" i="18"/>
  <c r="V26" i="18"/>
  <c r="AI26" i="18"/>
  <c r="I26" i="18"/>
  <c r="AL26" i="18"/>
  <c r="AE26" i="18"/>
  <c r="AJ26" i="18"/>
  <c r="AF26" i="18"/>
  <c r="W26" i="18"/>
  <c r="N26" i="18"/>
  <c r="AM26" i="18"/>
  <c r="T26" i="18"/>
  <c r="AB26" i="18"/>
  <c r="K26" i="18"/>
  <c r="J26" i="18"/>
  <c r="R26" i="18"/>
  <c r="Q15" i="15"/>
  <c r="Q10" i="15"/>
  <c r="N18" i="15"/>
  <c r="Q5" i="15"/>
  <c r="E18" i="15"/>
  <c r="J18" i="15"/>
  <c r="Q11" i="15"/>
  <c r="M18" i="15"/>
  <c r="Q17" i="15"/>
  <c r="Q6" i="15"/>
  <c r="L18" i="15"/>
  <c r="O18" i="15"/>
  <c r="D18" i="15"/>
  <c r="K18" i="15"/>
  <c r="P18" i="15"/>
  <c r="F18" i="15"/>
  <c r="Q9" i="15"/>
  <c r="G18" i="15"/>
  <c r="Q8" i="15"/>
  <c r="Q16" i="15"/>
  <c r="H18" i="15"/>
  <c r="I18" i="15"/>
  <c r="Q12" i="15"/>
  <c r="Q13" i="15"/>
  <c r="C18" i="15"/>
  <c r="Q14" i="15"/>
  <c r="AC16" i="18"/>
  <c r="M16" i="18"/>
  <c r="T16" i="18"/>
  <c r="AI16" i="18"/>
  <c r="AF16" i="18"/>
  <c r="AL16" i="18"/>
  <c r="AA16" i="18"/>
  <c r="AF47" i="18"/>
  <c r="X47" i="18"/>
  <c r="I47" i="18"/>
  <c r="S47" i="18"/>
  <c r="O47" i="18"/>
  <c r="AB47" i="18"/>
  <c r="AL47" i="18"/>
  <c r="H47" i="18"/>
  <c r="AG47" i="18"/>
  <c r="AE30" i="18"/>
  <c r="W30" i="18"/>
  <c r="AA30" i="18"/>
  <c r="S30" i="18"/>
  <c r="J30" i="18"/>
  <c r="P30" i="18"/>
  <c r="AJ30" i="18"/>
  <c r="N30" i="18"/>
  <c r="AI30" i="18"/>
  <c r="T30" i="18"/>
  <c r="AF30" i="18"/>
  <c r="AL30" i="18"/>
  <c r="M30" i="18"/>
  <c r="X30" i="18"/>
  <c r="AG30" i="18"/>
  <c r="K30" i="18"/>
  <c r="R30" i="18"/>
  <c r="AB30" i="18"/>
  <c r="I30" i="18"/>
  <c r="H30" i="18"/>
  <c r="V30" i="18"/>
  <c r="AI23" i="18"/>
  <c r="T23" i="18"/>
  <c r="H23" i="18"/>
  <c r="I23" i="18"/>
  <c r="N23" i="18"/>
  <c r="AG61" i="18"/>
  <c r="AJ49" i="18"/>
  <c r="I37" i="18"/>
  <c r="T37" i="18"/>
  <c r="V37" i="18"/>
  <c r="W37" i="18"/>
  <c r="S37" i="18"/>
  <c r="H37" i="18"/>
  <c r="AB37" i="18"/>
  <c r="AL37" i="18"/>
  <c r="J37" i="18"/>
  <c r="K37" i="18"/>
  <c r="AC37" i="18"/>
  <c r="X37" i="18"/>
  <c r="M37" i="18"/>
  <c r="AM37" i="18"/>
  <c r="N37" i="18"/>
  <c r="AM28" i="18"/>
  <c r="P28" i="18"/>
  <c r="I28" i="18"/>
  <c r="AG28" i="18"/>
  <c r="T28" i="18"/>
  <c r="AL28" i="18"/>
  <c r="S28" i="18"/>
  <c r="AI28" i="18"/>
  <c r="AJ28" i="18"/>
  <c r="W28" i="18"/>
  <c r="H28" i="18"/>
  <c r="O28" i="18"/>
  <c r="AB28" i="18"/>
  <c r="AA28" i="18"/>
  <c r="N28" i="18"/>
  <c r="J28" i="18"/>
  <c r="AE28" i="18"/>
  <c r="X28" i="18"/>
  <c r="AC28" i="18"/>
  <c r="K28" i="18"/>
  <c r="R28" i="18"/>
  <c r="AF28" i="18"/>
  <c r="V28" i="18"/>
  <c r="M28" i="18"/>
  <c r="AC42" i="18"/>
  <c r="N42" i="18"/>
  <c r="W42" i="18"/>
  <c r="I42" i="18"/>
  <c r="V42" i="18"/>
  <c r="K42" i="18"/>
  <c r="AG42" i="18"/>
  <c r="H42" i="18"/>
  <c r="AE42" i="18"/>
  <c r="X42" i="18"/>
  <c r="AM42" i="18"/>
  <c r="M42" i="18"/>
  <c r="AA42" i="18"/>
  <c r="J42" i="18"/>
  <c r="AF42" i="18"/>
  <c r="S42" i="18"/>
  <c r="AJ42" i="18"/>
  <c r="R42" i="18"/>
  <c r="P42" i="18"/>
  <c r="AI42" i="18"/>
  <c r="O42" i="18"/>
  <c r="AE50" i="18"/>
  <c r="T50" i="18"/>
  <c r="AC50" i="18"/>
  <c r="AI50" i="18"/>
  <c r="M50" i="18"/>
  <c r="AB50" i="18"/>
  <c r="AG50" i="18"/>
  <c r="V50" i="18"/>
  <c r="P50" i="18"/>
  <c r="J50" i="18"/>
  <c r="N50" i="18"/>
  <c r="O50" i="18"/>
  <c r="AM50" i="18"/>
  <c r="H14" i="18"/>
  <c r="AF14" i="18"/>
  <c r="AB14" i="18"/>
  <c r="V14" i="18"/>
  <c r="AG14" i="18"/>
  <c r="K14" i="18"/>
  <c r="AI14" i="18"/>
  <c r="S14" i="18"/>
  <c r="I14" i="18"/>
  <c r="R14" i="18"/>
  <c r="AA14" i="18"/>
  <c r="M14" i="18"/>
  <c r="O14" i="18"/>
  <c r="N14" i="18"/>
  <c r="P14" i="18"/>
  <c r="W14" i="18"/>
  <c r="AJ14" i="18"/>
  <c r="J14" i="18"/>
  <c r="AE14" i="18"/>
  <c r="AL14" i="18"/>
  <c r="T14" i="18"/>
  <c r="O60" i="18"/>
  <c r="T60" i="18"/>
  <c r="K60" i="18"/>
  <c r="I60" i="18"/>
  <c r="N60" i="18"/>
  <c r="V60" i="18"/>
  <c r="AA60" i="18"/>
  <c r="P60" i="18"/>
  <c r="AC60" i="18"/>
  <c r="R60" i="18"/>
  <c r="AJ60" i="18"/>
  <c r="AB60" i="18"/>
  <c r="AF60" i="18"/>
  <c r="AL60" i="18"/>
  <c r="S60" i="18"/>
  <c r="J60" i="18"/>
  <c r="W60" i="18"/>
  <c r="X60" i="18"/>
  <c r="AM60" i="18"/>
  <c r="AE60" i="18"/>
  <c r="AI60" i="18"/>
  <c r="AB39" i="18"/>
  <c r="AA39" i="18"/>
  <c r="H39" i="18"/>
  <c r="AJ52" i="18"/>
  <c r="N52" i="18"/>
  <c r="W52" i="18"/>
  <c r="K52" i="18"/>
  <c r="AL52" i="18"/>
  <c r="I52" i="18"/>
  <c r="AE52" i="18"/>
  <c r="S52" i="18"/>
  <c r="T52" i="18"/>
  <c r="AG52" i="18"/>
  <c r="R52" i="18"/>
  <c r="V52" i="18"/>
  <c r="J52" i="18"/>
  <c r="M52" i="18"/>
  <c r="P52" i="18"/>
  <c r="H52" i="18"/>
  <c r="AM52" i="18"/>
  <c r="AB52" i="18"/>
  <c r="N35" i="18"/>
  <c r="AC35" i="18"/>
  <c r="H35" i="18"/>
  <c r="AB35" i="18"/>
  <c r="AM35" i="18"/>
  <c r="AE35" i="18"/>
  <c r="AF35" i="18"/>
  <c r="I35" i="18"/>
  <c r="K35" i="18"/>
  <c r="AG35" i="18"/>
  <c r="X35" i="18"/>
  <c r="AA35" i="18"/>
  <c r="P35" i="18"/>
  <c r="O35" i="18"/>
  <c r="AJ35" i="18"/>
  <c r="J35" i="18"/>
  <c r="V35" i="18"/>
  <c r="M29" i="18"/>
  <c r="S29" i="18"/>
  <c r="AJ29" i="18"/>
  <c r="O29" i="18"/>
  <c r="AG29" i="18"/>
  <c r="W29" i="18"/>
  <c r="I29" i="18"/>
  <c r="AL29" i="18"/>
  <c r="X29" i="18"/>
  <c r="P29" i="18"/>
  <c r="V29" i="18"/>
  <c r="T29" i="18"/>
  <c r="N29" i="18"/>
  <c r="AJ57" i="18"/>
  <c r="H57" i="18"/>
  <c r="AG57" i="18"/>
  <c r="M57" i="18"/>
  <c r="AE57" i="18"/>
  <c r="AA57" i="18"/>
  <c r="AL57" i="18"/>
  <c r="AI57" i="18"/>
  <c r="W57" i="18"/>
  <c r="T57" i="18"/>
  <c r="K57" i="18"/>
  <c r="V57" i="18"/>
  <c r="J57" i="18"/>
  <c r="AC57" i="18"/>
  <c r="S57" i="18"/>
  <c r="O57" i="18"/>
  <c r="P57" i="18"/>
  <c r="N57" i="18"/>
  <c r="M54" i="18"/>
  <c r="AC54" i="18"/>
  <c r="O54" i="18"/>
  <c r="AM54" i="18"/>
  <c r="N54" i="18"/>
  <c r="AA54" i="18"/>
  <c r="W54" i="18"/>
  <c r="X54" i="18"/>
  <c r="AF54" i="18"/>
  <c r="R54" i="18"/>
  <c r="AE54" i="18"/>
  <c r="V54" i="18"/>
  <c r="K54" i="18"/>
  <c r="T54" i="18"/>
  <c r="P54" i="18"/>
  <c r="AB54" i="18"/>
  <c r="AJ54" i="18"/>
  <c r="AI54" i="18"/>
  <c r="J54" i="18"/>
  <c r="H54" i="18"/>
  <c r="S54" i="18"/>
  <c r="I54" i="18"/>
  <c r="AL54" i="18"/>
  <c r="AG54" i="18"/>
  <c r="AG17" i="18"/>
  <c r="J17" i="18"/>
  <c r="AA17" i="18"/>
  <c r="AC17" i="18"/>
  <c r="T17" i="18"/>
  <c r="AI17" i="18"/>
  <c r="M17" i="18"/>
  <c r="H17" i="18"/>
  <c r="P17" i="18"/>
  <c r="AF17" i="18"/>
  <c r="O17" i="18"/>
  <c r="AJ17" i="18"/>
  <c r="S17" i="18"/>
  <c r="AL17" i="18"/>
  <c r="I17" i="18"/>
  <c r="X17" i="18"/>
  <c r="AM17" i="18"/>
  <c r="V17" i="18"/>
  <c r="W17" i="18"/>
  <c r="AB17" i="18"/>
  <c r="N17" i="18"/>
  <c r="K17" i="18"/>
  <c r="AE17" i="18"/>
  <c r="R17" i="18"/>
  <c r="O13" i="18"/>
  <c r="AA13" i="18"/>
  <c r="X38" i="18"/>
  <c r="AF38" i="18"/>
  <c r="AJ38" i="18"/>
  <c r="AE38" i="18"/>
  <c r="M38" i="18"/>
  <c r="O38" i="18"/>
  <c r="K38" i="18"/>
  <c r="P38" i="18"/>
  <c r="AG38" i="18"/>
  <c r="AI38" i="18"/>
  <c r="S38" i="18"/>
  <c r="J38" i="18"/>
  <c r="AC38" i="18"/>
  <c r="I38" i="18"/>
  <c r="AB38" i="18"/>
  <c r="H38" i="18"/>
  <c r="AA38" i="18"/>
  <c r="AM38" i="18"/>
  <c r="W38" i="18"/>
  <c r="R38" i="18"/>
  <c r="T38" i="18"/>
  <c r="M32" i="18" l="1"/>
  <c r="I32" i="18"/>
  <c r="AM32" i="18"/>
  <c r="O32" i="18"/>
  <c r="AC32" i="18"/>
  <c r="S32" i="18"/>
  <c r="W32" i="18"/>
  <c r="X32" i="18"/>
  <c r="J32" i="18"/>
  <c r="N53" i="18"/>
  <c r="H53" i="18"/>
  <c r="V53" i="18"/>
  <c r="T41" i="18"/>
  <c r="AB61" i="18"/>
  <c r="T13" i="18"/>
  <c r="V39" i="18"/>
  <c r="AA53" i="18"/>
  <c r="AB13" i="18"/>
  <c r="X39" i="18"/>
  <c r="P13" i="18"/>
  <c r="AC13" i="18"/>
  <c r="T39" i="18"/>
  <c r="AJ53" i="18"/>
  <c r="J23" i="18"/>
  <c r="P47" i="18"/>
  <c r="K13" i="18"/>
  <c r="M13" i="18"/>
  <c r="AB53" i="18"/>
  <c r="T53" i="18"/>
  <c r="AF23" i="18"/>
  <c r="J47" i="18"/>
  <c r="T15" i="18"/>
  <c r="AL15" i="18"/>
  <c r="T21" i="18"/>
  <c r="X21" i="18"/>
  <c r="I22" i="18"/>
  <c r="AC27" i="18"/>
  <c r="I27" i="18"/>
  <c r="N13" i="18"/>
  <c r="AL13" i="18"/>
  <c r="P39" i="18"/>
  <c r="W39" i="18"/>
  <c r="AL39" i="18"/>
  <c r="X53" i="18"/>
  <c r="AM53" i="18"/>
  <c r="AE53" i="18"/>
  <c r="S50" i="18"/>
  <c r="AJ50" i="18"/>
  <c r="H50" i="18"/>
  <c r="AM23" i="18"/>
  <c r="X23" i="18"/>
  <c r="W47" i="18"/>
  <c r="AI47" i="18"/>
  <c r="M47" i="18"/>
  <c r="AE46" i="18"/>
  <c r="R34" i="18"/>
  <c r="AI15" i="18"/>
  <c r="AB15" i="18"/>
  <c r="R15" i="18"/>
  <c r="W21" i="18"/>
  <c r="AB21" i="18"/>
  <c r="V21" i="18"/>
  <c r="AM45" i="18"/>
  <c r="N22" i="18"/>
  <c r="AL22" i="18"/>
  <c r="R27" i="18"/>
  <c r="AI27" i="18"/>
  <c r="M39" i="18"/>
  <c r="M53" i="18"/>
  <c r="M45" i="18"/>
  <c r="AG46" i="18"/>
  <c r="AF13" i="18"/>
  <c r="S13" i="18"/>
  <c r="AE13" i="18"/>
  <c r="X57" i="18"/>
  <c r="AF57" i="18"/>
  <c r="AL35" i="18"/>
  <c r="S35" i="18"/>
  <c r="W35" i="18"/>
  <c r="AJ39" i="18"/>
  <c r="N39" i="18"/>
  <c r="K39" i="18"/>
  <c r="O53" i="18"/>
  <c r="S53" i="18"/>
  <c r="J53" i="18"/>
  <c r="AA50" i="18"/>
  <c r="R50" i="18"/>
  <c r="AJ37" i="18"/>
  <c r="R37" i="18"/>
  <c r="M23" i="18"/>
  <c r="AA23" i="18"/>
  <c r="T47" i="18"/>
  <c r="AC47" i="18"/>
  <c r="K47" i="18"/>
  <c r="N16" i="18"/>
  <c r="N34" i="18"/>
  <c r="AA34" i="18"/>
  <c r="X15" i="18"/>
  <c r="I15" i="18"/>
  <c r="H15" i="18"/>
  <c r="K43" i="18"/>
  <c r="AE21" i="18"/>
  <c r="I21" i="18"/>
  <c r="N21" i="18"/>
  <c r="J45" i="18"/>
  <c r="AM22" i="18"/>
  <c r="X27" i="18"/>
  <c r="AE27" i="18"/>
  <c r="H27" i="18"/>
  <c r="AI44" i="18"/>
  <c r="AI13" i="18"/>
  <c r="I39" i="18"/>
  <c r="AJ13" i="18"/>
  <c r="AG39" i="18"/>
  <c r="R53" i="18"/>
  <c r="H13" i="18"/>
  <c r="I13" i="18"/>
  <c r="AM13" i="18"/>
  <c r="R39" i="18"/>
  <c r="O39" i="18"/>
  <c r="I53" i="18"/>
  <c r="AL53" i="18"/>
  <c r="K50" i="18"/>
  <c r="AF50" i="18"/>
  <c r="I50" i="18"/>
  <c r="K23" i="18"/>
  <c r="O23" i="18"/>
  <c r="AA47" i="18"/>
  <c r="N47" i="18"/>
  <c r="R47" i="18"/>
  <c r="I46" i="18"/>
  <c r="S34" i="18"/>
  <c r="AM34" i="18"/>
  <c r="AG15" i="18"/>
  <c r="J15" i="18"/>
  <c r="M15" i="18"/>
  <c r="AC21" i="18"/>
  <c r="AA21" i="18"/>
  <c r="H21" i="18"/>
  <c r="AG22" i="18"/>
  <c r="J22" i="18"/>
  <c r="V27" i="18"/>
  <c r="AL27" i="18"/>
  <c r="V13" i="18"/>
  <c r="AF53" i="18"/>
  <c r="AC39" i="18"/>
  <c r="AG53" i="18"/>
  <c r="O45" i="18"/>
  <c r="W13" i="18"/>
  <c r="AF39" i="18"/>
  <c r="AL46" i="18"/>
  <c r="AL34" i="18"/>
  <c r="K34" i="18"/>
  <c r="AI22" i="18"/>
  <c r="T22" i="18"/>
  <c r="AF27" i="18"/>
  <c r="S27" i="18"/>
  <c r="R13" i="18"/>
  <c r="W53" i="18"/>
  <c r="S23" i="18"/>
  <c r="AM47" i="18"/>
  <c r="AJ47" i="18"/>
  <c r="S39" i="18"/>
  <c r="AM39" i="18"/>
  <c r="P53" i="18"/>
  <c r="V47" i="18"/>
  <c r="AA46" i="18"/>
  <c r="W34" i="18"/>
  <c r="X45" i="18"/>
  <c r="AF56" i="18"/>
  <c r="AI56" i="18"/>
  <c r="AE56" i="18"/>
  <c r="AI41" i="18"/>
  <c r="AJ41" i="18"/>
  <c r="AI52" i="18"/>
  <c r="X52" i="18"/>
  <c r="O52" i="18"/>
  <c r="AF52" i="18"/>
  <c r="AC52" i="18"/>
  <c r="AA52" i="18"/>
  <c r="R16" i="18"/>
  <c r="AG16" i="18"/>
  <c r="AJ43" i="18"/>
  <c r="T43" i="18"/>
  <c r="AL43" i="18"/>
  <c r="X44" i="18"/>
  <c r="I44" i="18"/>
  <c r="O16" i="18"/>
  <c r="H36" i="18"/>
  <c r="AE36" i="18"/>
  <c r="AL23" i="18"/>
  <c r="V23" i="18"/>
  <c r="AC23" i="18"/>
  <c r="AJ23" i="18"/>
  <c r="AG23" i="18"/>
  <c r="AE23" i="18"/>
  <c r="AF34" i="18"/>
  <c r="H34" i="18"/>
  <c r="P34" i="18"/>
  <c r="AI34" i="18"/>
  <c r="AJ34" i="18"/>
  <c r="I34" i="18"/>
  <c r="V22" i="18"/>
  <c r="AC22" i="18"/>
  <c r="AE22" i="18"/>
  <c r="K22" i="18"/>
  <c r="AB22" i="18"/>
  <c r="X22" i="18"/>
  <c r="AL40" i="18"/>
  <c r="K16" i="18"/>
  <c r="AC61" i="18"/>
  <c r="AE16" i="18"/>
  <c r="S16" i="18"/>
  <c r="P16" i="18"/>
  <c r="AC34" i="18"/>
  <c r="AB34" i="18"/>
  <c r="M34" i="18"/>
  <c r="O43" i="18"/>
  <c r="AA43" i="18"/>
  <c r="K56" i="18"/>
  <c r="W22" i="18"/>
  <c r="H22" i="18"/>
  <c r="AF22" i="18"/>
  <c r="AM44" i="18"/>
  <c r="S44" i="18"/>
  <c r="W23" i="18"/>
  <c r="P23" i="18"/>
  <c r="R23" i="18"/>
  <c r="AJ16" i="18"/>
  <c r="X16" i="18"/>
  <c r="AE34" i="18"/>
  <c r="AG34" i="18"/>
  <c r="AF43" i="18"/>
  <c r="S22" i="18"/>
  <c r="AJ22" i="18"/>
  <c r="T44" i="18"/>
  <c r="W16" i="18"/>
  <c r="H16" i="18"/>
  <c r="J16" i="18"/>
  <c r="AB16" i="18"/>
  <c r="I16" i="18"/>
  <c r="AM16" i="18"/>
  <c r="H43" i="18"/>
  <c r="AG43" i="18"/>
  <c r="M43" i="18"/>
  <c r="AI43" i="18"/>
  <c r="W43" i="18"/>
  <c r="S43" i="18"/>
  <c r="AC44" i="18"/>
  <c r="M44" i="18"/>
  <c r="N44" i="18"/>
  <c r="J44" i="18"/>
  <c r="R44" i="18"/>
  <c r="AJ44" i="18"/>
  <c r="R57" i="18"/>
  <c r="AB57" i="18"/>
  <c r="AM57" i="18"/>
  <c r="AA37" i="18"/>
  <c r="AI37" i="18"/>
  <c r="P37" i="18"/>
  <c r="AE37" i="18"/>
  <c r="AF37" i="18"/>
  <c r="AG37" i="18"/>
  <c r="DO18" i="13" a="1"/>
  <c r="DO18" i="13" s="1"/>
  <c r="DA18" i="13" a="1"/>
  <c r="DA18" i="13" s="1"/>
  <c r="DP18" i="13" a="1"/>
  <c r="DP18" i="13" s="1"/>
  <c r="DN18" i="13" a="1"/>
  <c r="DN18" i="13" s="1"/>
  <c r="DG18" i="13" a="1"/>
  <c r="DG18" i="13" s="1"/>
  <c r="DF18" i="13" a="1"/>
  <c r="DF18" i="13" s="1"/>
  <c r="DL18" i="13" a="1"/>
  <c r="DL18" i="13" s="1"/>
  <c r="DE18" i="13" a="1"/>
  <c r="DE18" i="13" s="1"/>
  <c r="DI18" i="13" a="1"/>
  <c r="DI18" i="13" s="1"/>
  <c r="DD18" i="13" a="1"/>
  <c r="DD18" i="13" s="1"/>
  <c r="DM18" i="13" a="1"/>
  <c r="DM18" i="13" s="1"/>
  <c r="DJ18" i="13" a="1"/>
  <c r="DJ18" i="13" s="1"/>
  <c r="DC18" i="13" a="1"/>
  <c r="DC18" i="13" s="1"/>
  <c r="DK18" i="13" a="1"/>
  <c r="DK18" i="13" s="1"/>
  <c r="DH18" i="13" a="1"/>
  <c r="DH18" i="13" s="1"/>
  <c r="DB18" i="13" a="1"/>
  <c r="DB18" i="13" s="1"/>
  <c r="V40" i="18"/>
  <c r="H40" i="18"/>
  <c r="T49" i="18"/>
  <c r="AE49" i="18"/>
  <c r="K49" i="18"/>
  <c r="AC48" i="18"/>
  <c r="R48" i="18"/>
  <c r="AE48" i="18"/>
  <c r="AC29" i="18"/>
  <c r="R29" i="18"/>
  <c r="M27" i="18"/>
  <c r="T27" i="18"/>
  <c r="AG27" i="18"/>
  <c r="AL38" i="18"/>
  <c r="V38" i="18"/>
  <c r="J13" i="18"/>
  <c r="X13" i="18"/>
  <c r="AI35" i="18"/>
  <c r="T35" i="18"/>
  <c r="AI39" i="18"/>
  <c r="AE39" i="18"/>
  <c r="AG60" i="18"/>
  <c r="H60" i="18"/>
  <c r="X14" i="18"/>
  <c r="AC14" i="18"/>
  <c r="AI53" i="18"/>
  <c r="K53" i="18"/>
  <c r="X50" i="18"/>
  <c r="W50" i="18"/>
  <c r="T42" i="18"/>
  <c r="AL42" i="18"/>
  <c r="AC30" i="18"/>
  <c r="AM30" i="18"/>
  <c r="P26" i="18"/>
  <c r="H26" i="18"/>
  <c r="H32" i="18"/>
  <c r="P32" i="18"/>
  <c r="O27" i="18"/>
  <c r="AB27" i="18"/>
  <c r="N24" i="18"/>
  <c r="V24" i="18"/>
  <c r="F72" i="19" a="1"/>
  <c r="F72" i="19" s="1"/>
  <c r="F78" i="19" a="1"/>
  <c r="F78" i="19" s="1"/>
  <c r="F85" i="19" a="1"/>
  <c r="F85" i="19" s="1"/>
  <c r="F92" i="19" a="1"/>
  <c r="F92" i="19" s="1"/>
  <c r="C92" i="19" s="1"/>
  <c r="F19" i="19" a="1"/>
  <c r="F19" i="19" s="1"/>
  <c r="F27" i="19" a="1"/>
  <c r="F27" i="19" s="1"/>
  <c r="F35" i="19" a="1"/>
  <c r="F35" i="19" s="1"/>
  <c r="F43" i="19" a="1"/>
  <c r="F43" i="19" s="1"/>
  <c r="C43" i="19" s="1"/>
  <c r="F51" i="19" a="1"/>
  <c r="F51" i="19" s="1"/>
  <c r="F59" i="19" a="1"/>
  <c r="F59" i="19" s="1"/>
  <c r="F77" i="19" a="1"/>
  <c r="F77" i="19" s="1"/>
  <c r="F49" i="19" a="1"/>
  <c r="F49" i="19" s="1"/>
  <c r="F66" i="19" a="1"/>
  <c r="F66" i="19" s="1"/>
  <c r="F73" i="19" a="1"/>
  <c r="F73" i="19" s="1"/>
  <c r="F79" i="19" a="1"/>
  <c r="F79" i="19" s="1"/>
  <c r="F65" i="19" a="1"/>
  <c r="F65" i="19" s="1"/>
  <c r="C65" i="19" s="1"/>
  <c r="F20" i="19" a="1"/>
  <c r="F20" i="19" s="1"/>
  <c r="F28" i="19" a="1"/>
  <c r="F28" i="19" s="1"/>
  <c r="F36" i="19" a="1"/>
  <c r="F36" i="19" s="1"/>
  <c r="F44" i="19" a="1"/>
  <c r="F44" i="19" s="1"/>
  <c r="F52" i="19" a="1"/>
  <c r="F52" i="19" s="1"/>
  <c r="F60" i="19" a="1"/>
  <c r="F60" i="19" s="1"/>
  <c r="F90" i="19" a="1"/>
  <c r="F90" i="19" s="1"/>
  <c r="C90" i="19" s="1"/>
  <c r="F57" i="19" a="1"/>
  <c r="F57" i="19" s="1"/>
  <c r="C57" i="19" s="1"/>
  <c r="F67" i="19" a="1"/>
  <c r="F67" i="19" s="1"/>
  <c r="F80" i="19" a="1"/>
  <c r="F80" i="19" s="1"/>
  <c r="F86" i="19" a="1"/>
  <c r="F86" i="19" s="1"/>
  <c r="F13" i="19" a="1"/>
  <c r="F13" i="19" s="1"/>
  <c r="F21" i="19" a="1"/>
  <c r="F21" i="19" s="1"/>
  <c r="F29" i="19" a="1"/>
  <c r="F29" i="19" s="1"/>
  <c r="F37" i="19" a="1"/>
  <c r="F37" i="19" s="1"/>
  <c r="C37" i="19" s="1"/>
  <c r="F45" i="19" a="1"/>
  <c r="F45" i="19" s="1"/>
  <c r="C45" i="19" s="1"/>
  <c r="F53" i="19" a="1"/>
  <c r="F53" i="19" s="1"/>
  <c r="C53" i="19" s="1"/>
  <c r="F61" i="19" a="1"/>
  <c r="F61" i="19" s="1"/>
  <c r="F17" i="19" a="1"/>
  <c r="F17" i="19" s="1"/>
  <c r="F68" i="19" a="1"/>
  <c r="F68" i="19" s="1"/>
  <c r="C68" i="19" s="1"/>
  <c r="F74" i="19" a="1"/>
  <c r="F74" i="19" s="1"/>
  <c r="F81" i="19" a="1"/>
  <c r="F81" i="19" s="1"/>
  <c r="F87" i="19" a="1"/>
  <c r="F87" i="19" s="1"/>
  <c r="C87" i="19" s="1"/>
  <c r="F14" i="19" a="1"/>
  <c r="F14" i="19" s="1"/>
  <c r="C14" i="19" s="1"/>
  <c r="F22" i="19" a="1"/>
  <c r="F22" i="19" s="1"/>
  <c r="C22" i="19" s="1"/>
  <c r="F30" i="19" a="1"/>
  <c r="F30" i="19" s="1"/>
  <c r="F38" i="19" a="1"/>
  <c r="F38" i="19" s="1"/>
  <c r="C38" i="19" s="1"/>
  <c r="F46" i="19" a="1"/>
  <c r="F46" i="19" s="1"/>
  <c r="C46" i="19" s="1"/>
  <c r="F54" i="19" a="1"/>
  <c r="F54" i="19" s="1"/>
  <c r="F83" i="19" a="1"/>
  <c r="F83" i="19" s="1"/>
  <c r="F69" i="19" a="1"/>
  <c r="F69" i="19" s="1"/>
  <c r="C69" i="19" s="1"/>
  <c r="F75" i="19" a="1"/>
  <c r="F75" i="19" s="1"/>
  <c r="C75" i="19" s="1"/>
  <c r="F88" i="19" a="1"/>
  <c r="F88" i="19" s="1"/>
  <c r="C88" i="19" s="1"/>
  <c r="F15" i="19" a="1"/>
  <c r="F15" i="19" s="1"/>
  <c r="F23" i="19" a="1"/>
  <c r="F23" i="19" s="1"/>
  <c r="F31" i="19" a="1"/>
  <c r="F31" i="19" s="1"/>
  <c r="C31" i="19" s="1"/>
  <c r="F39" i="19" a="1"/>
  <c r="F39" i="19" s="1"/>
  <c r="C39" i="19" s="1"/>
  <c r="F47" i="19" a="1"/>
  <c r="F47" i="19" s="1"/>
  <c r="C47" i="19" s="1"/>
  <c r="F55" i="19" a="1"/>
  <c r="F55" i="19" s="1"/>
  <c r="C55" i="19" s="1"/>
  <c r="F63" i="19" a="1"/>
  <c r="F63" i="19" s="1"/>
  <c r="C63" i="19" s="1"/>
  <c r="F70" i="19" a="1"/>
  <c r="F70" i="19" s="1"/>
  <c r="C70" i="19" s="1"/>
  <c r="F41" i="19" a="1"/>
  <c r="F41" i="19" s="1"/>
  <c r="C41" i="19" s="1"/>
  <c r="F76" i="19" a="1"/>
  <c r="F76" i="19" s="1"/>
  <c r="C76" i="19" s="1"/>
  <c r="F82" i="19" a="1"/>
  <c r="F82" i="19" s="1"/>
  <c r="C82" i="19" s="1"/>
  <c r="F89" i="19" a="1"/>
  <c r="F89" i="19" s="1"/>
  <c r="F16" i="19" a="1"/>
  <c r="F16" i="19" s="1"/>
  <c r="C16" i="19" s="1"/>
  <c r="F24" i="19" a="1"/>
  <c r="F24" i="19" s="1"/>
  <c r="C24" i="19" s="1"/>
  <c r="F32" i="19" a="1"/>
  <c r="F32" i="19" s="1"/>
  <c r="C32" i="19" s="1"/>
  <c r="F40" i="19" a="1"/>
  <c r="F40" i="19" s="1"/>
  <c r="C40" i="19" s="1"/>
  <c r="F48" i="19" a="1"/>
  <c r="F48" i="19" s="1"/>
  <c r="C48" i="19" s="1"/>
  <c r="F56" i="19" a="1"/>
  <c r="F56" i="19" s="1"/>
  <c r="C56" i="19" s="1"/>
  <c r="F12" i="19" a="1"/>
  <c r="F12" i="19" s="1"/>
  <c r="F25" i="19" a="1"/>
  <c r="F25" i="19" s="1"/>
  <c r="C25" i="19" s="1"/>
  <c r="F71" i="19" a="1"/>
  <c r="F71" i="19" s="1"/>
  <c r="C71" i="19" s="1"/>
  <c r="F84" i="19" a="1"/>
  <c r="F84" i="19" s="1"/>
  <c r="C84" i="19" s="1"/>
  <c r="F91" i="19" a="1"/>
  <c r="F91" i="19" s="1"/>
  <c r="C91" i="19" s="1"/>
  <c r="F18" i="19" a="1"/>
  <c r="F18" i="19" s="1"/>
  <c r="C18" i="19" s="1"/>
  <c r="F26" i="19" a="1"/>
  <c r="F26" i="19" s="1"/>
  <c r="C26" i="19" s="1"/>
  <c r="F34" i="19" a="1"/>
  <c r="F34" i="19" s="1"/>
  <c r="F42" i="19" a="1"/>
  <c r="F42" i="19" s="1"/>
  <c r="C42" i="19" s="1"/>
  <c r="F50" i="19" a="1"/>
  <c r="F50" i="19" s="1"/>
  <c r="C50" i="19" s="1"/>
  <c r="F58" i="19" a="1"/>
  <c r="F58" i="19" s="1"/>
  <c r="C58" i="19" s="1"/>
  <c r="F62" i="19" a="1"/>
  <c r="F62" i="19" s="1"/>
  <c r="C62" i="19" s="1"/>
  <c r="F33" i="19" a="1"/>
  <c r="F33" i="19" s="1"/>
  <c r="C33" i="19" s="1"/>
  <c r="O48" i="18"/>
  <c r="V48" i="18"/>
  <c r="AJ25" i="18"/>
  <c r="AI29" i="18"/>
  <c r="H29" i="18"/>
  <c r="AM29" i="18"/>
  <c r="AI48" i="18"/>
  <c r="AB48" i="18"/>
  <c r="AF48" i="18"/>
  <c r="H48" i="18"/>
  <c r="AB59" i="18"/>
  <c r="AA29" i="18"/>
  <c r="J29" i="18"/>
  <c r="AE29" i="18"/>
  <c r="M35" i="18"/>
  <c r="T48" i="18"/>
  <c r="M20" i="18"/>
  <c r="X59" i="18"/>
  <c r="AE25" i="18"/>
  <c r="J48" i="18"/>
  <c r="H59" i="18"/>
  <c r="AG25" i="18"/>
  <c r="W48" i="18"/>
  <c r="AF59" i="18"/>
  <c r="AM25" i="18"/>
  <c r="K29" i="18"/>
  <c r="AF29" i="18"/>
  <c r="S48" i="18"/>
  <c r="X25" i="18"/>
  <c r="AC31" i="18"/>
  <c r="AE20" i="18"/>
  <c r="T59" i="18"/>
  <c r="AB20" i="18"/>
  <c r="AF20" i="18"/>
  <c r="I59" i="18"/>
  <c r="V20" i="18"/>
  <c r="AI31" i="18"/>
  <c r="AL20" i="18"/>
  <c r="AE31" i="18"/>
  <c r="J55" i="18"/>
  <c r="T31" i="18"/>
  <c r="AJ31" i="18"/>
  <c r="M55" i="18"/>
  <c r="W31" i="18"/>
  <c r="AB31" i="18"/>
  <c r="W33" i="18"/>
  <c r="S19" i="18"/>
  <c r="N51" i="18"/>
  <c r="AG31" i="18"/>
  <c r="AJ18" i="18"/>
  <c r="AB19" i="18"/>
  <c r="AJ51" i="18"/>
  <c r="AB18" i="18"/>
  <c r="AG51" i="18"/>
  <c r="S55" i="18"/>
  <c r="AG18" i="18"/>
  <c r="N31" i="18"/>
  <c r="AM31" i="18"/>
  <c r="K31" i="18"/>
  <c r="F9" i="18"/>
  <c r="AG19" i="18"/>
  <c r="I31" i="18"/>
  <c r="X31" i="18"/>
  <c r="M31" i="18"/>
  <c r="J31" i="18"/>
  <c r="I33" i="18"/>
  <c r="M33" i="18"/>
  <c r="T55" i="18"/>
  <c r="AE40" i="18"/>
  <c r="P40" i="18"/>
  <c r="S40" i="18"/>
  <c r="X49" i="18"/>
  <c r="AB49" i="18"/>
  <c r="AM49" i="18"/>
  <c r="AM55" i="18"/>
  <c r="O55" i="18"/>
  <c r="AI55" i="18"/>
  <c r="K18" i="18"/>
  <c r="P18" i="18"/>
  <c r="T18" i="18"/>
  <c r="AG48" i="18"/>
  <c r="AJ48" i="18"/>
  <c r="AM48" i="18"/>
  <c r="AJ20" i="18"/>
  <c r="AM20" i="18"/>
  <c r="J20" i="18"/>
  <c r="AM19" i="18"/>
  <c r="W19" i="18"/>
  <c r="K19" i="18"/>
  <c r="AF51" i="18"/>
  <c r="M51" i="18"/>
  <c r="J51" i="18"/>
  <c r="R59" i="18"/>
  <c r="J59" i="18"/>
  <c r="AE59" i="18"/>
  <c r="X58" i="18"/>
  <c r="F5" i="18"/>
  <c r="R33" i="18"/>
  <c r="AE33" i="18"/>
  <c r="AG33" i="18"/>
  <c r="P25" i="18"/>
  <c r="AC25" i="18"/>
  <c r="K25" i="18"/>
  <c r="I40" i="18"/>
  <c r="AI49" i="18"/>
  <c r="W55" i="18"/>
  <c r="I18" i="18"/>
  <c r="R19" i="18"/>
  <c r="AI51" i="18"/>
  <c r="R51" i="18"/>
  <c r="I51" i="18"/>
  <c r="I58" i="18"/>
  <c r="AJ33" i="18"/>
  <c r="S33" i="18"/>
  <c r="AC33" i="18"/>
  <c r="I49" i="18"/>
  <c r="N55" i="18"/>
  <c r="AA18" i="18"/>
  <c r="AA19" i="18"/>
  <c r="AB40" i="18"/>
  <c r="AG40" i="18"/>
  <c r="O40" i="18"/>
  <c r="AF49" i="18"/>
  <c r="M49" i="18"/>
  <c r="O49" i="18"/>
  <c r="AC55" i="18"/>
  <c r="AL55" i="18"/>
  <c r="X55" i="18"/>
  <c r="AM18" i="18"/>
  <c r="AI18" i="18"/>
  <c r="S18" i="18"/>
  <c r="N48" i="18"/>
  <c r="AL48" i="18"/>
  <c r="I48" i="18"/>
  <c r="W20" i="18"/>
  <c r="AI20" i="18"/>
  <c r="X20" i="18"/>
  <c r="T19" i="18"/>
  <c r="AL19" i="18"/>
  <c r="N19" i="18"/>
  <c r="AB51" i="18"/>
  <c r="AE51" i="18"/>
  <c r="O51" i="18"/>
  <c r="P31" i="18"/>
  <c r="S31" i="18"/>
  <c r="AL31" i="18"/>
  <c r="K59" i="18"/>
  <c r="AA59" i="18"/>
  <c r="S59" i="18"/>
  <c r="AE58" i="18"/>
  <c r="T33" i="18"/>
  <c r="H33" i="18"/>
  <c r="AI33" i="18"/>
  <c r="AL25" i="18"/>
  <c r="AA25" i="18"/>
  <c r="O25" i="18"/>
  <c r="R49" i="18"/>
  <c r="O18" i="18"/>
  <c r="T40" i="18"/>
  <c r="W40" i="18"/>
  <c r="AC49" i="18"/>
  <c r="S49" i="18"/>
  <c r="V55" i="18"/>
  <c r="M18" i="18"/>
  <c r="H18" i="18"/>
  <c r="AG20" i="18"/>
  <c r="I20" i="18"/>
  <c r="H20" i="18"/>
  <c r="AI19" i="18"/>
  <c r="I19" i="18"/>
  <c r="AE19" i="18"/>
  <c r="X51" i="18"/>
  <c r="T51" i="18"/>
  <c r="K51" i="18"/>
  <c r="AC59" i="18"/>
  <c r="AM59" i="18"/>
  <c r="N59" i="18"/>
  <c r="P58" i="18"/>
  <c r="AM33" i="18"/>
  <c r="AL33" i="18"/>
  <c r="AB33" i="18"/>
  <c r="S25" i="18"/>
  <c r="M25" i="18"/>
  <c r="V25" i="18"/>
  <c r="K40" i="18"/>
  <c r="R40" i="18"/>
  <c r="N49" i="18"/>
  <c r="AF55" i="18"/>
  <c r="AB55" i="18"/>
  <c r="AE18" i="18"/>
  <c r="AI40" i="18"/>
  <c r="AC40" i="18"/>
  <c r="AA40" i="18"/>
  <c r="J49" i="18"/>
  <c r="W49" i="18"/>
  <c r="AL49" i="18"/>
  <c r="K55" i="18"/>
  <c r="AA55" i="18"/>
  <c r="I55" i="18"/>
  <c r="J18" i="18"/>
  <c r="R18" i="18"/>
  <c r="V18" i="18"/>
  <c r="AA48" i="18"/>
  <c r="K48" i="18"/>
  <c r="P48" i="18"/>
  <c r="R20" i="18"/>
  <c r="AA20" i="18"/>
  <c r="T20" i="18"/>
  <c r="M19" i="18"/>
  <c r="X19" i="18"/>
  <c r="AF19" i="18"/>
  <c r="AL51" i="18"/>
  <c r="AM51" i="18"/>
  <c r="V51" i="18"/>
  <c r="V31" i="18"/>
  <c r="O31" i="18"/>
  <c r="AA31" i="18"/>
  <c r="AL59" i="18"/>
  <c r="P59" i="18"/>
  <c r="AI59" i="18"/>
  <c r="AA58" i="18"/>
  <c r="N33" i="18"/>
  <c r="AA33" i="18"/>
  <c r="K33" i="18"/>
  <c r="AF25" i="18"/>
  <c r="R25" i="18"/>
  <c r="W25" i="18"/>
  <c r="AC19" i="18"/>
  <c r="J40" i="18"/>
  <c r="AA49" i="18"/>
  <c r="P49" i="18"/>
  <c r="AG55" i="18"/>
  <c r="H55" i="18"/>
  <c r="AF18" i="18"/>
  <c r="W18" i="18"/>
  <c r="X18" i="18"/>
  <c r="O20" i="18"/>
  <c r="AC20" i="18"/>
  <c r="K20" i="18"/>
  <c r="J19" i="18"/>
  <c r="AJ19" i="18"/>
  <c r="H19" i="18"/>
  <c r="S51" i="18"/>
  <c r="AA51" i="18"/>
  <c r="AC51" i="18"/>
  <c r="M59" i="18"/>
  <c r="W59" i="18"/>
  <c r="O59" i="18"/>
  <c r="AJ58" i="18"/>
  <c r="J33" i="18"/>
  <c r="O33" i="18"/>
  <c r="V33" i="18"/>
  <c r="AB25" i="18"/>
  <c r="T25" i="18"/>
  <c r="AI25" i="18"/>
  <c r="R58" i="18"/>
  <c r="AM40" i="18"/>
  <c r="M40" i="18"/>
  <c r="AF40" i="18"/>
  <c r="AG49" i="18"/>
  <c r="AE55" i="18"/>
  <c r="AJ40" i="18"/>
  <c r="X40" i="18"/>
  <c r="V49" i="18"/>
  <c r="H49" i="18"/>
  <c r="P55" i="18"/>
  <c r="R55" i="18"/>
  <c r="AL18" i="18"/>
  <c r="N18" i="18"/>
  <c r="M48" i="18"/>
  <c r="X48" i="18"/>
  <c r="P20" i="18"/>
  <c r="N20" i="18"/>
  <c r="P19" i="18"/>
  <c r="O19" i="18"/>
  <c r="W51" i="18"/>
  <c r="H51" i="18"/>
  <c r="H31" i="18"/>
  <c r="AF31" i="18"/>
  <c r="AJ59" i="18"/>
  <c r="AG59" i="18"/>
  <c r="J58" i="18"/>
  <c r="X33" i="18"/>
  <c r="AF33" i="18"/>
  <c r="J25" i="18"/>
  <c r="H25" i="18"/>
  <c r="AJ61" i="18"/>
  <c r="H61" i="18"/>
  <c r="P61" i="18"/>
  <c r="T46" i="18"/>
  <c r="AF46" i="18"/>
  <c r="J46" i="18"/>
  <c r="O56" i="18"/>
  <c r="N56" i="18"/>
  <c r="AB56" i="18"/>
  <c r="AG45" i="18"/>
  <c r="H45" i="18"/>
  <c r="R45" i="18"/>
  <c r="S41" i="18"/>
  <c r="AM41" i="18"/>
  <c r="AG41" i="18"/>
  <c r="V61" i="18"/>
  <c r="J56" i="18"/>
  <c r="AC56" i="18"/>
  <c r="X56" i="18"/>
  <c r="W41" i="18"/>
  <c r="K41" i="18"/>
  <c r="AB41" i="18"/>
  <c r="O61" i="18"/>
  <c r="N61" i="18"/>
  <c r="I61" i="18"/>
  <c r="P46" i="18"/>
  <c r="K46" i="18"/>
  <c r="R46" i="18"/>
  <c r="AG56" i="18"/>
  <c r="S56" i="18"/>
  <c r="AM56" i="18"/>
  <c r="AI45" i="18"/>
  <c r="AC45" i="18"/>
  <c r="P45" i="18"/>
  <c r="O41" i="18"/>
  <c r="R41" i="18"/>
  <c r="AF41" i="18"/>
  <c r="S61" i="18"/>
  <c r="AM61" i="18"/>
  <c r="AI61" i="18"/>
  <c r="K61" i="18"/>
  <c r="O46" i="18"/>
  <c r="AJ46" i="18"/>
  <c r="W46" i="18"/>
  <c r="V56" i="18"/>
  <c r="I56" i="18"/>
  <c r="H56" i="18"/>
  <c r="AJ45" i="18"/>
  <c r="AF45" i="18"/>
  <c r="W45" i="18"/>
  <c r="J41" i="18"/>
  <c r="AC41" i="18"/>
  <c r="N41" i="18"/>
  <c r="AE61" i="18"/>
  <c r="AF61" i="18"/>
  <c r="T61" i="18"/>
  <c r="X46" i="18"/>
  <c r="V46" i="18"/>
  <c r="H46" i="18"/>
  <c r="AL56" i="18"/>
  <c r="M56" i="18"/>
  <c r="R56" i="18"/>
  <c r="N45" i="18"/>
  <c r="AL45" i="18"/>
  <c r="S45" i="18"/>
  <c r="AL41" i="18"/>
  <c r="P41" i="18"/>
  <c r="X41" i="18"/>
  <c r="X61" i="18"/>
  <c r="W61" i="18"/>
  <c r="AA61" i="18"/>
  <c r="N46" i="18"/>
  <c r="AB46" i="18"/>
  <c r="AM46" i="18"/>
  <c r="P56" i="18"/>
  <c r="T56" i="18"/>
  <c r="AJ56" i="18"/>
  <c r="AE45" i="18"/>
  <c r="AA45" i="18"/>
  <c r="AB45" i="18"/>
  <c r="H41" i="18"/>
  <c r="V41" i="18"/>
  <c r="AE41" i="18"/>
  <c r="M61" i="18"/>
  <c r="J61" i="18"/>
  <c r="R61" i="18"/>
  <c r="S46" i="18"/>
  <c r="AC46" i="18"/>
  <c r="AA56" i="18"/>
  <c r="W56" i="18"/>
  <c r="T45" i="18"/>
  <c r="K45" i="18"/>
  <c r="I41" i="18"/>
  <c r="AA41" i="18"/>
  <c r="H58" i="18"/>
  <c r="AC58" i="18"/>
  <c r="F8" i="18"/>
  <c r="V58" i="18"/>
  <c r="K58" i="18"/>
  <c r="T58" i="18"/>
  <c r="R36" i="18"/>
  <c r="P36" i="18"/>
  <c r="AF36" i="18"/>
  <c r="V36" i="18"/>
  <c r="I36" i="18"/>
  <c r="K36" i="18"/>
  <c r="J36" i="18"/>
  <c r="N36" i="18"/>
  <c r="M36" i="18"/>
  <c r="AB36" i="18"/>
  <c r="AM36" i="18"/>
  <c r="AJ36" i="18"/>
  <c r="X36" i="18"/>
  <c r="O36" i="18"/>
  <c r="S36" i="18"/>
  <c r="AA36" i="18"/>
  <c r="T36" i="18"/>
  <c r="AI36" i="18"/>
  <c r="W36" i="18"/>
  <c r="AC36" i="18"/>
  <c r="AG36" i="18"/>
  <c r="AL36" i="18"/>
  <c r="M58" i="18"/>
  <c r="AI58" i="18"/>
  <c r="N58" i="18"/>
  <c r="AM58" i="18"/>
  <c r="AF58" i="18"/>
  <c r="AL58" i="18"/>
  <c r="F7" i="18"/>
  <c r="AB58" i="18"/>
  <c r="O58" i="18"/>
  <c r="AG58" i="18"/>
  <c r="F6" i="18"/>
  <c r="S58" i="18"/>
  <c r="C23" i="19"/>
  <c r="C49" i="19"/>
  <c r="C34" i="19"/>
  <c r="C59" i="19"/>
  <c r="C67" i="19"/>
  <c r="C20" i="19"/>
  <c r="C15" i="19"/>
  <c r="C86" i="19"/>
  <c r="C83" i="19"/>
  <c r="C66" i="19"/>
  <c r="C52" i="19"/>
  <c r="C30" i="19"/>
  <c r="C21" i="19"/>
  <c r="C28" i="19"/>
  <c r="C79" i="19"/>
  <c r="C54" i="19"/>
  <c r="C17" i="19"/>
  <c r="C36" i="19"/>
  <c r="C44" i="19"/>
  <c r="C80" i="19"/>
  <c r="C72" i="19"/>
  <c r="C35" i="19"/>
  <c r="C29" i="19"/>
  <c r="C61" i="19"/>
  <c r="C73" i="19"/>
  <c r="C27" i="19"/>
  <c r="C19" i="19"/>
  <c r="C81" i="19"/>
  <c r="C74" i="19"/>
  <c r="C51" i="19"/>
  <c r="C77" i="19"/>
  <c r="C60" i="19"/>
  <c r="C85" i="19"/>
  <c r="C13" i="19"/>
  <c r="C89" i="19"/>
  <c r="C78" i="19"/>
  <c r="AL12" i="18"/>
  <c r="O12" i="18"/>
  <c r="T12" i="18"/>
  <c r="N12" i="18"/>
  <c r="W12" i="18"/>
  <c r="AA12" i="18"/>
  <c r="AM12" i="18"/>
  <c r="AC12" i="18"/>
  <c r="AE12" i="18"/>
  <c r="AG12" i="18"/>
  <c r="J12" i="18"/>
  <c r="V12" i="18"/>
  <c r="K12" i="18"/>
  <c r="X12" i="18"/>
  <c r="M12" i="18"/>
  <c r="AI12" i="18"/>
  <c r="H12" i="18"/>
  <c r="S12" i="18"/>
  <c r="P12" i="18"/>
  <c r="R12" i="18"/>
  <c r="AF12" i="18"/>
  <c r="AJ12" i="18"/>
  <c r="AB12" i="18"/>
  <c r="I12" i="18"/>
  <c r="B92" i="19" l="1"/>
  <c r="D92" i="19"/>
  <c r="B13" i="19"/>
  <c r="D13" i="19"/>
  <c r="B41" i="19"/>
  <c r="D41" i="19"/>
  <c r="B19" i="19"/>
  <c r="D19" i="19"/>
  <c r="D48" i="19"/>
  <c r="B48" i="19"/>
  <c r="B35" i="19"/>
  <c r="D35" i="19"/>
  <c r="B44" i="19"/>
  <c r="D44" i="19"/>
  <c r="B79" i="19"/>
  <c r="D79" i="19"/>
  <c r="B76" i="19"/>
  <c r="D76" i="19"/>
  <c r="B86" i="19"/>
  <c r="D86" i="19"/>
  <c r="D53" i="19"/>
  <c r="B53" i="19"/>
  <c r="D32" i="19"/>
  <c r="B32" i="19"/>
  <c r="B85" i="19"/>
  <c r="D85" i="19"/>
  <c r="B51" i="19"/>
  <c r="D51" i="19"/>
  <c r="B39" i="19"/>
  <c r="D39" i="19"/>
  <c r="D57" i="19"/>
  <c r="B57" i="19"/>
  <c r="B88" i="19"/>
  <c r="D88" i="19"/>
  <c r="B43" i="19"/>
  <c r="D43" i="19"/>
  <c r="D25" i="19"/>
  <c r="B25" i="19"/>
  <c r="B75" i="19"/>
  <c r="D75" i="19"/>
  <c r="F8" i="19"/>
  <c r="F6" i="19"/>
  <c r="F9" i="19"/>
  <c r="F7" i="19"/>
  <c r="F5" i="19"/>
  <c r="C12" i="19"/>
  <c r="D33" i="19"/>
  <c r="B33" i="19"/>
  <c r="B90" i="19"/>
  <c r="D90" i="19"/>
  <c r="B61" i="19"/>
  <c r="D61" i="19"/>
  <c r="B72" i="19"/>
  <c r="D72" i="19"/>
  <c r="D36" i="19"/>
  <c r="B36" i="19"/>
  <c r="B71" i="19"/>
  <c r="D71" i="19"/>
  <c r="D28" i="19"/>
  <c r="B28" i="19"/>
  <c r="B52" i="19"/>
  <c r="D52" i="19"/>
  <c r="B15" i="19"/>
  <c r="D15" i="19"/>
  <c r="D73" i="19"/>
  <c r="B73" i="19"/>
  <c r="B65" i="19"/>
  <c r="D65" i="19"/>
  <c r="B60" i="19"/>
  <c r="D60" i="19"/>
  <c r="B16" i="19"/>
  <c r="D16" i="19"/>
  <c r="B42" i="19"/>
  <c r="D42" i="19"/>
  <c r="B54" i="19"/>
  <c r="D54" i="19"/>
  <c r="D58" i="19"/>
  <c r="B58" i="19"/>
  <c r="B37" i="19"/>
  <c r="D37" i="19"/>
  <c r="B20" i="19"/>
  <c r="D20" i="19"/>
  <c r="B59" i="19"/>
  <c r="D59" i="19"/>
  <c r="D24" i="19"/>
  <c r="B24" i="19"/>
  <c r="B68" i="19"/>
  <c r="D68" i="19"/>
  <c r="D27" i="19"/>
  <c r="B27" i="19"/>
  <c r="B29" i="19"/>
  <c r="D29" i="19"/>
  <c r="D63" i="19"/>
  <c r="B63" i="19"/>
  <c r="D22" i="19"/>
  <c r="B22" i="19"/>
  <c r="D21" i="19"/>
  <c r="B21" i="19"/>
  <c r="B66" i="19"/>
  <c r="D66" i="19"/>
  <c r="B87" i="19"/>
  <c r="D87" i="19"/>
  <c r="B34" i="19"/>
  <c r="D34" i="19"/>
  <c r="B80" i="19"/>
  <c r="D80" i="19"/>
  <c r="D50" i="19"/>
  <c r="B50" i="19"/>
  <c r="D40" i="19"/>
  <c r="B40" i="19"/>
  <c r="D83" i="19"/>
  <c r="B83" i="19"/>
  <c r="D67" i="19"/>
  <c r="B67" i="19"/>
  <c r="B49" i="19"/>
  <c r="D49" i="19"/>
  <c r="D78" i="19"/>
  <c r="B78" i="19"/>
  <c r="B89" i="19"/>
  <c r="D89" i="19"/>
  <c r="B77" i="19"/>
  <c r="D77" i="19"/>
  <c r="D74" i="19"/>
  <c r="B74" i="19"/>
  <c r="B56" i="19"/>
  <c r="D56" i="19"/>
  <c r="B45" i="19"/>
  <c r="D45" i="19"/>
  <c r="D31" i="19"/>
  <c r="B31" i="19"/>
  <c r="D70" i="19"/>
  <c r="B70" i="19"/>
  <c r="B14" i="19"/>
  <c r="D14" i="19"/>
  <c r="D69" i="19"/>
  <c r="B69" i="19"/>
  <c r="D82" i="19"/>
  <c r="B82" i="19"/>
  <c r="D46" i="19"/>
  <c r="B46" i="19"/>
  <c r="B18" i="19"/>
  <c r="D18" i="19"/>
  <c r="B84" i="19"/>
  <c r="D84" i="19"/>
  <c r="B62" i="19"/>
  <c r="D62" i="19"/>
  <c r="B47" i="19"/>
  <c r="D47" i="19"/>
  <c r="B81" i="19"/>
  <c r="D81" i="19"/>
  <c r="D55" i="19"/>
  <c r="B55" i="19"/>
  <c r="D26" i="19"/>
  <c r="B26" i="19"/>
  <c r="B17" i="19"/>
  <c r="D17" i="19"/>
  <c r="B30" i="19"/>
  <c r="D30" i="19"/>
  <c r="D91" i="19"/>
  <c r="B91" i="19"/>
  <c r="D38" i="19"/>
  <c r="B38" i="19"/>
  <c r="B23" i="19"/>
  <c r="D23" i="19"/>
  <c r="I6" i="18"/>
  <c r="I5" i="18"/>
  <c r="I7" i="18"/>
  <c r="I8" i="18"/>
  <c r="I9" i="18"/>
  <c r="AM6" i="18"/>
  <c r="AM7" i="18"/>
  <c r="AM5" i="18"/>
  <c r="AM9" i="18"/>
  <c r="AM8" i="18"/>
  <c r="V6" i="18"/>
  <c r="V7" i="18"/>
  <c r="V8" i="18"/>
  <c r="V5" i="18"/>
  <c r="V9" i="18"/>
  <c r="AC6" i="18"/>
  <c r="AC7" i="18"/>
  <c r="AC9" i="18"/>
  <c r="AC5" i="18"/>
  <c r="AC8" i="18"/>
  <c r="AJ6" i="18"/>
  <c r="AJ7" i="18"/>
  <c r="AJ9" i="18"/>
  <c r="AJ8" i="18"/>
  <c r="AJ5" i="18"/>
  <c r="AJ10" i="18" a="1"/>
  <c r="AJ10" i="18" s="1"/>
  <c r="K5" i="18"/>
  <c r="K6" i="18"/>
  <c r="K7" i="18"/>
  <c r="K8" i="18"/>
  <c r="K9" i="18"/>
  <c r="R5" i="18"/>
  <c r="R8" i="18"/>
  <c r="R6" i="18"/>
  <c r="R7" i="18"/>
  <c r="R9" i="18"/>
  <c r="J9" i="18"/>
  <c r="J8" i="18"/>
  <c r="J6" i="18"/>
  <c r="J7" i="18"/>
  <c r="J5" i="18"/>
  <c r="T8" i="18"/>
  <c r="T5" i="18"/>
  <c r="T6" i="18"/>
  <c r="T9" i="18"/>
  <c r="T7" i="18"/>
  <c r="AB6" i="18"/>
  <c r="AB7" i="18"/>
  <c r="AB9" i="18"/>
  <c r="AB8" i="18"/>
  <c r="AB5" i="18"/>
  <c r="X8" i="18"/>
  <c r="X6" i="18"/>
  <c r="X9" i="18"/>
  <c r="X5" i="18"/>
  <c r="X7" i="18"/>
  <c r="AF6" i="18"/>
  <c r="AF9" i="18"/>
  <c r="AF7" i="18"/>
  <c r="AF5" i="18"/>
  <c r="AF8" i="18"/>
  <c r="N8" i="18"/>
  <c r="N7" i="18"/>
  <c r="N9" i="18"/>
  <c r="N6" i="18"/>
  <c r="N5" i="18"/>
  <c r="S5" i="18"/>
  <c r="S7" i="18"/>
  <c r="S6" i="18"/>
  <c r="S8" i="18"/>
  <c r="S9" i="18"/>
  <c r="AG8" i="18"/>
  <c r="AG9" i="18"/>
  <c r="AG7" i="18"/>
  <c r="AG5" i="18"/>
  <c r="AG6" i="18"/>
  <c r="O8" i="18"/>
  <c r="O9" i="18"/>
  <c r="O5" i="18"/>
  <c r="O6" i="18"/>
  <c r="O7" i="18"/>
  <c r="AI5" i="18"/>
  <c r="AI7" i="18"/>
  <c r="AI10" i="18" a="1"/>
  <c r="AI10" i="18" s="1"/>
  <c r="AI6" i="18"/>
  <c r="AI9" i="18"/>
  <c r="AI8" i="18"/>
  <c r="M5" i="18"/>
  <c r="M6" i="18"/>
  <c r="M7" i="18"/>
  <c r="M8" i="18"/>
  <c r="M9" i="18"/>
  <c r="AA6" i="18"/>
  <c r="AA8" i="18"/>
  <c r="AA9" i="18"/>
  <c r="AA5" i="18"/>
  <c r="AA7" i="18"/>
  <c r="W6" i="18"/>
  <c r="W9" i="18"/>
  <c r="W7" i="18"/>
  <c r="W8" i="18"/>
  <c r="W5" i="18"/>
  <c r="P8" i="18"/>
  <c r="P6" i="18"/>
  <c r="P7" i="18"/>
  <c r="P9" i="18"/>
  <c r="P5" i="18"/>
  <c r="H9" i="18"/>
  <c r="H6" i="18"/>
  <c r="H5" i="18"/>
  <c r="H7" i="18"/>
  <c r="H8" i="18"/>
  <c r="AE7" i="18"/>
  <c r="AE6" i="18"/>
  <c r="AE5" i="18"/>
  <c r="AE9" i="18"/>
  <c r="AE8" i="18"/>
  <c r="AL9" i="18"/>
  <c r="AL5" i="18"/>
  <c r="AL7" i="18"/>
  <c r="AL6" i="18"/>
  <c r="AL8" i="18"/>
  <c r="AL10" i="18" a="1"/>
  <c r="AL10" i="18" s="1"/>
  <c r="H92" i="19" l="1"/>
  <c r="R92" i="19"/>
  <c r="AC92" i="19"/>
  <c r="I92" i="19"/>
  <c r="S92" i="19"/>
  <c r="AE92" i="19"/>
  <c r="AA92" i="19"/>
  <c r="J92" i="19"/>
  <c r="T92" i="19"/>
  <c r="AF92" i="19"/>
  <c r="O92" i="19"/>
  <c r="K92" i="19"/>
  <c r="V92" i="19"/>
  <c r="AG92" i="19"/>
  <c r="AL92" i="19"/>
  <c r="M92" i="19"/>
  <c r="W92" i="19"/>
  <c r="AI92" i="19"/>
  <c r="N92" i="19"/>
  <c r="X92" i="19"/>
  <c r="AJ92" i="19"/>
  <c r="P92" i="19"/>
  <c r="AB92" i="19"/>
  <c r="AM92" i="19"/>
  <c r="M91" i="19"/>
  <c r="AA91" i="19"/>
  <c r="H91" i="19"/>
  <c r="J91" i="19"/>
  <c r="W91" i="19"/>
  <c r="V91" i="19"/>
  <c r="R91" i="19"/>
  <c r="T91" i="19"/>
  <c r="AB91" i="19"/>
  <c r="AL91" i="19"/>
  <c r="I91" i="19"/>
  <c r="AJ91" i="19"/>
  <c r="N91" i="19"/>
  <c r="P91" i="19"/>
  <c r="AC91" i="19"/>
  <c r="K91" i="19"/>
  <c r="X91" i="19"/>
  <c r="AI91" i="19"/>
  <c r="AM91" i="19"/>
  <c r="AE91" i="19"/>
  <c r="O91" i="19"/>
  <c r="S91" i="19"/>
  <c r="AG91" i="19"/>
  <c r="AF91" i="19"/>
  <c r="AL55" i="19"/>
  <c r="AI55" i="19"/>
  <c r="I55" i="19"/>
  <c r="P55" i="19"/>
  <c r="AE55" i="19"/>
  <c r="W55" i="19"/>
  <c r="M55" i="19"/>
  <c r="O55" i="19"/>
  <c r="AC55" i="19"/>
  <c r="J55" i="19"/>
  <c r="S55" i="19"/>
  <c r="AJ55" i="19"/>
  <c r="N55" i="19"/>
  <c r="AG55" i="19"/>
  <c r="AB55" i="19"/>
  <c r="X55" i="19"/>
  <c r="K55" i="19"/>
  <c r="AM55" i="19"/>
  <c r="V55" i="19"/>
  <c r="T55" i="19"/>
  <c r="R55" i="19"/>
  <c r="H55" i="19"/>
  <c r="AF55" i="19"/>
  <c r="AA55" i="19"/>
  <c r="AJ69" i="19"/>
  <c r="M69" i="19"/>
  <c r="V69" i="19"/>
  <c r="AC69" i="19"/>
  <c r="S69" i="19"/>
  <c r="R69" i="19"/>
  <c r="AE69" i="19"/>
  <c r="AF69" i="19"/>
  <c r="X69" i="19"/>
  <c r="W69" i="19"/>
  <c r="J69" i="19"/>
  <c r="AB69" i="19"/>
  <c r="I69" i="19"/>
  <c r="AM69" i="19"/>
  <c r="N69" i="19"/>
  <c r="AG69" i="19"/>
  <c r="H69" i="19"/>
  <c r="T69" i="19"/>
  <c r="O69" i="19"/>
  <c r="AI69" i="19"/>
  <c r="AA69" i="19"/>
  <c r="P69" i="19"/>
  <c r="K69" i="19"/>
  <c r="AL69" i="19"/>
  <c r="AB83" i="19"/>
  <c r="AJ83" i="19"/>
  <c r="N83" i="19"/>
  <c r="AC83" i="19"/>
  <c r="J83" i="19"/>
  <c r="R83" i="19"/>
  <c r="X83" i="19"/>
  <c r="M83" i="19"/>
  <c r="AM83" i="19"/>
  <c r="T83" i="19"/>
  <c r="AI83" i="19"/>
  <c r="K83" i="19"/>
  <c r="S83" i="19"/>
  <c r="AA83" i="19"/>
  <c r="AF83" i="19"/>
  <c r="W83" i="19"/>
  <c r="V83" i="19"/>
  <c r="I83" i="19"/>
  <c r="H83" i="19"/>
  <c r="P83" i="19"/>
  <c r="AE83" i="19"/>
  <c r="AG83" i="19"/>
  <c r="AL83" i="19"/>
  <c r="O83" i="19"/>
  <c r="M22" i="19"/>
  <c r="S22" i="19"/>
  <c r="H22" i="19"/>
  <c r="K22" i="19"/>
  <c r="AJ22" i="19"/>
  <c r="R22" i="19"/>
  <c r="J22" i="19"/>
  <c r="AF22" i="19"/>
  <c r="AI22" i="19"/>
  <c r="AB22" i="19"/>
  <c r="P22" i="19"/>
  <c r="T22" i="19"/>
  <c r="W22" i="19"/>
  <c r="AG22" i="19"/>
  <c r="O22" i="19"/>
  <c r="X22" i="19"/>
  <c r="AC22" i="19"/>
  <c r="I22" i="19"/>
  <c r="AE22" i="19"/>
  <c r="AL22" i="19"/>
  <c r="AA22" i="19"/>
  <c r="V22" i="19"/>
  <c r="N22" i="19"/>
  <c r="AM22" i="19"/>
  <c r="AL73" i="19"/>
  <c r="J73" i="19"/>
  <c r="AG73" i="19"/>
  <c r="N73" i="19"/>
  <c r="H73" i="19"/>
  <c r="P73" i="19"/>
  <c r="AM73" i="19"/>
  <c r="X73" i="19"/>
  <c r="M73" i="19"/>
  <c r="T73" i="19"/>
  <c r="K73" i="19"/>
  <c r="V73" i="19"/>
  <c r="AC73" i="19"/>
  <c r="AF73" i="19"/>
  <c r="S73" i="19"/>
  <c r="AA73" i="19"/>
  <c r="I73" i="19"/>
  <c r="AJ73" i="19"/>
  <c r="AB73" i="19"/>
  <c r="AI73" i="19"/>
  <c r="R73" i="19"/>
  <c r="AE73" i="19"/>
  <c r="O73" i="19"/>
  <c r="W73" i="19"/>
  <c r="V48" i="19"/>
  <c r="T48" i="19"/>
  <c r="AC48" i="19"/>
  <c r="I48" i="19"/>
  <c r="N48" i="19"/>
  <c r="S48" i="19"/>
  <c r="X48" i="19"/>
  <c r="AG48" i="19"/>
  <c r="AM48" i="19"/>
  <c r="O48" i="19"/>
  <c r="K48" i="19"/>
  <c r="AI48" i="19"/>
  <c r="AL48" i="19"/>
  <c r="AF48" i="19"/>
  <c r="P48" i="19"/>
  <c r="AA48" i="19"/>
  <c r="J48" i="19"/>
  <c r="W48" i="19"/>
  <c r="AJ48" i="19"/>
  <c r="R48" i="19"/>
  <c r="AE48" i="19"/>
  <c r="M48" i="19"/>
  <c r="AB48" i="19"/>
  <c r="H48" i="19"/>
  <c r="AI37" i="19"/>
  <c r="AF37" i="19"/>
  <c r="AL37" i="19"/>
  <c r="I37" i="19"/>
  <c r="AG37" i="19"/>
  <c r="S37" i="19"/>
  <c r="P37" i="19"/>
  <c r="V37" i="19"/>
  <c r="O37" i="19"/>
  <c r="X37" i="19"/>
  <c r="AC37" i="19"/>
  <c r="N37" i="19"/>
  <c r="M37" i="19"/>
  <c r="J37" i="19"/>
  <c r="H37" i="19"/>
  <c r="AE37" i="19"/>
  <c r="AM37" i="19"/>
  <c r="AJ37" i="19"/>
  <c r="AA37" i="19"/>
  <c r="R37" i="19"/>
  <c r="T37" i="19"/>
  <c r="W37" i="19"/>
  <c r="K37" i="19"/>
  <c r="AB37" i="19"/>
  <c r="AE16" i="19"/>
  <c r="AJ16" i="19"/>
  <c r="R16" i="19"/>
  <c r="K16" i="19"/>
  <c r="M16" i="19"/>
  <c r="X16" i="19"/>
  <c r="AC16" i="19"/>
  <c r="V16" i="19"/>
  <c r="AM16" i="19"/>
  <c r="O16" i="19"/>
  <c r="J16" i="19"/>
  <c r="N16" i="19"/>
  <c r="AI16" i="19"/>
  <c r="AL16" i="19"/>
  <c r="AB16" i="19"/>
  <c r="P16" i="19"/>
  <c r="AA16" i="19"/>
  <c r="W16" i="19"/>
  <c r="H16" i="19"/>
  <c r="AF16" i="19"/>
  <c r="I16" i="19"/>
  <c r="T16" i="19"/>
  <c r="S16" i="19"/>
  <c r="AG16" i="19"/>
  <c r="AI90" i="19"/>
  <c r="V90" i="19"/>
  <c r="M90" i="19"/>
  <c r="AL90" i="19"/>
  <c r="AB90" i="19"/>
  <c r="K90" i="19"/>
  <c r="T90" i="19"/>
  <c r="N90" i="19"/>
  <c r="J90" i="19"/>
  <c r="AC90" i="19"/>
  <c r="R90" i="19"/>
  <c r="I90" i="19"/>
  <c r="AJ90" i="19"/>
  <c r="AF90" i="19"/>
  <c r="O90" i="19"/>
  <c r="S90" i="19"/>
  <c r="P90" i="19"/>
  <c r="AA90" i="19"/>
  <c r="H90" i="19"/>
  <c r="AE90" i="19"/>
  <c r="X90" i="19"/>
  <c r="AG90" i="19"/>
  <c r="W90" i="19"/>
  <c r="AM90" i="19"/>
  <c r="AE85" i="19"/>
  <c r="R85" i="19"/>
  <c r="N85" i="19"/>
  <c r="J85" i="19"/>
  <c r="AA85" i="19"/>
  <c r="K85" i="19"/>
  <c r="W85" i="19"/>
  <c r="AI85" i="19"/>
  <c r="AJ85" i="19"/>
  <c r="AL85" i="19"/>
  <c r="I85" i="19"/>
  <c r="S85" i="19"/>
  <c r="T85" i="19"/>
  <c r="AF85" i="19"/>
  <c r="O85" i="19"/>
  <c r="M85" i="19"/>
  <c r="AG85" i="19"/>
  <c r="AB85" i="19"/>
  <c r="H85" i="19"/>
  <c r="AM85" i="19"/>
  <c r="X85" i="19"/>
  <c r="V85" i="19"/>
  <c r="AC85" i="19"/>
  <c r="P85" i="19"/>
  <c r="R76" i="19"/>
  <c r="S76" i="19"/>
  <c r="AA76" i="19"/>
  <c r="W76" i="19"/>
  <c r="H76" i="19"/>
  <c r="AB76" i="19"/>
  <c r="O76" i="19"/>
  <c r="AF76" i="19"/>
  <c r="AE76" i="19"/>
  <c r="AI76" i="19"/>
  <c r="T76" i="19"/>
  <c r="K76" i="19"/>
  <c r="AC76" i="19"/>
  <c r="P76" i="19"/>
  <c r="V76" i="19"/>
  <c r="M76" i="19"/>
  <c r="J76" i="19"/>
  <c r="AM76" i="19"/>
  <c r="AJ76" i="19"/>
  <c r="I76" i="19"/>
  <c r="AG76" i="19"/>
  <c r="AL76" i="19"/>
  <c r="N76" i="19"/>
  <c r="X76" i="19"/>
  <c r="AE34" i="19"/>
  <c r="H34" i="19"/>
  <c r="AF34" i="19"/>
  <c r="X34" i="19"/>
  <c r="P34" i="19"/>
  <c r="AM34" i="19"/>
  <c r="AC34" i="19"/>
  <c r="AI34" i="19"/>
  <c r="R34" i="19"/>
  <c r="T34" i="19"/>
  <c r="O34" i="19"/>
  <c r="AB34" i="19"/>
  <c r="AA34" i="19"/>
  <c r="V34" i="19"/>
  <c r="J34" i="19"/>
  <c r="AJ34" i="19"/>
  <c r="W34" i="19"/>
  <c r="M34" i="19"/>
  <c r="I34" i="19"/>
  <c r="N34" i="19"/>
  <c r="K34" i="19"/>
  <c r="AL34" i="19"/>
  <c r="S34" i="19"/>
  <c r="AG34" i="19"/>
  <c r="AA68" i="19"/>
  <c r="AM68" i="19"/>
  <c r="AC68" i="19"/>
  <c r="P68" i="19"/>
  <c r="W68" i="19"/>
  <c r="X68" i="19"/>
  <c r="AF68" i="19"/>
  <c r="S68" i="19"/>
  <c r="AL68" i="19"/>
  <c r="T68" i="19"/>
  <c r="I68" i="19"/>
  <c r="AB68" i="19"/>
  <c r="N68" i="19"/>
  <c r="AI68" i="19"/>
  <c r="J68" i="19"/>
  <c r="O68" i="19"/>
  <c r="R68" i="19"/>
  <c r="AG68" i="19"/>
  <c r="H68" i="19"/>
  <c r="M68" i="19"/>
  <c r="K68" i="19"/>
  <c r="V68" i="19"/>
  <c r="AJ68" i="19"/>
  <c r="AE68" i="19"/>
  <c r="AA88" i="19"/>
  <c r="AE88" i="19"/>
  <c r="R88" i="19"/>
  <c r="AL88" i="19"/>
  <c r="N88" i="19"/>
  <c r="K88" i="19"/>
  <c r="AF88" i="19"/>
  <c r="J88" i="19"/>
  <c r="AJ88" i="19"/>
  <c r="AI88" i="19"/>
  <c r="AB88" i="19"/>
  <c r="AM88" i="19"/>
  <c r="I88" i="19"/>
  <c r="O88" i="19"/>
  <c r="X88" i="19"/>
  <c r="V88" i="19"/>
  <c r="AG88" i="19"/>
  <c r="M88" i="19"/>
  <c r="P88" i="19"/>
  <c r="W88" i="19"/>
  <c r="H88" i="19"/>
  <c r="T88" i="19"/>
  <c r="S88" i="19"/>
  <c r="AC88" i="19"/>
  <c r="M78" i="19"/>
  <c r="R78" i="19"/>
  <c r="X78" i="19"/>
  <c r="J78" i="19"/>
  <c r="W78" i="19"/>
  <c r="AA78" i="19"/>
  <c r="O78" i="19"/>
  <c r="T78" i="19"/>
  <c r="AB78" i="19"/>
  <c r="AL78" i="19"/>
  <c r="K78" i="19"/>
  <c r="AF78" i="19"/>
  <c r="N78" i="19"/>
  <c r="P78" i="19"/>
  <c r="AG78" i="19"/>
  <c r="AJ78" i="19"/>
  <c r="AC78" i="19"/>
  <c r="AI78" i="19"/>
  <c r="AM78" i="19"/>
  <c r="AE78" i="19"/>
  <c r="I78" i="19"/>
  <c r="V78" i="19"/>
  <c r="S78" i="19"/>
  <c r="H78" i="19"/>
  <c r="I40" i="19"/>
  <c r="N40" i="19"/>
  <c r="AL40" i="19"/>
  <c r="O40" i="19"/>
  <c r="S40" i="19"/>
  <c r="AJ40" i="19"/>
  <c r="AG40" i="19"/>
  <c r="AA40" i="19"/>
  <c r="M40" i="19"/>
  <c r="AM40" i="19"/>
  <c r="AC40" i="19"/>
  <c r="AI40" i="19"/>
  <c r="J40" i="19"/>
  <c r="P40" i="19"/>
  <c r="X40" i="19"/>
  <c r="R40" i="19"/>
  <c r="T40" i="19"/>
  <c r="AB40" i="19"/>
  <c r="V40" i="19"/>
  <c r="AE40" i="19"/>
  <c r="K40" i="19"/>
  <c r="AF40" i="19"/>
  <c r="W40" i="19"/>
  <c r="H40" i="19"/>
  <c r="AM63" i="19"/>
  <c r="O63" i="19"/>
  <c r="J63" i="19"/>
  <c r="P63" i="19"/>
  <c r="AF63" i="19"/>
  <c r="X63" i="19"/>
  <c r="K63" i="19"/>
  <c r="S63" i="19"/>
  <c r="AE63" i="19"/>
  <c r="AI63" i="19"/>
  <c r="H63" i="19"/>
  <c r="R63" i="19"/>
  <c r="AL63" i="19"/>
  <c r="AB63" i="19"/>
  <c r="W63" i="19"/>
  <c r="AA63" i="19"/>
  <c r="I63" i="19"/>
  <c r="V63" i="19"/>
  <c r="T63" i="19"/>
  <c r="AG63" i="19"/>
  <c r="N63" i="19"/>
  <c r="AC63" i="19"/>
  <c r="AJ63" i="19"/>
  <c r="M63" i="19"/>
  <c r="AC24" i="19"/>
  <c r="AE24" i="19"/>
  <c r="H24" i="19"/>
  <c r="X24" i="19"/>
  <c r="I24" i="19"/>
  <c r="AB24" i="19"/>
  <c r="R24" i="19"/>
  <c r="AL24" i="19"/>
  <c r="AG24" i="19"/>
  <c r="AA24" i="19"/>
  <c r="S24" i="19"/>
  <c r="M24" i="19"/>
  <c r="K24" i="19"/>
  <c r="AI24" i="19"/>
  <c r="O24" i="19"/>
  <c r="T24" i="19"/>
  <c r="AF24" i="19"/>
  <c r="J24" i="19"/>
  <c r="AJ24" i="19"/>
  <c r="AM24" i="19"/>
  <c r="V24" i="19"/>
  <c r="P24" i="19"/>
  <c r="W24" i="19"/>
  <c r="N24" i="19"/>
  <c r="AC58" i="19"/>
  <c r="O58" i="19"/>
  <c r="AG58" i="19"/>
  <c r="H58" i="19"/>
  <c r="AI58" i="19"/>
  <c r="S58" i="19"/>
  <c r="R58" i="19"/>
  <c r="X58" i="19"/>
  <c r="J58" i="19"/>
  <c r="AJ58" i="19"/>
  <c r="I58" i="19"/>
  <c r="AE58" i="19"/>
  <c r="P58" i="19"/>
  <c r="AB58" i="19"/>
  <c r="V58" i="19"/>
  <c r="AM58" i="19"/>
  <c r="K58" i="19"/>
  <c r="T58" i="19"/>
  <c r="AF58" i="19"/>
  <c r="AL58" i="19"/>
  <c r="N58" i="19"/>
  <c r="W58" i="19"/>
  <c r="M58" i="19"/>
  <c r="AA58" i="19"/>
  <c r="AA36" i="19"/>
  <c r="P36" i="19"/>
  <c r="V36" i="19"/>
  <c r="AJ36" i="19"/>
  <c r="M36" i="19"/>
  <c r="O36" i="19"/>
  <c r="H36" i="19"/>
  <c r="AI36" i="19"/>
  <c r="W36" i="19"/>
  <c r="AF36" i="19"/>
  <c r="AE36" i="19"/>
  <c r="AG36" i="19"/>
  <c r="AL36" i="19"/>
  <c r="AB36" i="19"/>
  <c r="S36" i="19"/>
  <c r="AC36" i="19"/>
  <c r="N36" i="19"/>
  <c r="X36" i="19"/>
  <c r="J36" i="19"/>
  <c r="I36" i="19"/>
  <c r="AM36" i="19"/>
  <c r="T36" i="19"/>
  <c r="K36" i="19"/>
  <c r="R36" i="19"/>
  <c r="AF33" i="19"/>
  <c r="P33" i="19"/>
  <c r="AG33" i="19"/>
  <c r="K33" i="19"/>
  <c r="X33" i="19"/>
  <c r="AE33" i="19"/>
  <c r="V33" i="19"/>
  <c r="AI33" i="19"/>
  <c r="W33" i="19"/>
  <c r="AM33" i="19"/>
  <c r="M33" i="19"/>
  <c r="H33" i="19"/>
  <c r="AL33" i="19"/>
  <c r="AJ33" i="19"/>
  <c r="J33" i="19"/>
  <c r="R33" i="19"/>
  <c r="N33" i="19"/>
  <c r="S33" i="19"/>
  <c r="AC33" i="19"/>
  <c r="AB33" i="19"/>
  <c r="I33" i="19"/>
  <c r="O33" i="19"/>
  <c r="T33" i="19"/>
  <c r="AA33" i="19"/>
  <c r="AL57" i="19"/>
  <c r="J57" i="19"/>
  <c r="AB57" i="19"/>
  <c r="N57" i="19"/>
  <c r="H57" i="19"/>
  <c r="AE57" i="19"/>
  <c r="AG57" i="19"/>
  <c r="X57" i="19"/>
  <c r="M57" i="19"/>
  <c r="T57" i="19"/>
  <c r="P57" i="19"/>
  <c r="V57" i="19"/>
  <c r="AC57" i="19"/>
  <c r="AF57" i="19"/>
  <c r="S57" i="19"/>
  <c r="AA57" i="19"/>
  <c r="I57" i="19"/>
  <c r="R57" i="19"/>
  <c r="K57" i="19"/>
  <c r="AI57" i="19"/>
  <c r="AM57" i="19"/>
  <c r="W57" i="19"/>
  <c r="O57" i="19"/>
  <c r="AJ57" i="19"/>
  <c r="AL32" i="19"/>
  <c r="K32" i="19"/>
  <c r="AC32" i="19"/>
  <c r="H32" i="19"/>
  <c r="AE32" i="19"/>
  <c r="S32" i="19"/>
  <c r="I32" i="19"/>
  <c r="O32" i="19"/>
  <c r="AG32" i="19"/>
  <c r="AF32" i="19"/>
  <c r="P32" i="19"/>
  <c r="AJ32" i="19"/>
  <c r="M32" i="19"/>
  <c r="AI32" i="19"/>
  <c r="J32" i="19"/>
  <c r="R32" i="19"/>
  <c r="W32" i="19"/>
  <c r="AA32" i="19"/>
  <c r="T32" i="19"/>
  <c r="AM32" i="19"/>
  <c r="V32" i="19"/>
  <c r="N32" i="19"/>
  <c r="AB32" i="19"/>
  <c r="X32" i="19"/>
  <c r="AB71" i="19"/>
  <c r="AE71" i="19"/>
  <c r="O71" i="19"/>
  <c r="R71" i="19"/>
  <c r="N71" i="19"/>
  <c r="S71" i="19"/>
  <c r="AF71" i="19"/>
  <c r="K71" i="19"/>
  <c r="H71" i="19"/>
  <c r="V71" i="19"/>
  <c r="AM71" i="19"/>
  <c r="T71" i="19"/>
  <c r="AI71" i="19"/>
  <c r="AJ71" i="19"/>
  <c r="P71" i="19"/>
  <c r="AG71" i="19"/>
  <c r="W71" i="19"/>
  <c r="M71" i="19"/>
  <c r="J71" i="19"/>
  <c r="X71" i="19"/>
  <c r="AA71" i="19"/>
  <c r="AC71" i="19"/>
  <c r="I71" i="19"/>
  <c r="AL71" i="19"/>
  <c r="AF30" i="19"/>
  <c r="AA30" i="19"/>
  <c r="X30" i="19"/>
  <c r="P30" i="19"/>
  <c r="AB30" i="19"/>
  <c r="K30" i="19"/>
  <c r="AJ30" i="19"/>
  <c r="V30" i="19"/>
  <c r="T30" i="19"/>
  <c r="AL30" i="19"/>
  <c r="M30" i="19"/>
  <c r="W30" i="19"/>
  <c r="R30" i="19"/>
  <c r="AI30" i="19"/>
  <c r="AC30" i="19"/>
  <c r="AG30" i="19"/>
  <c r="AE30" i="19"/>
  <c r="S30" i="19"/>
  <c r="H30" i="19"/>
  <c r="J30" i="19"/>
  <c r="I30" i="19"/>
  <c r="N30" i="19"/>
  <c r="AM30" i="19"/>
  <c r="O30" i="19"/>
  <c r="AM81" i="19"/>
  <c r="AF81" i="19"/>
  <c r="X81" i="19"/>
  <c r="W81" i="19"/>
  <c r="S81" i="19"/>
  <c r="AJ81" i="19"/>
  <c r="K81" i="19"/>
  <c r="T81" i="19"/>
  <c r="H81" i="19"/>
  <c r="J81" i="19"/>
  <c r="AE81" i="19"/>
  <c r="N81" i="19"/>
  <c r="P81" i="19"/>
  <c r="AB81" i="19"/>
  <c r="AI81" i="19"/>
  <c r="AC81" i="19"/>
  <c r="M81" i="19"/>
  <c r="R81" i="19"/>
  <c r="O81" i="19"/>
  <c r="V81" i="19"/>
  <c r="I81" i="19"/>
  <c r="AG81" i="19"/>
  <c r="AA81" i="19"/>
  <c r="AL81" i="19"/>
  <c r="AA18" i="19"/>
  <c r="N18" i="19"/>
  <c r="AE18" i="19"/>
  <c r="AL18" i="19"/>
  <c r="AF18" i="19"/>
  <c r="O18" i="19"/>
  <c r="H18" i="19"/>
  <c r="I18" i="19"/>
  <c r="AC18" i="19"/>
  <c r="P18" i="19"/>
  <c r="R18" i="19"/>
  <c r="W18" i="19"/>
  <c r="AJ18" i="19"/>
  <c r="AI18" i="19"/>
  <c r="M18" i="19"/>
  <c r="S18" i="19"/>
  <c r="J18" i="19"/>
  <c r="T18" i="19"/>
  <c r="K18" i="19"/>
  <c r="V18" i="19"/>
  <c r="X18" i="19"/>
  <c r="AB18" i="19"/>
  <c r="AM18" i="19"/>
  <c r="AG18" i="19"/>
  <c r="S14" i="19"/>
  <c r="H14" i="19"/>
  <c r="O14" i="19"/>
  <c r="W14" i="19"/>
  <c r="AL14" i="19"/>
  <c r="AB14" i="19"/>
  <c r="N14" i="19"/>
  <c r="AM14" i="19"/>
  <c r="AC14" i="19"/>
  <c r="R14" i="19"/>
  <c r="AF14" i="19"/>
  <c r="AA14" i="19"/>
  <c r="K14" i="19"/>
  <c r="J14" i="19"/>
  <c r="I14" i="19"/>
  <c r="AI14" i="19"/>
  <c r="AE14" i="19"/>
  <c r="M14" i="19"/>
  <c r="AG14" i="19"/>
  <c r="AJ14" i="19"/>
  <c r="X14" i="19"/>
  <c r="T14" i="19"/>
  <c r="P14" i="19"/>
  <c r="V14" i="19"/>
  <c r="AF56" i="19"/>
  <c r="O56" i="19"/>
  <c r="AM56" i="19"/>
  <c r="AL56" i="19"/>
  <c r="AG56" i="19"/>
  <c r="I56" i="19"/>
  <c r="AC56" i="19"/>
  <c r="X56" i="19"/>
  <c r="AB56" i="19"/>
  <c r="W56" i="19"/>
  <c r="K56" i="19"/>
  <c r="M56" i="19"/>
  <c r="T56" i="19"/>
  <c r="AJ56" i="19"/>
  <c r="V56" i="19"/>
  <c r="H56" i="19"/>
  <c r="R56" i="19"/>
  <c r="S56" i="19"/>
  <c r="AA56" i="19"/>
  <c r="AE56" i="19"/>
  <c r="P56" i="19"/>
  <c r="AI56" i="19"/>
  <c r="N56" i="19"/>
  <c r="J56" i="19"/>
  <c r="AF87" i="19"/>
  <c r="K87" i="19"/>
  <c r="I87" i="19"/>
  <c r="AC87" i="19"/>
  <c r="AM87" i="19"/>
  <c r="W87" i="19"/>
  <c r="AB87" i="19"/>
  <c r="J87" i="19"/>
  <c r="O87" i="19"/>
  <c r="AA87" i="19"/>
  <c r="N87" i="19"/>
  <c r="V87" i="19"/>
  <c r="AL87" i="19"/>
  <c r="AE87" i="19"/>
  <c r="S87" i="19"/>
  <c r="AI87" i="19"/>
  <c r="P87" i="19"/>
  <c r="X87" i="19"/>
  <c r="R87" i="19"/>
  <c r="AJ87" i="19"/>
  <c r="M87" i="19"/>
  <c r="H87" i="19"/>
  <c r="AG87" i="19"/>
  <c r="T87" i="19"/>
  <c r="AF15" i="19"/>
  <c r="AC15" i="19"/>
  <c r="J15" i="19"/>
  <c r="I15" i="19"/>
  <c r="AJ15" i="19"/>
  <c r="S15" i="19"/>
  <c r="W15" i="19"/>
  <c r="O15" i="19"/>
  <c r="X15" i="19"/>
  <c r="AM15" i="19"/>
  <c r="AE15" i="19"/>
  <c r="AG15" i="19"/>
  <c r="V15" i="19"/>
  <c r="AL15" i="19"/>
  <c r="N15" i="19"/>
  <c r="T15" i="19"/>
  <c r="P15" i="19"/>
  <c r="H15" i="19"/>
  <c r="AB15" i="19"/>
  <c r="R15" i="19"/>
  <c r="K15" i="19"/>
  <c r="AA15" i="19"/>
  <c r="AI15" i="19"/>
  <c r="M15" i="19"/>
  <c r="H75" i="19"/>
  <c r="T75" i="19"/>
  <c r="N75" i="19"/>
  <c r="P75" i="19"/>
  <c r="R75" i="19"/>
  <c r="J75" i="19"/>
  <c r="X75" i="19"/>
  <c r="V75" i="19"/>
  <c r="W75" i="19"/>
  <c r="AF75" i="19"/>
  <c r="O75" i="19"/>
  <c r="AE75" i="19"/>
  <c r="I75" i="19"/>
  <c r="M75" i="19"/>
  <c r="AM75" i="19"/>
  <c r="AG75" i="19"/>
  <c r="S75" i="19"/>
  <c r="AB75" i="19"/>
  <c r="AI75" i="19"/>
  <c r="AL75" i="19"/>
  <c r="AC75" i="19"/>
  <c r="K75" i="19"/>
  <c r="AJ75" i="19"/>
  <c r="AA75" i="19"/>
  <c r="I79" i="19"/>
  <c r="K79" i="19"/>
  <c r="AB79" i="19"/>
  <c r="P79" i="19"/>
  <c r="S79" i="19"/>
  <c r="H79" i="19"/>
  <c r="X79" i="19"/>
  <c r="AM79" i="19"/>
  <c r="O79" i="19"/>
  <c r="AG79" i="19"/>
  <c r="AJ79" i="19"/>
  <c r="W79" i="19"/>
  <c r="T79" i="19"/>
  <c r="M79" i="19"/>
  <c r="V79" i="19"/>
  <c r="R79" i="19"/>
  <c r="J79" i="19"/>
  <c r="AE79" i="19"/>
  <c r="AA79" i="19"/>
  <c r="AC79" i="19"/>
  <c r="AI79" i="19"/>
  <c r="AL79" i="19"/>
  <c r="N79" i="19"/>
  <c r="AF79" i="19"/>
  <c r="J19" i="19"/>
  <c r="N19" i="19"/>
  <c r="I19" i="19"/>
  <c r="AB19" i="19"/>
  <c r="AJ19" i="19"/>
  <c r="AE19" i="19"/>
  <c r="S19" i="19"/>
  <c r="AM19" i="19"/>
  <c r="AL19" i="19"/>
  <c r="X19" i="19"/>
  <c r="R19" i="19"/>
  <c r="AA19" i="19"/>
  <c r="AC19" i="19"/>
  <c r="K19" i="19"/>
  <c r="O19" i="19"/>
  <c r="P19" i="19"/>
  <c r="T19" i="19"/>
  <c r="AI19" i="19"/>
  <c r="V19" i="19"/>
  <c r="M19" i="19"/>
  <c r="H19" i="19"/>
  <c r="AG19" i="19"/>
  <c r="AF19" i="19"/>
  <c r="W19" i="19"/>
  <c r="AM89" i="19"/>
  <c r="AI89" i="19"/>
  <c r="S89" i="19"/>
  <c r="AA89" i="19"/>
  <c r="X89" i="19"/>
  <c r="M89" i="19"/>
  <c r="I89" i="19"/>
  <c r="K89" i="19"/>
  <c r="AB89" i="19"/>
  <c r="H89" i="19"/>
  <c r="P89" i="19"/>
  <c r="R89" i="19"/>
  <c r="AG89" i="19"/>
  <c r="AL89" i="19"/>
  <c r="AC89" i="19"/>
  <c r="W89" i="19"/>
  <c r="J89" i="19"/>
  <c r="O89" i="19"/>
  <c r="V89" i="19"/>
  <c r="T89" i="19"/>
  <c r="AE89" i="19"/>
  <c r="N89" i="19"/>
  <c r="AF89" i="19"/>
  <c r="AJ89" i="19"/>
  <c r="AL46" i="19"/>
  <c r="R46" i="19"/>
  <c r="P46" i="19"/>
  <c r="N46" i="19"/>
  <c r="W46" i="19"/>
  <c r="AB46" i="19"/>
  <c r="X46" i="19"/>
  <c r="J46" i="19"/>
  <c r="AF46" i="19"/>
  <c r="AM46" i="19"/>
  <c r="M46" i="19"/>
  <c r="T46" i="19"/>
  <c r="AC46" i="19"/>
  <c r="K46" i="19"/>
  <c r="AJ46" i="19"/>
  <c r="V46" i="19"/>
  <c r="O46" i="19"/>
  <c r="I46" i="19"/>
  <c r="AE46" i="19"/>
  <c r="AA46" i="19"/>
  <c r="AI46" i="19"/>
  <c r="AG46" i="19"/>
  <c r="H46" i="19"/>
  <c r="S46" i="19"/>
  <c r="AE70" i="19"/>
  <c r="I70" i="19"/>
  <c r="J70" i="19"/>
  <c r="AF70" i="19"/>
  <c r="AB70" i="19"/>
  <c r="AL70" i="19"/>
  <c r="AJ70" i="19"/>
  <c r="K70" i="19"/>
  <c r="W70" i="19"/>
  <c r="S70" i="19"/>
  <c r="AG70" i="19"/>
  <c r="AA70" i="19"/>
  <c r="H70" i="19"/>
  <c r="T70" i="19"/>
  <c r="R70" i="19"/>
  <c r="AI70" i="19"/>
  <c r="AM70" i="19"/>
  <c r="V70" i="19"/>
  <c r="P70" i="19"/>
  <c r="M70" i="19"/>
  <c r="O70" i="19"/>
  <c r="N70" i="19"/>
  <c r="AC70" i="19"/>
  <c r="X70" i="19"/>
  <c r="J74" i="19"/>
  <c r="AB74" i="19"/>
  <c r="AM74" i="19"/>
  <c r="S74" i="19"/>
  <c r="AJ74" i="19"/>
  <c r="P74" i="19"/>
  <c r="AL74" i="19"/>
  <c r="AG74" i="19"/>
  <c r="AE74" i="19"/>
  <c r="T74" i="19"/>
  <c r="AA74" i="19"/>
  <c r="AC74" i="19"/>
  <c r="X74" i="19"/>
  <c r="W74" i="19"/>
  <c r="M74" i="19"/>
  <c r="K74" i="19"/>
  <c r="I74" i="19"/>
  <c r="N74" i="19"/>
  <c r="V74" i="19"/>
  <c r="AF74" i="19"/>
  <c r="R74" i="19"/>
  <c r="AI74" i="19"/>
  <c r="O74" i="19"/>
  <c r="H74" i="19"/>
  <c r="AL50" i="19"/>
  <c r="J50" i="19"/>
  <c r="AJ50" i="19"/>
  <c r="N50" i="19"/>
  <c r="H50" i="19"/>
  <c r="AE50" i="19"/>
  <c r="K50" i="19"/>
  <c r="X50" i="19"/>
  <c r="AI50" i="19"/>
  <c r="T50" i="19"/>
  <c r="AB50" i="19"/>
  <c r="AM50" i="19"/>
  <c r="AC50" i="19"/>
  <c r="AF50" i="19"/>
  <c r="O50" i="19"/>
  <c r="M50" i="19"/>
  <c r="AA50" i="19"/>
  <c r="I50" i="19"/>
  <c r="AG50" i="19"/>
  <c r="W50" i="19"/>
  <c r="P50" i="19"/>
  <c r="S50" i="19"/>
  <c r="V50" i="19"/>
  <c r="R50" i="19"/>
  <c r="B12" i="19"/>
  <c r="D12" i="19"/>
  <c r="AA25" i="19"/>
  <c r="AI25" i="19"/>
  <c r="AB25" i="19"/>
  <c r="AG25" i="19"/>
  <c r="P25" i="19"/>
  <c r="M25" i="19"/>
  <c r="AM25" i="19"/>
  <c r="X25" i="19"/>
  <c r="T25" i="19"/>
  <c r="AL25" i="19"/>
  <c r="N25" i="19"/>
  <c r="AF25" i="19"/>
  <c r="J25" i="19"/>
  <c r="K25" i="19"/>
  <c r="I25" i="19"/>
  <c r="AC25" i="19"/>
  <c r="AJ25" i="19"/>
  <c r="R25" i="19"/>
  <c r="V25" i="19"/>
  <c r="H25" i="19"/>
  <c r="W25" i="19"/>
  <c r="AE25" i="19"/>
  <c r="S25" i="19"/>
  <c r="O25" i="19"/>
  <c r="AJ53" i="19"/>
  <c r="S53" i="19"/>
  <c r="I53" i="19"/>
  <c r="X53" i="19"/>
  <c r="AB53" i="19"/>
  <c r="N53" i="19"/>
  <c r="K53" i="19"/>
  <c r="AA53" i="19"/>
  <c r="O53" i="19"/>
  <c r="AE53" i="19"/>
  <c r="T53" i="19"/>
  <c r="V53" i="19"/>
  <c r="M53" i="19"/>
  <c r="AG53" i="19"/>
  <c r="AM53" i="19"/>
  <c r="AC53" i="19"/>
  <c r="J53" i="19"/>
  <c r="P53" i="19"/>
  <c r="H53" i="19"/>
  <c r="AI53" i="19"/>
  <c r="R53" i="19"/>
  <c r="W53" i="19"/>
  <c r="AF53" i="19"/>
  <c r="AL53" i="19"/>
  <c r="M84" i="19"/>
  <c r="AA84" i="19"/>
  <c r="H84" i="19"/>
  <c r="J84" i="19"/>
  <c r="W84" i="19"/>
  <c r="V84" i="19"/>
  <c r="R84" i="19"/>
  <c r="T84" i="19"/>
  <c r="AB84" i="19"/>
  <c r="AL84" i="19"/>
  <c r="I84" i="19"/>
  <c r="AJ84" i="19"/>
  <c r="N84" i="19"/>
  <c r="P84" i="19"/>
  <c r="AC84" i="19"/>
  <c r="K84" i="19"/>
  <c r="X84" i="19"/>
  <c r="AF84" i="19"/>
  <c r="AM84" i="19"/>
  <c r="AE84" i="19"/>
  <c r="AI84" i="19"/>
  <c r="S84" i="19"/>
  <c r="AG84" i="19"/>
  <c r="O84" i="19"/>
  <c r="AF23" i="19"/>
  <c r="H23" i="19"/>
  <c r="AJ23" i="19"/>
  <c r="N23" i="19"/>
  <c r="P23" i="19"/>
  <c r="R23" i="19"/>
  <c r="AC23" i="19"/>
  <c r="V23" i="19"/>
  <c r="J23" i="19"/>
  <c r="M23" i="19"/>
  <c r="T23" i="19"/>
  <c r="O23" i="19"/>
  <c r="S23" i="19"/>
  <c r="I23" i="19"/>
  <c r="AL23" i="19"/>
  <c r="AG23" i="19"/>
  <c r="AB23" i="19"/>
  <c r="X23" i="19"/>
  <c r="AI23" i="19"/>
  <c r="W23" i="19"/>
  <c r="K23" i="19"/>
  <c r="AM23" i="19"/>
  <c r="AA23" i="19"/>
  <c r="AE23" i="19"/>
  <c r="AL17" i="19"/>
  <c r="I17" i="19"/>
  <c r="H17" i="19"/>
  <c r="W17" i="19"/>
  <c r="AB17" i="19"/>
  <c r="AA17" i="19"/>
  <c r="V17" i="19"/>
  <c r="AG17" i="19"/>
  <c r="K17" i="19"/>
  <c r="R17" i="19"/>
  <c r="AJ17" i="19"/>
  <c r="N17" i="19"/>
  <c r="O17" i="19"/>
  <c r="AC17" i="19"/>
  <c r="S17" i="19"/>
  <c r="AF17" i="19"/>
  <c r="AE17" i="19"/>
  <c r="M17" i="19"/>
  <c r="AM17" i="19"/>
  <c r="J17" i="19"/>
  <c r="X17" i="19"/>
  <c r="T17" i="19"/>
  <c r="AI17" i="19"/>
  <c r="P17" i="19"/>
  <c r="H47" i="19"/>
  <c r="X47" i="19"/>
  <c r="S47" i="19"/>
  <c r="AM47" i="19"/>
  <c r="R47" i="19"/>
  <c r="T47" i="19"/>
  <c r="J47" i="19"/>
  <c r="P47" i="19"/>
  <c r="W47" i="19"/>
  <c r="AF47" i="19"/>
  <c r="V47" i="19"/>
  <c r="K47" i="19"/>
  <c r="I47" i="19"/>
  <c r="M47" i="19"/>
  <c r="AB47" i="19"/>
  <c r="AE47" i="19"/>
  <c r="AJ47" i="19"/>
  <c r="AC47" i="19"/>
  <c r="AI47" i="19"/>
  <c r="AL47" i="19"/>
  <c r="O47" i="19"/>
  <c r="AA47" i="19"/>
  <c r="AG47" i="19"/>
  <c r="N47" i="19"/>
  <c r="AB49" i="19"/>
  <c r="R49" i="19"/>
  <c r="AJ49" i="19"/>
  <c r="X49" i="19"/>
  <c r="AG49" i="19"/>
  <c r="W49" i="19"/>
  <c r="AF49" i="19"/>
  <c r="O49" i="19"/>
  <c r="AE49" i="19"/>
  <c r="I49" i="19"/>
  <c r="M49" i="19"/>
  <c r="J49" i="19"/>
  <c r="K49" i="19"/>
  <c r="S49" i="19"/>
  <c r="AC49" i="19"/>
  <c r="AA49" i="19"/>
  <c r="P49" i="19"/>
  <c r="V49" i="19"/>
  <c r="AI49" i="19"/>
  <c r="AL49" i="19"/>
  <c r="AM49" i="19"/>
  <c r="H49" i="19"/>
  <c r="T49" i="19"/>
  <c r="N49" i="19"/>
  <c r="AF66" i="19"/>
  <c r="O66" i="19"/>
  <c r="K66" i="19"/>
  <c r="I66" i="19"/>
  <c r="M66" i="19"/>
  <c r="AJ66" i="19"/>
  <c r="P66" i="19"/>
  <c r="S66" i="19"/>
  <c r="H66" i="19"/>
  <c r="AA66" i="19"/>
  <c r="AG66" i="19"/>
  <c r="AM66" i="19"/>
  <c r="AI66" i="19"/>
  <c r="AL66" i="19"/>
  <c r="X66" i="19"/>
  <c r="T66" i="19"/>
  <c r="N66" i="19"/>
  <c r="W66" i="19"/>
  <c r="AB66" i="19"/>
  <c r="AC66" i="19"/>
  <c r="V66" i="19"/>
  <c r="R66" i="19"/>
  <c r="J66" i="19"/>
  <c r="AE66" i="19"/>
  <c r="AE29" i="19"/>
  <c r="N29" i="19"/>
  <c r="AC29" i="19"/>
  <c r="T29" i="19"/>
  <c r="AB29" i="19"/>
  <c r="R29" i="19"/>
  <c r="O29" i="19"/>
  <c r="H29" i="19"/>
  <c r="AM29" i="19"/>
  <c r="AA29" i="19"/>
  <c r="AG29" i="19"/>
  <c r="X29" i="19"/>
  <c r="M29" i="19"/>
  <c r="AI29" i="19"/>
  <c r="V29" i="19"/>
  <c r="K29" i="19"/>
  <c r="S29" i="19"/>
  <c r="P29" i="19"/>
  <c r="W29" i="19"/>
  <c r="AF29" i="19"/>
  <c r="I29" i="19"/>
  <c r="AL29" i="19"/>
  <c r="J29" i="19"/>
  <c r="AJ29" i="19"/>
  <c r="M59" i="19"/>
  <c r="AA59" i="19"/>
  <c r="I59" i="19"/>
  <c r="K59" i="19"/>
  <c r="W59" i="19"/>
  <c r="O59" i="19"/>
  <c r="S59" i="19"/>
  <c r="P59" i="19"/>
  <c r="R59" i="19"/>
  <c r="AL59" i="19"/>
  <c r="J59" i="19"/>
  <c r="AJ59" i="19"/>
  <c r="N59" i="19"/>
  <c r="H59" i="19"/>
  <c r="AG59" i="19"/>
  <c r="AB59" i="19"/>
  <c r="X59" i="19"/>
  <c r="AI59" i="19"/>
  <c r="AC59" i="19"/>
  <c r="AF59" i="19"/>
  <c r="AE59" i="19"/>
  <c r="V59" i="19"/>
  <c r="T59" i="19"/>
  <c r="AM59" i="19"/>
  <c r="AF54" i="19"/>
  <c r="S54" i="19"/>
  <c r="M54" i="19"/>
  <c r="R54" i="19"/>
  <c r="AJ54" i="19"/>
  <c r="V54" i="19"/>
  <c r="W54" i="19"/>
  <c r="T54" i="19"/>
  <c r="AA54" i="19"/>
  <c r="AE54" i="19"/>
  <c r="O54" i="19"/>
  <c r="AB54" i="19"/>
  <c r="N54" i="19"/>
  <c r="AG54" i="19"/>
  <c r="J54" i="19"/>
  <c r="I54" i="19"/>
  <c r="AC54" i="19"/>
  <c r="AI54" i="19"/>
  <c r="X54" i="19"/>
  <c r="AL54" i="19"/>
  <c r="H54" i="19"/>
  <c r="AM54" i="19"/>
  <c r="P54" i="19"/>
  <c r="K54" i="19"/>
  <c r="H60" i="19"/>
  <c r="T60" i="19"/>
  <c r="N60" i="19"/>
  <c r="P60" i="19"/>
  <c r="R60" i="19"/>
  <c r="J60" i="19"/>
  <c r="X60" i="19"/>
  <c r="V60" i="19"/>
  <c r="W60" i="19"/>
  <c r="AF60" i="19"/>
  <c r="O60" i="19"/>
  <c r="AE60" i="19"/>
  <c r="I60" i="19"/>
  <c r="M60" i="19"/>
  <c r="AM60" i="19"/>
  <c r="AG60" i="19"/>
  <c r="S60" i="19"/>
  <c r="AC60" i="19"/>
  <c r="AI60" i="19"/>
  <c r="AL60" i="19"/>
  <c r="AJ60" i="19"/>
  <c r="AA60" i="19"/>
  <c r="K60" i="19"/>
  <c r="AB60" i="19"/>
  <c r="X52" i="19"/>
  <c r="T52" i="19"/>
  <c r="N52" i="19"/>
  <c r="AC52" i="19"/>
  <c r="AB52" i="19"/>
  <c r="K52" i="19"/>
  <c r="J52" i="19"/>
  <c r="S52" i="19"/>
  <c r="M52" i="19"/>
  <c r="AL52" i="19"/>
  <c r="P52" i="19"/>
  <c r="AJ52" i="19"/>
  <c r="AE52" i="19"/>
  <c r="H52" i="19"/>
  <c r="I52" i="19"/>
  <c r="AF52" i="19"/>
  <c r="V52" i="19"/>
  <c r="AI52" i="19"/>
  <c r="AG52" i="19"/>
  <c r="AA52" i="19"/>
  <c r="O52" i="19"/>
  <c r="R52" i="19"/>
  <c r="W52" i="19"/>
  <c r="AM52" i="19"/>
  <c r="AC72" i="19"/>
  <c r="V72" i="19"/>
  <c r="AJ72" i="19"/>
  <c r="AE72" i="19"/>
  <c r="AB72" i="19"/>
  <c r="S72" i="19"/>
  <c r="X72" i="19"/>
  <c r="J72" i="19"/>
  <c r="AI72" i="19"/>
  <c r="AG72" i="19"/>
  <c r="W72" i="19"/>
  <c r="H72" i="19"/>
  <c r="AM72" i="19"/>
  <c r="AL72" i="19"/>
  <c r="O72" i="19"/>
  <c r="T72" i="19"/>
  <c r="I72" i="19"/>
  <c r="K72" i="19"/>
  <c r="M72" i="19"/>
  <c r="AA72" i="19"/>
  <c r="N72" i="19"/>
  <c r="AF72" i="19"/>
  <c r="R72" i="19"/>
  <c r="P72" i="19"/>
  <c r="H39" i="19"/>
  <c r="T39" i="19"/>
  <c r="N39" i="19"/>
  <c r="AF39" i="19"/>
  <c r="O39" i="19"/>
  <c r="AE39" i="19"/>
  <c r="I39" i="19"/>
  <c r="M39" i="19"/>
  <c r="V39" i="19"/>
  <c r="AI39" i="19"/>
  <c r="AL39" i="19"/>
  <c r="AC39" i="19"/>
  <c r="R39" i="19"/>
  <c r="AM39" i="19"/>
  <c r="K39" i="19"/>
  <c r="S39" i="19"/>
  <c r="AG39" i="19"/>
  <c r="J39" i="19"/>
  <c r="P39" i="19"/>
  <c r="AJ39" i="19"/>
  <c r="X39" i="19"/>
  <c r="W39" i="19"/>
  <c r="AA39" i="19"/>
  <c r="AB39" i="19"/>
  <c r="AE44" i="19"/>
  <c r="S44" i="19"/>
  <c r="AI44" i="19"/>
  <c r="N44" i="19"/>
  <c r="P44" i="19"/>
  <c r="H44" i="19"/>
  <c r="AF44" i="19"/>
  <c r="AJ44" i="19"/>
  <c r="K44" i="19"/>
  <c r="R44" i="19"/>
  <c r="X44" i="19"/>
  <c r="AG44" i="19"/>
  <c r="AB44" i="19"/>
  <c r="AC44" i="19"/>
  <c r="T44" i="19"/>
  <c r="M44" i="19"/>
  <c r="V44" i="19"/>
  <c r="AA44" i="19"/>
  <c r="AL44" i="19"/>
  <c r="W44" i="19"/>
  <c r="I44" i="19"/>
  <c r="J44" i="19"/>
  <c r="AM44" i="19"/>
  <c r="O44" i="19"/>
  <c r="H41" i="19"/>
  <c r="P41" i="19"/>
  <c r="R41" i="19"/>
  <c r="O41" i="19"/>
  <c r="X41" i="19"/>
  <c r="J41" i="19"/>
  <c r="AI41" i="19"/>
  <c r="AC41" i="19"/>
  <c r="N41" i="19"/>
  <c r="S41" i="19"/>
  <c r="K41" i="19"/>
  <c r="AG41" i="19"/>
  <c r="W41" i="19"/>
  <c r="V41" i="19"/>
  <c r="AA41" i="19"/>
  <c r="AJ41" i="19"/>
  <c r="AB41" i="19"/>
  <c r="AE41" i="19"/>
  <c r="AM41" i="19"/>
  <c r="I41" i="19"/>
  <c r="T41" i="19"/>
  <c r="AL41" i="19"/>
  <c r="M41" i="19"/>
  <c r="AF41" i="19"/>
  <c r="AC45" i="19"/>
  <c r="AJ45" i="19"/>
  <c r="J45" i="19"/>
  <c r="W45" i="19"/>
  <c r="T45" i="19"/>
  <c r="H45" i="19"/>
  <c r="AG45" i="19"/>
  <c r="K45" i="19"/>
  <c r="I45" i="19"/>
  <c r="M45" i="19"/>
  <c r="X45" i="19"/>
  <c r="N45" i="19"/>
  <c r="AI45" i="19"/>
  <c r="AE45" i="19"/>
  <c r="AF45" i="19"/>
  <c r="P45" i="19"/>
  <c r="AL45" i="19"/>
  <c r="S45" i="19"/>
  <c r="AB45" i="19"/>
  <c r="O45" i="19"/>
  <c r="AM45" i="19"/>
  <c r="R45" i="19"/>
  <c r="V45" i="19"/>
  <c r="AA45" i="19"/>
  <c r="W38" i="19"/>
  <c r="AF38" i="19"/>
  <c r="AM38" i="19"/>
  <c r="P38" i="19"/>
  <c r="V38" i="19"/>
  <c r="I38" i="19"/>
  <c r="X38" i="19"/>
  <c r="N38" i="19"/>
  <c r="R38" i="19"/>
  <c r="AE38" i="19"/>
  <c r="O38" i="19"/>
  <c r="M38" i="19"/>
  <c r="AC38" i="19"/>
  <c r="H38" i="19"/>
  <c r="AA38" i="19"/>
  <c r="T38" i="19"/>
  <c r="J38" i="19"/>
  <c r="S38" i="19"/>
  <c r="AB38" i="19"/>
  <c r="AI38" i="19"/>
  <c r="AL38" i="19"/>
  <c r="AG38" i="19"/>
  <c r="K38" i="19"/>
  <c r="AJ38" i="19"/>
  <c r="R26" i="19"/>
  <c r="AE26" i="19"/>
  <c r="I26" i="19"/>
  <c r="AL26" i="19"/>
  <c r="AC26" i="19"/>
  <c r="AB26" i="19"/>
  <c r="N26" i="19"/>
  <c r="P26" i="19"/>
  <c r="O26" i="19"/>
  <c r="V26" i="19"/>
  <c r="AA26" i="19"/>
  <c r="AI26" i="19"/>
  <c r="T26" i="19"/>
  <c r="S26" i="19"/>
  <c r="AG26" i="19"/>
  <c r="X26" i="19"/>
  <c r="H26" i="19"/>
  <c r="AF26" i="19"/>
  <c r="M26" i="19"/>
  <c r="AJ26" i="19"/>
  <c r="AM26" i="19"/>
  <c r="K26" i="19"/>
  <c r="W26" i="19"/>
  <c r="J26" i="19"/>
  <c r="X82" i="19"/>
  <c r="J82" i="19"/>
  <c r="T82" i="19"/>
  <c r="AG82" i="19"/>
  <c r="V82" i="19"/>
  <c r="AJ82" i="19"/>
  <c r="W82" i="19"/>
  <c r="AL82" i="19"/>
  <c r="AM82" i="19"/>
  <c r="R82" i="19"/>
  <c r="AC82" i="19"/>
  <c r="H82" i="19"/>
  <c r="AA82" i="19"/>
  <c r="O82" i="19"/>
  <c r="N82" i="19"/>
  <c r="AF82" i="19"/>
  <c r="P82" i="19"/>
  <c r="S82" i="19"/>
  <c r="I82" i="19"/>
  <c r="K82" i="19"/>
  <c r="M82" i="19"/>
  <c r="AE82" i="19"/>
  <c r="AB82" i="19"/>
  <c r="AI82" i="19"/>
  <c r="AJ31" i="19"/>
  <c r="R31" i="19"/>
  <c r="S31" i="19"/>
  <c r="AA31" i="19"/>
  <c r="X31" i="19"/>
  <c r="AM31" i="19"/>
  <c r="J31" i="19"/>
  <c r="H31" i="19"/>
  <c r="I31" i="19"/>
  <c r="P31" i="19"/>
  <c r="AE31" i="19"/>
  <c r="AC31" i="19"/>
  <c r="AI31" i="19"/>
  <c r="V31" i="19"/>
  <c r="T31" i="19"/>
  <c r="AF31" i="19"/>
  <c r="W31" i="19"/>
  <c r="N31" i="19"/>
  <c r="O31" i="19"/>
  <c r="AL31" i="19"/>
  <c r="AB31" i="19"/>
  <c r="M31" i="19"/>
  <c r="K31" i="19"/>
  <c r="AG31" i="19"/>
  <c r="AL67" i="19"/>
  <c r="J67" i="19"/>
  <c r="V67" i="19"/>
  <c r="N67" i="19"/>
  <c r="H67" i="19"/>
  <c r="O67" i="19"/>
  <c r="AG67" i="19"/>
  <c r="X67" i="19"/>
  <c r="M67" i="19"/>
  <c r="T67" i="19"/>
  <c r="AM67" i="19"/>
  <c r="K67" i="19"/>
  <c r="AC67" i="19"/>
  <c r="AF67" i="19"/>
  <c r="S67" i="19"/>
  <c r="AA67" i="19"/>
  <c r="I67" i="19"/>
  <c r="R67" i="19"/>
  <c r="P67" i="19"/>
  <c r="AI67" i="19"/>
  <c r="AB67" i="19"/>
  <c r="W67" i="19"/>
  <c r="AE67" i="19"/>
  <c r="AJ67" i="19"/>
  <c r="AF21" i="19"/>
  <c r="V21" i="19"/>
  <c r="W21" i="19"/>
  <c r="X21" i="19"/>
  <c r="M21" i="19"/>
  <c r="T21" i="19"/>
  <c r="S21" i="19"/>
  <c r="J21" i="19"/>
  <c r="AI21" i="19"/>
  <c r="R21" i="19"/>
  <c r="N21" i="19"/>
  <c r="H21" i="19"/>
  <c r="AC21" i="19"/>
  <c r="O21" i="19"/>
  <c r="AL21" i="19"/>
  <c r="AE21" i="19"/>
  <c r="AG21" i="19"/>
  <c r="AB21" i="19"/>
  <c r="AA21" i="19"/>
  <c r="P21" i="19"/>
  <c r="K21" i="19"/>
  <c r="I21" i="19"/>
  <c r="AJ21" i="19"/>
  <c r="AM21" i="19"/>
  <c r="AG27" i="19"/>
  <c r="N27" i="19"/>
  <c r="AF27" i="19"/>
  <c r="I27" i="19"/>
  <c r="AB27" i="19"/>
  <c r="R27" i="19"/>
  <c r="AL27" i="19"/>
  <c r="X27" i="19"/>
  <c r="V27" i="19"/>
  <c r="S27" i="19"/>
  <c r="J27" i="19"/>
  <c r="O27" i="19"/>
  <c r="M27" i="19"/>
  <c r="T27" i="19"/>
  <c r="AE27" i="19"/>
  <c r="AI27" i="19"/>
  <c r="AC27" i="19"/>
  <c r="K27" i="19"/>
  <c r="AM27" i="19"/>
  <c r="W27" i="19"/>
  <c r="P27" i="19"/>
  <c r="AA27" i="19"/>
  <c r="AJ27" i="19"/>
  <c r="H27" i="19"/>
  <c r="AL28" i="19"/>
  <c r="AF28" i="19"/>
  <c r="AE28" i="19"/>
  <c r="T28" i="19"/>
  <c r="H28" i="19"/>
  <c r="AB28" i="19"/>
  <c r="P28" i="19"/>
  <c r="AJ28" i="19"/>
  <c r="O28" i="19"/>
  <c r="AM28" i="19"/>
  <c r="X28" i="19"/>
  <c r="V28" i="19"/>
  <c r="M28" i="19"/>
  <c r="AA28" i="19"/>
  <c r="I28" i="19"/>
  <c r="R28" i="19"/>
  <c r="J28" i="19"/>
  <c r="N28" i="19"/>
  <c r="S28" i="19"/>
  <c r="AI28" i="19"/>
  <c r="AC28" i="19"/>
  <c r="AG28" i="19"/>
  <c r="K28" i="19"/>
  <c r="W28" i="19"/>
  <c r="AG62" i="19"/>
  <c r="AL62" i="19"/>
  <c r="AE62" i="19"/>
  <c r="P62" i="19"/>
  <c r="W62" i="19"/>
  <c r="AB62" i="19"/>
  <c r="AM62" i="19"/>
  <c r="V62" i="19"/>
  <c r="T62" i="19"/>
  <c r="H62" i="19"/>
  <c r="X62" i="19"/>
  <c r="AC62" i="19"/>
  <c r="K62" i="19"/>
  <c r="AI62" i="19"/>
  <c r="O62" i="19"/>
  <c r="S62" i="19"/>
  <c r="AJ62" i="19"/>
  <c r="AF62" i="19"/>
  <c r="M62" i="19"/>
  <c r="AA62" i="19"/>
  <c r="I62" i="19"/>
  <c r="R62" i="19"/>
  <c r="N62" i="19"/>
  <c r="J62" i="19"/>
  <c r="AC77" i="19"/>
  <c r="T77" i="19"/>
  <c r="AG77" i="19"/>
  <c r="AM77" i="19"/>
  <c r="S77" i="19"/>
  <c r="AA77" i="19"/>
  <c r="V77" i="19"/>
  <c r="AL77" i="19"/>
  <c r="I77" i="19"/>
  <c r="J77" i="19"/>
  <c r="R77" i="19"/>
  <c r="N77" i="19"/>
  <c r="AE77" i="19"/>
  <c r="M77" i="19"/>
  <c r="AF77" i="19"/>
  <c r="W77" i="19"/>
  <c r="AI77" i="19"/>
  <c r="P77" i="19"/>
  <c r="AB77" i="19"/>
  <c r="O77" i="19"/>
  <c r="K77" i="19"/>
  <c r="AJ77" i="19"/>
  <c r="X77" i="19"/>
  <c r="H77" i="19"/>
  <c r="AL80" i="19"/>
  <c r="AB80" i="19"/>
  <c r="AF80" i="19"/>
  <c r="N80" i="19"/>
  <c r="P80" i="19"/>
  <c r="X80" i="19"/>
  <c r="AJ80" i="19"/>
  <c r="S80" i="19"/>
  <c r="AC80" i="19"/>
  <c r="J80" i="19"/>
  <c r="AG80" i="19"/>
  <c r="O80" i="19"/>
  <c r="R80" i="19"/>
  <c r="T80" i="19"/>
  <c r="AA80" i="19"/>
  <c r="I80" i="19"/>
  <c r="H80" i="19"/>
  <c r="AE80" i="19"/>
  <c r="K80" i="19"/>
  <c r="AM80" i="19"/>
  <c r="M80" i="19"/>
  <c r="AI80" i="19"/>
  <c r="W80" i="19"/>
  <c r="V80" i="19"/>
  <c r="AB20" i="19"/>
  <c r="T20" i="19"/>
  <c r="R20" i="19"/>
  <c r="V20" i="19"/>
  <c r="J20" i="19"/>
  <c r="AA20" i="19"/>
  <c r="AI20" i="19"/>
  <c r="AC20" i="19"/>
  <c r="AM20" i="19"/>
  <c r="AE20" i="19"/>
  <c r="W20" i="19"/>
  <c r="O20" i="19"/>
  <c r="K20" i="19"/>
  <c r="X20" i="19"/>
  <c r="H20" i="19"/>
  <c r="AJ20" i="19"/>
  <c r="AL20" i="19"/>
  <c r="I20" i="19"/>
  <c r="S20" i="19"/>
  <c r="AF20" i="19"/>
  <c r="M20" i="19"/>
  <c r="AG20" i="19"/>
  <c r="N20" i="19"/>
  <c r="P20" i="19"/>
  <c r="AM42" i="19"/>
  <c r="I42" i="19"/>
  <c r="N42" i="19"/>
  <c r="P42" i="19"/>
  <c r="K42" i="19"/>
  <c r="X42" i="19"/>
  <c r="AF42" i="19"/>
  <c r="AJ42" i="19"/>
  <c r="S42" i="19"/>
  <c r="AI42" i="19"/>
  <c r="M42" i="19"/>
  <c r="AB42" i="19"/>
  <c r="R42" i="19"/>
  <c r="AE42" i="19"/>
  <c r="O42" i="19"/>
  <c r="AG42" i="19"/>
  <c r="AC42" i="19"/>
  <c r="AA42" i="19"/>
  <c r="AL42" i="19"/>
  <c r="H42" i="19"/>
  <c r="W42" i="19"/>
  <c r="J42" i="19"/>
  <c r="T42" i="19"/>
  <c r="V42" i="19"/>
  <c r="M65" i="19"/>
  <c r="AA65" i="19"/>
  <c r="I65" i="19"/>
  <c r="AG65" i="19"/>
  <c r="W65" i="19"/>
  <c r="O65" i="19"/>
  <c r="S65" i="19"/>
  <c r="AM65" i="19"/>
  <c r="R65" i="19"/>
  <c r="AL65" i="19"/>
  <c r="J65" i="19"/>
  <c r="AJ65" i="19"/>
  <c r="N65" i="19"/>
  <c r="H65" i="19"/>
  <c r="P65" i="19"/>
  <c r="V65" i="19"/>
  <c r="X65" i="19"/>
  <c r="AI65" i="19"/>
  <c r="AC65" i="19"/>
  <c r="AF65" i="19"/>
  <c r="K65" i="19"/>
  <c r="AB65" i="19"/>
  <c r="AE65" i="19"/>
  <c r="T65" i="19"/>
  <c r="AG61" i="19"/>
  <c r="W61" i="19"/>
  <c r="AL61" i="19"/>
  <c r="P61" i="19"/>
  <c r="N61" i="19"/>
  <c r="I61" i="19"/>
  <c r="AI61" i="19"/>
  <c r="AF61" i="19"/>
  <c r="K61" i="19"/>
  <c r="AE61" i="19"/>
  <c r="J61" i="19"/>
  <c r="AJ61" i="19"/>
  <c r="T61" i="19"/>
  <c r="O61" i="19"/>
  <c r="AB61" i="19"/>
  <c r="H61" i="19"/>
  <c r="S61" i="19"/>
  <c r="R61" i="19"/>
  <c r="AA61" i="19"/>
  <c r="AC61" i="19"/>
  <c r="M61" i="19"/>
  <c r="AM61" i="19"/>
  <c r="X61" i="19"/>
  <c r="V61" i="19"/>
  <c r="M43" i="19"/>
  <c r="S43" i="19"/>
  <c r="X43" i="19"/>
  <c r="K43" i="19"/>
  <c r="W43" i="19"/>
  <c r="J43" i="19"/>
  <c r="AE43" i="19"/>
  <c r="V43" i="19"/>
  <c r="R43" i="19"/>
  <c r="AL43" i="19"/>
  <c r="P43" i="19"/>
  <c r="AG43" i="19"/>
  <c r="N43" i="19"/>
  <c r="H43" i="19"/>
  <c r="AB43" i="19"/>
  <c r="AJ43" i="19"/>
  <c r="O43" i="19"/>
  <c r="AI43" i="19"/>
  <c r="AC43" i="19"/>
  <c r="AF43" i="19"/>
  <c r="AM43" i="19"/>
  <c r="T43" i="19"/>
  <c r="AA43" i="19"/>
  <c r="I43" i="19"/>
  <c r="AC51" i="19"/>
  <c r="H51" i="19"/>
  <c r="S51" i="19"/>
  <c r="K51" i="19"/>
  <c r="AL51" i="19"/>
  <c r="AI51" i="19"/>
  <c r="AA51" i="19"/>
  <c r="X51" i="19"/>
  <c r="AB51" i="19"/>
  <c r="AJ51" i="19"/>
  <c r="P51" i="19"/>
  <c r="M51" i="19"/>
  <c r="V51" i="19"/>
  <c r="AF51" i="19"/>
  <c r="T51" i="19"/>
  <c r="W51" i="19"/>
  <c r="N51" i="19"/>
  <c r="AM51" i="19"/>
  <c r="R51" i="19"/>
  <c r="AE51" i="19"/>
  <c r="J51" i="19"/>
  <c r="O51" i="19"/>
  <c r="AG51" i="19"/>
  <c r="I51" i="19"/>
  <c r="H86" i="19"/>
  <c r="T86" i="19"/>
  <c r="M86" i="19"/>
  <c r="O86" i="19"/>
  <c r="R86" i="19"/>
  <c r="AB86" i="19"/>
  <c r="W86" i="19"/>
  <c r="AA86" i="19"/>
  <c r="V86" i="19"/>
  <c r="AF86" i="19"/>
  <c r="N86" i="19"/>
  <c r="AE86" i="19"/>
  <c r="I86" i="19"/>
  <c r="K86" i="19"/>
  <c r="AI86" i="19"/>
  <c r="P86" i="19"/>
  <c r="S86" i="19"/>
  <c r="AC86" i="19"/>
  <c r="AG86" i="19"/>
  <c r="AJ86" i="19"/>
  <c r="J86" i="19"/>
  <c r="AM86" i="19"/>
  <c r="AL86" i="19"/>
  <c r="X86" i="19"/>
  <c r="AI35" i="19"/>
  <c r="W35" i="19"/>
  <c r="K35" i="19"/>
  <c r="T35" i="19"/>
  <c r="AA35" i="19"/>
  <c r="M35" i="19"/>
  <c r="X35" i="19"/>
  <c r="H35" i="19"/>
  <c r="AG35" i="19"/>
  <c r="AF35" i="19"/>
  <c r="V35" i="19"/>
  <c r="O35" i="19"/>
  <c r="I35" i="19"/>
  <c r="AM35" i="19"/>
  <c r="P35" i="19"/>
  <c r="N35" i="19"/>
  <c r="R35" i="19"/>
  <c r="AL35" i="19"/>
  <c r="S35" i="19"/>
  <c r="AB35" i="19"/>
  <c r="AJ35" i="19"/>
  <c r="J35" i="19"/>
  <c r="AC35" i="19"/>
  <c r="AE35" i="19"/>
  <c r="V13" i="19"/>
  <c r="H13" i="19"/>
  <c r="AI13" i="19"/>
  <c r="X13" i="19"/>
  <c r="AC13" i="19"/>
  <c r="M13" i="19"/>
  <c r="N13" i="19"/>
  <c r="AE13" i="19"/>
  <c r="I13" i="19"/>
  <c r="S13" i="19"/>
  <c r="AL13" i="19"/>
  <c r="AF13" i="19"/>
  <c r="K13" i="19"/>
  <c r="O13" i="19"/>
  <c r="AA13" i="19"/>
  <c r="AB13" i="19"/>
  <c r="AM13" i="19"/>
  <c r="P13" i="19"/>
  <c r="R13" i="19"/>
  <c r="J13" i="19"/>
  <c r="W13" i="19"/>
  <c r="AJ13" i="19"/>
  <c r="AG13" i="19"/>
  <c r="T13" i="19"/>
  <c r="H12" i="19" l="1"/>
  <c r="K12" i="19"/>
  <c r="S12" i="19"/>
  <c r="J12" i="19"/>
  <c r="M12" i="19"/>
  <c r="AI12" i="19"/>
  <c r="AB12" i="19"/>
  <c r="W12" i="19"/>
  <c r="T12" i="19"/>
  <c r="N12" i="19"/>
  <c r="AJ12" i="19"/>
  <c r="X12" i="19"/>
  <c r="O12" i="19"/>
  <c r="P12" i="19"/>
  <c r="AF12" i="19"/>
  <c r="AA12" i="19"/>
  <c r="AL12" i="19"/>
  <c r="AE12" i="19"/>
  <c r="AC12" i="19"/>
  <c r="V12" i="19"/>
  <c r="AG12" i="19"/>
  <c r="AM12" i="19"/>
  <c r="R12" i="19"/>
  <c r="I12" i="19"/>
  <c r="AA9" i="19" l="1"/>
  <c r="AA6" i="19"/>
  <c r="AA8" i="19"/>
  <c r="AA5" i="19"/>
  <c r="AA7" i="19"/>
  <c r="W7" i="19"/>
  <c r="W9" i="19"/>
  <c r="W6" i="19"/>
  <c r="W5" i="19"/>
  <c r="W8" i="19"/>
  <c r="AF5" i="19"/>
  <c r="AF7" i="19"/>
  <c r="AF9" i="19"/>
  <c r="AF6" i="19"/>
  <c r="AF8" i="19"/>
  <c r="AM7" i="19"/>
  <c r="AM6" i="19"/>
  <c r="AM9" i="19"/>
  <c r="AM5" i="19"/>
  <c r="AM8" i="19"/>
  <c r="P7" i="19"/>
  <c r="P5" i="19"/>
  <c r="P9" i="19"/>
  <c r="P6" i="19"/>
  <c r="P8" i="19"/>
  <c r="AI5" i="19"/>
  <c r="AI8" i="19"/>
  <c r="AI6" i="19"/>
  <c r="AI9" i="19"/>
  <c r="AI7" i="19"/>
  <c r="AI10" i="19" a="1"/>
  <c r="AI10" i="19" s="1"/>
  <c r="R8" i="19"/>
  <c r="R7" i="19"/>
  <c r="R5" i="19"/>
  <c r="R9" i="19"/>
  <c r="R6" i="19"/>
  <c r="AB9" i="19"/>
  <c r="AB6" i="19"/>
  <c r="AB5" i="19"/>
  <c r="AB7" i="19"/>
  <c r="AB8" i="19"/>
  <c r="AG8" i="19"/>
  <c r="AG5" i="19"/>
  <c r="AG7" i="19"/>
  <c r="AG9" i="19"/>
  <c r="AG6" i="19"/>
  <c r="O7" i="19"/>
  <c r="O5" i="19"/>
  <c r="O8" i="19"/>
  <c r="O6" i="19"/>
  <c r="O9" i="19"/>
  <c r="M9" i="19"/>
  <c r="M7" i="19"/>
  <c r="M5" i="19"/>
  <c r="M6" i="19"/>
  <c r="M8" i="19"/>
  <c r="V5" i="19"/>
  <c r="V9" i="19"/>
  <c r="V6" i="19"/>
  <c r="V8" i="19"/>
  <c r="V7" i="19"/>
  <c r="X7" i="19"/>
  <c r="X9" i="19"/>
  <c r="X6" i="19"/>
  <c r="X8" i="19"/>
  <c r="X5" i="19"/>
  <c r="J7" i="19"/>
  <c r="J5" i="19"/>
  <c r="J8" i="19"/>
  <c r="J6" i="19"/>
  <c r="J9" i="19"/>
  <c r="AC7" i="19"/>
  <c r="AC8" i="19"/>
  <c r="AC5" i="19"/>
  <c r="AC9" i="19"/>
  <c r="AC6" i="19"/>
  <c r="AJ5" i="19"/>
  <c r="AJ10" i="19" a="1"/>
  <c r="AJ10" i="19" s="1"/>
  <c r="AJ8" i="19"/>
  <c r="AJ7" i="19"/>
  <c r="AJ6" i="19"/>
  <c r="AJ9" i="19"/>
  <c r="S9" i="19"/>
  <c r="S6" i="19"/>
  <c r="S5" i="19"/>
  <c r="S8" i="19"/>
  <c r="S7" i="19"/>
  <c r="I7" i="19"/>
  <c r="I5" i="19"/>
  <c r="I8" i="19"/>
  <c r="I6" i="19"/>
  <c r="I9" i="19"/>
  <c r="AE6" i="19"/>
  <c r="AE8" i="19"/>
  <c r="AE7" i="19"/>
  <c r="AE5" i="19"/>
  <c r="AE9" i="19"/>
  <c r="N8" i="19"/>
  <c r="N6" i="19"/>
  <c r="N7" i="19"/>
  <c r="N9" i="19"/>
  <c r="N5" i="19"/>
  <c r="K6" i="19"/>
  <c r="K8" i="19"/>
  <c r="K7" i="19"/>
  <c r="K5" i="19"/>
  <c r="K9" i="19"/>
  <c r="AL8" i="19"/>
  <c r="AL9" i="19"/>
  <c r="AL7" i="19"/>
  <c r="AL6" i="19"/>
  <c r="AL10" i="19" a="1"/>
  <c r="AL10" i="19" s="1"/>
  <c r="AL5" i="19"/>
  <c r="T8" i="19"/>
  <c r="T7" i="19"/>
  <c r="T5" i="19"/>
  <c r="T9" i="19"/>
  <c r="T6" i="19"/>
  <c r="H5" i="19"/>
  <c r="H6" i="19"/>
  <c r="H8" i="19"/>
  <c r="H9" i="19"/>
  <c r="H7" i="19"/>
</calcChain>
</file>

<file path=xl/sharedStrings.xml><?xml version="1.0" encoding="utf-8"?>
<sst xmlns="http://schemas.openxmlformats.org/spreadsheetml/2006/main" count="3821" uniqueCount="1538">
  <si>
    <t>S.A. Tutun-CTC</t>
  </si>
  <si>
    <t>S.A Franzeluta</t>
  </si>
  <si>
    <t>S.A.Termoelectrica</t>
  </si>
  <si>
    <t>S.A. Tracom</t>
  </si>
  <si>
    <t>S.A. Moldetelecom</t>
  </si>
  <si>
    <t>I.S. Moldsuinhibrid</t>
  </si>
  <si>
    <t>I.S. Mecagro</t>
  </si>
  <si>
    <t>I.S. CNVCPA</t>
  </si>
  <si>
    <t>I.S.Centrul Informational Agricol</t>
  </si>
  <si>
    <t>I.S. Calea Ferata</t>
  </si>
  <si>
    <t>I.S. Administratia de stat a drumurilor</t>
  </si>
  <si>
    <t>I.S. Moldatsa</t>
  </si>
  <si>
    <t>I.S. CTSIC</t>
  </si>
  <si>
    <t>I.S. Moldelectrica</t>
  </si>
  <si>
    <t>I.S. Fiscservinform</t>
  </si>
  <si>
    <t>I.S. Vamservinform</t>
  </si>
  <si>
    <t>I.S. Servicii Paza</t>
  </si>
  <si>
    <t>I.S. MoldData</t>
  </si>
  <si>
    <t>I.S. C.Telecomunicatii Speciale</t>
  </si>
  <si>
    <t>I.S CIS</t>
  </si>
  <si>
    <t>S.A. Drumuri Cahul</t>
  </si>
  <si>
    <t>S.A Metalferos</t>
  </si>
  <si>
    <t>S.A. Red Nord Vest</t>
  </si>
  <si>
    <t>I.S. Posta Moldovei</t>
  </si>
  <si>
    <t>S.A. Moldovagaz</t>
  </si>
  <si>
    <t>S.A Energocom</t>
  </si>
  <si>
    <t>I.S. Garile si statiile auto</t>
  </si>
  <si>
    <t>I.S. Moldaeroservice</t>
  </si>
  <si>
    <t>S.A. Gara de nord</t>
  </si>
  <si>
    <t>I.S. Cadastru</t>
  </si>
  <si>
    <t>CS Omologarea FITO</t>
  </si>
  <si>
    <t>I.S. Air Moldova</t>
  </si>
  <si>
    <t>Dir. Corp Diplomatic</t>
  </si>
  <si>
    <t>I.S Fintehinform</t>
  </si>
  <si>
    <t>I.S. CP Armata Nationala</t>
  </si>
  <si>
    <t>I.S. Combinatul Polligrafic</t>
  </si>
  <si>
    <t>I.S. Frencvente Radio</t>
  </si>
  <si>
    <t>I.S. Palatul Republicii</t>
  </si>
  <si>
    <t>I.S Casa Presei</t>
  </si>
  <si>
    <t>Balance sheet</t>
  </si>
  <si>
    <t>Bilantul Contabil</t>
  </si>
  <si>
    <t>Current Ratio</t>
  </si>
  <si>
    <t>Current Assets ÷ Current Liabilities</t>
  </si>
  <si>
    <t>Fixed Assets</t>
  </si>
  <si>
    <t>Active imobilizate</t>
  </si>
  <si>
    <t>Intangible assets</t>
  </si>
  <si>
    <t>Imobilizări necorporale</t>
  </si>
  <si>
    <t>Tangible fixed assets under construction</t>
  </si>
  <si>
    <t>Imobilizări corporale în curs de execuție</t>
  </si>
  <si>
    <t>Quick Asset Ratio</t>
  </si>
  <si>
    <t>Cash + Marketable Securities + Accounts Receivable) ÷ Current Liabilities</t>
  </si>
  <si>
    <t xml:space="preserve">Long term financial assets </t>
  </si>
  <si>
    <t>Active financiare pe termen lung</t>
  </si>
  <si>
    <t>Land</t>
  </si>
  <si>
    <t>Terenuri</t>
  </si>
  <si>
    <t>Mijloace fixe</t>
  </si>
  <si>
    <t>Fixed biological assets</t>
  </si>
  <si>
    <t>Active biologice imobilizate</t>
  </si>
  <si>
    <t xml:space="preserve">Long term financial investments in non-affiliates </t>
  </si>
  <si>
    <t>Investiții financiare pe termen lung în
părți neafiliate</t>
  </si>
  <si>
    <t>Long term financial investments in associates</t>
  </si>
  <si>
    <t>Investiții financiare pe termen lung în părți afiliate</t>
  </si>
  <si>
    <t>Investments in real estate</t>
  </si>
  <si>
    <t>Investiții imobiliare</t>
  </si>
  <si>
    <t>Long term receivables</t>
  </si>
  <si>
    <t>Creanțe pe termen lung</t>
  </si>
  <si>
    <t>Advances granted for long term</t>
  </si>
  <si>
    <t>Avansuri acordate pe termen lung</t>
  </si>
  <si>
    <t>Other fixed assets</t>
  </si>
  <si>
    <t>Alte active imobilizate</t>
  </si>
  <si>
    <t>Total Fixed assets</t>
  </si>
  <si>
    <t>Total active imobilizate</t>
  </si>
  <si>
    <t>Cash Position Ratio</t>
  </si>
  <si>
    <t>Cash ÷ Current Liabilities</t>
  </si>
  <si>
    <t>Current Assets</t>
  </si>
  <si>
    <t>Active Circulante</t>
  </si>
  <si>
    <t>Inventories</t>
  </si>
  <si>
    <t>Materiale</t>
  </si>
  <si>
    <t>Items of small value and short duration</t>
  </si>
  <si>
    <t>Obiecte de mică valoare și scurtă durată</t>
  </si>
  <si>
    <t xml:space="preserve">Items under production </t>
  </si>
  <si>
    <t>Producția în curs de execuție și produse</t>
  </si>
  <si>
    <t>Stocks</t>
  </si>
  <si>
    <t>Mărfuri</t>
  </si>
  <si>
    <t>Trade receivables</t>
  </si>
  <si>
    <t>Creanțe comerciale</t>
  </si>
  <si>
    <t>Trade receivables of associates</t>
  </si>
  <si>
    <t>Creanțe ale părților afiliate</t>
  </si>
  <si>
    <t>ROA - Return on Assets</t>
  </si>
  <si>
    <t>Net Profit ÷ Total Assets</t>
  </si>
  <si>
    <t xml:space="preserve">Financial investments for short term </t>
  </si>
  <si>
    <t>Avansuri acordate curente</t>
  </si>
  <si>
    <t>Deferred taxes</t>
  </si>
  <si>
    <t>Creanțe ale bugetului</t>
  </si>
  <si>
    <t>Deferred employee taxes</t>
  </si>
  <si>
    <t>Creanțe ale personalului</t>
  </si>
  <si>
    <t>Other current receivables</t>
  </si>
  <si>
    <t xml:space="preserve">Alte creanțe curente </t>
  </si>
  <si>
    <t>Cash and cash equivalents</t>
  </si>
  <si>
    <t>Numerar în casierie și la conturile
curente</t>
  </si>
  <si>
    <t>Short term investment in associates</t>
  </si>
  <si>
    <t>Investitii financiare curente in parti afiliate</t>
  </si>
  <si>
    <t>ROE - Return on Equity</t>
  </si>
  <si>
    <t>Net Profit ÷ Equity</t>
  </si>
  <si>
    <t>Other current assets</t>
  </si>
  <si>
    <t>Alte active circulante</t>
  </si>
  <si>
    <t>Total current assets</t>
  </si>
  <si>
    <t>Total active circulante</t>
  </si>
  <si>
    <t>TOTAL ASSETS</t>
  </si>
  <si>
    <t>TOTAL ACTIVE</t>
  </si>
  <si>
    <t>Long term debt</t>
  </si>
  <si>
    <t>Datorii pe termen lung</t>
  </si>
  <si>
    <t>Long term bank loans</t>
  </si>
  <si>
    <t>Credite bancare pe termen lung</t>
  </si>
  <si>
    <t>Long term loans</t>
  </si>
  <si>
    <t>Împrumuturi pe termen lung</t>
  </si>
  <si>
    <t>ROS – Return on Sales</t>
  </si>
  <si>
    <t>Net Profit ÷ Sales</t>
  </si>
  <si>
    <t>Long term loans of financial leasing</t>
  </si>
  <si>
    <t>Datorii pe termen lung privind leasingul
financiar</t>
  </si>
  <si>
    <t>Other long term debt</t>
  </si>
  <si>
    <t>Alte datorii pe termen lung</t>
  </si>
  <si>
    <t>Total long term liabilities</t>
  </si>
  <si>
    <t>Total datorii pe termen lung</t>
  </si>
  <si>
    <t xml:space="preserve">Current liabilities </t>
  </si>
  <si>
    <t>Datorii curente</t>
  </si>
  <si>
    <t>Short term bank loans</t>
  </si>
  <si>
    <t>Credite bancare pe termen scurt</t>
  </si>
  <si>
    <t>Short term loans</t>
  </si>
  <si>
    <t>Împrumuturi pe termen scurt</t>
  </si>
  <si>
    <t>Trade payables</t>
  </si>
  <si>
    <t>Datorii comerciale</t>
  </si>
  <si>
    <t>Payables to associates</t>
  </si>
  <si>
    <t>Datorii față de părți afiliate</t>
  </si>
  <si>
    <t>Short term payable advances</t>
  </si>
  <si>
    <t>Avansuri primite curente</t>
  </si>
  <si>
    <t xml:space="preserve">Payables to employees </t>
  </si>
  <si>
    <t>Datorii față de personal</t>
  </si>
  <si>
    <t>Social security and medical insurance debts</t>
  </si>
  <si>
    <t>Datorii privind asigurările sociale și
medicale</t>
  </si>
  <si>
    <t>Debt to national budget</t>
  </si>
  <si>
    <t>Datorii față de buget</t>
  </si>
  <si>
    <t>Total Debt to Total Assets</t>
  </si>
  <si>
    <t>Total Debt ÷ Total Assets</t>
  </si>
  <si>
    <t>Deferred revenues</t>
  </si>
  <si>
    <t>Venituri anticipate curente</t>
  </si>
  <si>
    <t>Debt to owners</t>
  </si>
  <si>
    <t xml:space="preserve">Datorii față de proprietari </t>
  </si>
  <si>
    <t>Funding and receipts with special current destination</t>
  </si>
  <si>
    <t>Finanțări și încasări cu destinație
specială curente</t>
  </si>
  <si>
    <t>Provisions</t>
  </si>
  <si>
    <t>Provizioane curente</t>
  </si>
  <si>
    <t>Other current debts</t>
  </si>
  <si>
    <t>Alte datorii curente</t>
  </si>
  <si>
    <t>Total current liabilities</t>
  </si>
  <si>
    <t>Total datorii curente</t>
  </si>
  <si>
    <t>TOTAL Long &amp; Short term LIABILITIES</t>
  </si>
  <si>
    <t>TOTAL PASIV curent si pe termen lung</t>
  </si>
  <si>
    <t>Equity</t>
  </si>
  <si>
    <t xml:space="preserve">Capital social </t>
  </si>
  <si>
    <t>Additional equity</t>
  </si>
  <si>
    <t>Capital suplimentar</t>
  </si>
  <si>
    <t>Reserves</t>
  </si>
  <si>
    <t>Rezerve</t>
  </si>
  <si>
    <t>Reserves imposed by law</t>
  </si>
  <si>
    <t>Rezerve prevazute de statut</t>
  </si>
  <si>
    <t>Other reserves</t>
  </si>
  <si>
    <t>Alte rezerve</t>
  </si>
  <si>
    <t>Tax corrections</t>
  </si>
  <si>
    <t xml:space="preserve">Corecții ale rezultatelor anilor precedenți
</t>
  </si>
  <si>
    <t>Unrealized gains (uncovered loss) of previous years</t>
  </si>
  <si>
    <t xml:space="preserve">Profit nerepartizat (pierdere neacoperită)
al anilor precedenți
</t>
  </si>
  <si>
    <t>Non-distributed profit</t>
  </si>
  <si>
    <t xml:space="preserve">Profit nerepartizat
</t>
  </si>
  <si>
    <t>Debt-to-EBITDA Ratio</t>
  </si>
  <si>
    <t>Gain/(Loss) reevaluation of long term fixed assets</t>
  </si>
  <si>
    <t>Total Debt / Earnings Before Interest Taxes Depreciation &amp; Amortization</t>
  </si>
  <si>
    <t>Diferenţe la reevaluarea activelor pe termen lung</t>
  </si>
  <si>
    <t>Net profit (net loss) of the current period</t>
  </si>
  <si>
    <t xml:space="preserve"> Profit net (pierdere netă) al perioadei de gestiune </t>
  </si>
  <si>
    <t>Recognized profit</t>
  </si>
  <si>
    <t xml:space="preserve">Profit utilizat al perioadei de gestiune </t>
  </si>
  <si>
    <t>Total Equity</t>
  </si>
  <si>
    <t>Total capital propriu</t>
  </si>
  <si>
    <t>TOTAL LIABILITIES</t>
  </si>
  <si>
    <t>TOTAL PASIV</t>
  </si>
  <si>
    <t>Income Statement</t>
  </si>
  <si>
    <t>Raportul de profit si pierderi</t>
  </si>
  <si>
    <t>Sales Revenue</t>
  </si>
  <si>
    <t xml:space="preserve">Venituri din vînzări </t>
  </si>
  <si>
    <t>Cost of Sales</t>
  </si>
  <si>
    <t>Costul vînzărilor</t>
  </si>
  <si>
    <t>Gross Margin</t>
  </si>
  <si>
    <t>Profit brut (pierdere brută)</t>
  </si>
  <si>
    <t>Other operating income</t>
  </si>
  <si>
    <t>Alte venituri din activitatea operațională</t>
  </si>
  <si>
    <t>Other operating expenses</t>
  </si>
  <si>
    <t>Cheltuieli de distribuire</t>
  </si>
  <si>
    <t>SG&amp;A</t>
  </si>
  <si>
    <t>Cheltuieli administrative</t>
  </si>
  <si>
    <t>Other operational expenses</t>
  </si>
  <si>
    <t>Alte cheltuieli din activitatea operațională</t>
  </si>
  <si>
    <t>Working capital turnover ratio</t>
  </si>
  <si>
    <t>Profit/(Loss) from operational activity</t>
  </si>
  <si>
    <t>Rezultatul din activitatea operațională (profit/pierdere)</t>
  </si>
  <si>
    <t>Net Sales ÷ ((Beginning Working Capital + Ending Working Capital) / 2) Note: Working Capital = Current Assets Minus Current Liabilities)</t>
  </si>
  <si>
    <t>Accounts receivable turnover ratio</t>
  </si>
  <si>
    <t>Net Sales ÷ ((Beginning Accounts Receivable + Ending Accounts Receivable) / 2)</t>
  </si>
  <si>
    <t>Income from investment activity</t>
  </si>
  <si>
    <t>Rezultatul din activitatea de investiţii: profit (pierdere)</t>
  </si>
  <si>
    <t>Income from financing activity</t>
  </si>
  <si>
    <t>Rezultatul din activitatea financiară: profit (pierdere)</t>
  </si>
  <si>
    <t>Profit/(Loss) from other activities</t>
  </si>
  <si>
    <t>Rezultatul din alte activități profit/(pierdere)</t>
  </si>
  <si>
    <t>Profit/(Loss) before tax</t>
  </si>
  <si>
    <t>Profit/(pierdere) pînă la impozitare</t>
  </si>
  <si>
    <t>Tax income as reported</t>
  </si>
  <si>
    <t>Cheltuieli privind impozitul pe venit</t>
  </si>
  <si>
    <t>Net income/(Loss)</t>
  </si>
  <si>
    <t>Profit net (pierdere netă) al perioadei de
gestiune</t>
  </si>
  <si>
    <t>Check (TA-TL=E)</t>
  </si>
  <si>
    <t>Verificare (TA-TP=CP)</t>
  </si>
  <si>
    <t>Check TA=TL</t>
  </si>
  <si>
    <t>Verificare TA=TP</t>
  </si>
  <si>
    <t>Accounting problem :D with current assets</t>
  </si>
  <si>
    <t>craziest reporting!!!!!</t>
  </si>
  <si>
    <t>I.S. CRARA</t>
  </si>
  <si>
    <t>I.S. CSECPC</t>
  </si>
  <si>
    <t>I.S. SSPIM</t>
  </si>
  <si>
    <t>I.S. Indal Proiect</t>
  </si>
  <si>
    <t>I.S. SDE Criuleni</t>
  </si>
  <si>
    <t>I.S. Centrul de elaborari economice si productie</t>
  </si>
  <si>
    <t>I.S. Dumbrava Vest</t>
  </si>
  <si>
    <t>I.S. Viva Flora</t>
  </si>
  <si>
    <t>I.S CMAC</t>
  </si>
  <si>
    <t>I.S. CRIA</t>
  </si>
  <si>
    <t>S.A. Drumuri Ialoveni</t>
  </si>
  <si>
    <t>Nr.</t>
  </si>
  <si>
    <t>Address</t>
  </si>
  <si>
    <t>Company</t>
  </si>
  <si>
    <t>Companie</t>
  </si>
  <si>
    <t>Adresa</t>
  </si>
  <si>
    <t>Pagina web/Email</t>
  </si>
  <si>
    <t>Web site/Email</t>
  </si>
  <si>
    <t>Numar de angajati</t>
  </si>
  <si>
    <t>Number of employees</t>
  </si>
  <si>
    <t>Linkul situatii Financiare</t>
  </si>
  <si>
    <t>Link Financial reports</t>
  </si>
  <si>
    <t>http://tutun-ctc.md/wp-content/uploads/2017/06/raport-financiar-2016.pdf</t>
  </si>
  <si>
    <t>http://tutun-ctc.md/</t>
  </si>
  <si>
    <t>str.Ismail 116, MD-2023 mun.Chişinău</t>
  </si>
  <si>
    <t>http://www.franzeluta.info/files/raport-anual-al-societatii-2016.pdf</t>
  </si>
  <si>
    <t>http://www.franzeluta.info/</t>
  </si>
  <si>
    <t>str. Sarmizegetusa, 30, mun. Chisinau</t>
  </si>
  <si>
    <t>mun.Chişinău,str.Meşterul Manole,3</t>
  </si>
  <si>
    <t>https://www.termoelectrica.md/wp-content/uploads/2016/04/Raportul-anual-2016-TERMOELECTRICA-SA.pdf</t>
  </si>
  <si>
    <t>termoelectrica.md</t>
  </si>
  <si>
    <t>http://tracom.md/wp-content/uploads/2017/05/raport_financiar_2016.pdf</t>
  </si>
  <si>
    <t>tracom.md</t>
  </si>
  <si>
    <t>str. Columna 170, mun. Chisinau</t>
  </si>
  <si>
    <t>http://www.moldtelecom.md/common/documents/Anexa%201.1_2016.pdf</t>
  </si>
  <si>
    <t>moldtelecom.md</t>
  </si>
  <si>
    <t>bd. Ştefan cel Mare şi Sfânt, 10, MD 2001, Chişinău,</t>
  </si>
  <si>
    <t>http://maia.gov.md/sites/default/files/article/rapoarte_note_informative/Fisiere/sf_2016.pdf</t>
  </si>
  <si>
    <t>str. Nistreana 50, or. Orhei</t>
  </si>
  <si>
    <t>moldsuinhibrid@yandex.ru</t>
  </si>
  <si>
    <t>http://maia.gov.md/sites/default/files/article/rapoarte_note_informative/Fisiere/raport-compressed.pdf</t>
  </si>
  <si>
    <t>str. Miron Costin 7, mun. Chisinau</t>
  </si>
  <si>
    <t>mecagro.md</t>
  </si>
  <si>
    <t>str. Grenoble 128, or. Codru, mun. Chisinau</t>
  </si>
  <si>
    <t>cnvcpa.md</t>
  </si>
  <si>
    <t>http://cnvcpa.md/wp-content/uploads/2017/05/raport-financiar.pdf</t>
  </si>
  <si>
    <t>http://maia.gov.md/sites/default/files/article/rapoarte_note_informative/Fisiere/raport_cia.pdf</t>
  </si>
  <si>
    <t>bd. Cuza-Voda 5/1, mun. Chisinau</t>
  </si>
  <si>
    <t>cia.md</t>
  </si>
  <si>
    <t>http://www.railway.md/content/ro/2-Company/31-Finance/2016/fin_2016.pdf?rand=170404020</t>
  </si>
  <si>
    <t>railway.md</t>
  </si>
  <si>
    <t>str. Vlaicu Pircalab 48, mun. Chisinau</t>
  </si>
  <si>
    <t>http://www.asd.md/storage/topic/thumbs/files/Situatiile%20Financiare%20%20ANUL%20%20%202016.pdf</t>
  </si>
  <si>
    <t>asd.md</t>
  </si>
  <si>
    <t>str. Bucuriei 12a, mun. Chisinau</t>
  </si>
  <si>
    <t>http://moldatsa.md/upload/SITUA%C5%A2IILE%20FINANCIARE%20pentru%20anul%202016.pdf</t>
  </si>
  <si>
    <t>moldatsa.md</t>
  </si>
  <si>
    <t>bd. Dacia 80/4, mun. Chisinau</t>
  </si>
  <si>
    <t>http://www.ctsic.md/</t>
  </si>
  <si>
    <t>str. S. Lazo 48, mun. Chisinau</t>
  </si>
  <si>
    <t>downloaded</t>
  </si>
  <si>
    <t>str. V. Alecsandri 78, mun. Chisinau</t>
  </si>
  <si>
    <t>moldelectrica.md</t>
  </si>
  <si>
    <t>http://www.moldelectrica.md/files/docs/situatia_financiara_2016.pdf</t>
  </si>
  <si>
    <t>fiscservinform.md</t>
  </si>
  <si>
    <t>str. Constantin Tanase 6, mun. Chisinau</t>
  </si>
  <si>
    <t>http://www.vsi.md/wp-content/uploads/2017/11/raport-audit-2016.pdf</t>
  </si>
  <si>
    <t>vsi.md</t>
  </si>
  <si>
    <t>str. Petricani 21/3, mun. Chisinau</t>
  </si>
  <si>
    <t>http://www.serviciipaza.md/sites/default/files/advance_page/situatia_financiara_2016.pdf</t>
  </si>
  <si>
    <t>serviciipaza.md</t>
  </si>
  <si>
    <t>str. Motropolit Varlaam 79, mun. Chisinau</t>
  </si>
  <si>
    <t>https://molddata.md/files/files/Situatiile%20financiare%202016.pdf</t>
  </si>
  <si>
    <t>molddata.md</t>
  </si>
  <si>
    <t>str. Armeneasca 37/1, mun. Chisinau</t>
  </si>
  <si>
    <t>http://cts.md/sites/default/files/situatiile_financiare_cts_2016.pdf</t>
  </si>
  <si>
    <t>str. Piata Marii Adunari Nationale 1, mun. Chisinau</t>
  </si>
  <si>
    <t>cts.md</t>
  </si>
  <si>
    <t>http://www.cis.gov.md/sites/default/files/Situatii%20Financiare%202016.pdf</t>
  </si>
  <si>
    <t>cis.gov.md</t>
  </si>
  <si>
    <t>str. Stefan cel Mare 73, mun. Chisinau</t>
  </si>
  <si>
    <t>http://www.old.mtid.gov.md/sites/default/files/document/attachments/Situatiile%20Financiare%202016%20S.A.%20Drumuri%20Ialoveni.pdf</t>
  </si>
  <si>
    <t>str. Chilia 2A or. Ialoveni</t>
  </si>
  <si>
    <t>drumuri.ialoveni@gmail.com</t>
  </si>
  <si>
    <t>http://www.old.mtid.gov.md/sites/default/files/document/attachments/Situatiile%20Financiare%202016%20Combinatul%20Republican%20de%20Instruire%20Auto.PDF</t>
  </si>
  <si>
    <t>-</t>
  </si>
  <si>
    <t>str. Sf. Vineri 16, mun. Chisinau</t>
  </si>
  <si>
    <t>http://cmac.md/wp-content/uploads/2018/02/Situatii-Financiare-2016.pdf</t>
  </si>
  <si>
    <t>cmac.md</t>
  </si>
  <si>
    <t xml:space="preserve">str. Muncesti 162 a, mun. Chisinau </t>
  </si>
  <si>
    <t>str. T. Vladimirescu 3, mun. Chisinau</t>
  </si>
  <si>
    <t>http://maia.gov.md/sites/default/files/article/rapoarte_note_informative/Fisiere/raport_vivaflora.pdf</t>
  </si>
  <si>
    <t>http://maia.gov.md/sites/default/files/article/rapoarte_note_informative/indalproiect/skanirovat10043.pdf</t>
  </si>
  <si>
    <t>dumbrava-vest@mail.ru</t>
  </si>
  <si>
    <t>str. Uzinelor 209/1, mun. Chisinau</t>
  </si>
  <si>
    <t>http://maia.gov.md/sites/default/files/article/rapoarte_note_informative/Fisiere/download_file.pdf</t>
  </si>
  <si>
    <t>iulia.dusca@gmail.com</t>
  </si>
  <si>
    <t>str. Independentei 1, or. Biruinta</t>
  </si>
  <si>
    <t>http://maia.gov.md/sites/default/files/article/rapoarte_note_informative/indalproiect/sdecriuleni.pdf</t>
  </si>
  <si>
    <t>sat. Slobozia Dusca, raionul Criuleni</t>
  </si>
  <si>
    <t>sdecriuleni@gmail.com</t>
  </si>
  <si>
    <t>http://maia.gov.md/sites/default/files/article/rapoarte_note_informative/indalproiect/indalproiect.pdf</t>
  </si>
  <si>
    <t>http://maia.gov.md/sites/default/files/article/rapoarte_note_informative/Fisiere/rap.fin_2016_isssim.pdf</t>
  </si>
  <si>
    <t>str. V.Voda 100, mun. Chisinau</t>
  </si>
  <si>
    <t>eduardtap@gmail.com</t>
  </si>
  <si>
    <t>http://maia.gov.md/sites/default/files/article/rapoarte_note_informative/Fisiere/download_file_1-compressed.pdf</t>
  </si>
  <si>
    <t>cons-cert@mail.ru</t>
  </si>
  <si>
    <t>str. Uzinelor 19, mun. Chisinau</t>
  </si>
  <si>
    <t>crara@bk.ru</t>
  </si>
  <si>
    <t>http://maia.gov.md/sites/default/files/article/rapoarte_note_informative/Fisiere/file-compressed.pdf</t>
  </si>
  <si>
    <t>s. Maximovca, raionul Anenii Noi</t>
  </si>
  <si>
    <t>500-999</t>
  </si>
  <si>
    <t>1000-4999</t>
  </si>
  <si>
    <t>50-99</t>
  </si>
  <si>
    <t>20-49</t>
  </si>
  <si>
    <t>100-249</t>
  </si>
  <si>
    <t>250-499</t>
  </si>
  <si>
    <t>400-799</t>
  </si>
  <si>
    <t>10-19</t>
  </si>
  <si>
    <t>N/A</t>
  </si>
  <si>
    <t>1000-3999</t>
  </si>
  <si>
    <t>http://www.old.mtid.gov.md/sites/default/files/document/attachments/Situatiile%20Financiare%202016%20SA%20Drumuri%20Cahul.PDF</t>
  </si>
  <si>
    <t>str. M. Viteazul 25, or. Cahul</t>
  </si>
  <si>
    <t>str. Feroviarilor 1/3, Vatra</t>
  </si>
  <si>
    <t>bd. Stefan cel Mare 134, mun. Chisinau</t>
  </si>
  <si>
    <t>posta.md</t>
  </si>
  <si>
    <t>moldovagaz.md</t>
  </si>
  <si>
    <t>str. Albisoara 38, mun. Chisinau</t>
  </si>
  <si>
    <t>vganea@mail.ru</t>
  </si>
  <si>
    <t>http://www.old.mtid.gov.md/sites/default/files/document/attachments/Situatiile%20Financiare%202016%20Garile%20si%20Statiile%20Auto.pdf</t>
  </si>
  <si>
    <t>str. M. Varlaam 58, mun. Chisinau</t>
  </si>
  <si>
    <t>http://www.old.mtid.gov.md/sites/default/files/document/attachments/Situatiile%20Financiare%202016%20Moldaeroservice.PDF</t>
  </si>
  <si>
    <t xml:space="preserve">moldaero@gmail.com </t>
  </si>
  <si>
    <t>bd. Dacia 80/7, mun. Chisinau</t>
  </si>
  <si>
    <t>garadenord@mail.ru</t>
  </si>
  <si>
    <t>http://www.old.mtid.gov.md/sites/default/files/document/attachments/Situatiile%20Financiare%202016%20Gara%20Nord.pdf</t>
  </si>
  <si>
    <t xml:space="preserve">or. Donduseni </t>
  </si>
  <si>
    <t>cadastru.md</t>
  </si>
  <si>
    <t>str. Puskin 47, mun. Chisinau</t>
  </si>
  <si>
    <t>casapresei.md</t>
  </si>
  <si>
    <t>str. Puskin 22, mun. Chisinau</t>
  </si>
  <si>
    <t>palatulrepublicii.md</t>
  </si>
  <si>
    <t>str. Maria Cibotari 16, mun. Chisinau</t>
  </si>
  <si>
    <t>cnfr.md</t>
  </si>
  <si>
    <t>str. Drumul Viilor 28/2, mun. Chisinau</t>
  </si>
  <si>
    <t>poligrafic.md</t>
  </si>
  <si>
    <t>str. P. Movila 35, mun. Chisinau</t>
  </si>
  <si>
    <t>cps.md</t>
  </si>
  <si>
    <t>str. M. Dosoftei 124, mun. Chisinau</t>
  </si>
  <si>
    <t>str. A. cel Bun 42, mun. Chisinau</t>
  </si>
  <si>
    <t>http://www.mfa.gov.md/diplomatic-corps-services-division-ro/</t>
  </si>
  <si>
    <t>fintehinform.md</t>
  </si>
  <si>
    <t>str. Cosmonautilor 7, mun. Chisinau</t>
  </si>
  <si>
    <t>airmoldova.md</t>
  </si>
  <si>
    <t>bd. Dacia 80/2, mun. Chisinau</t>
  </si>
  <si>
    <t>pesticide.md</t>
  </si>
  <si>
    <t>str. Sarmizegetusa, 16A, mun. Chisinau</t>
  </si>
  <si>
    <t>quartiles</t>
  </si>
  <si>
    <t>average</t>
  </si>
  <si>
    <t>direction</t>
  </si>
  <si>
    <t>+</t>
  </si>
  <si>
    <t>distribution</t>
  </si>
  <si>
    <t>one-tailed</t>
  </si>
  <si>
    <t>two-tailed</t>
  </si>
  <si>
    <t>Liquidity</t>
  </si>
  <si>
    <t>Profitability</t>
  </si>
  <si>
    <t>Leverage</t>
  </si>
  <si>
    <t>Activity</t>
  </si>
  <si>
    <t>Total</t>
  </si>
  <si>
    <t>Liquidity total</t>
  </si>
  <si>
    <t>Profitability total</t>
  </si>
  <si>
    <t>Leverage total</t>
  </si>
  <si>
    <t>Activity total</t>
  </si>
  <si>
    <t>thresholds for points</t>
  </si>
  <si>
    <t xml:space="preserve"> </t>
  </si>
  <si>
    <t>t</t>
  </si>
  <si>
    <t>t-1</t>
  </si>
  <si>
    <t>t-2</t>
  </si>
  <si>
    <t>t-3</t>
  </si>
  <si>
    <t>weights by year</t>
  </si>
  <si>
    <t>NACE</t>
  </si>
  <si>
    <t>State owned part</t>
  </si>
  <si>
    <t>Tabaco processor and cigarettes producer</t>
  </si>
  <si>
    <t>C</t>
  </si>
  <si>
    <t>The biggest producer of bakery products</t>
  </si>
  <si>
    <t>Construction and roads service</t>
  </si>
  <si>
    <t>F</t>
  </si>
  <si>
    <t>Management of bus stations for the north region of the country</t>
  </si>
  <si>
    <t>H</t>
  </si>
  <si>
    <t>Q</t>
  </si>
  <si>
    <t>Provides heating and hot water in Chisinau</t>
  </si>
  <si>
    <t>E</t>
  </si>
  <si>
    <t>Electrical distribution in the north west part of the country</t>
  </si>
  <si>
    <t>D</t>
  </si>
  <si>
    <t>N</t>
  </si>
  <si>
    <t>Procurement and deliveries of electrical energy</t>
  </si>
  <si>
    <t>Manufacturing of tractors</t>
  </si>
  <si>
    <t>The monopolist in collecting and exporting scrap metal</t>
  </si>
  <si>
    <t>Import and distribution of natural gas (monopolist)</t>
  </si>
  <si>
    <t>Telecommunication and phone services</t>
  </si>
  <si>
    <t>J</t>
  </si>
  <si>
    <t>Research center of selection and swine hybridization</t>
  </si>
  <si>
    <t>A</t>
  </si>
  <si>
    <t>01</t>
  </si>
  <si>
    <t>Development of policies for agricultural sector, trade of agricultural equipment</t>
  </si>
  <si>
    <t>Certification and Approval of Phytosanitary and Fertilizer Products</t>
  </si>
  <si>
    <t>M</t>
  </si>
  <si>
    <t>71</t>
  </si>
  <si>
    <t>Center for Quality Control of Alcoholic Production</t>
  </si>
  <si>
    <t>11</t>
  </si>
  <si>
    <t>Training courses for farmers</t>
  </si>
  <si>
    <t>P</t>
  </si>
  <si>
    <t>85</t>
  </si>
  <si>
    <t>43</t>
  </si>
  <si>
    <t>Airline company</t>
  </si>
  <si>
    <t>51</t>
  </si>
  <si>
    <t>Rail road company</t>
  </si>
  <si>
    <t>49</t>
  </si>
  <si>
    <t>Maintenance of national roads</t>
  </si>
  <si>
    <t>42</t>
  </si>
  <si>
    <t>50</t>
  </si>
  <si>
    <t>Maintenance of national bus stations</t>
  </si>
  <si>
    <t>52</t>
  </si>
  <si>
    <t>Provider of aviation services</t>
  </si>
  <si>
    <t>Provides services in maintenance of air traffic</t>
  </si>
  <si>
    <t>Polygraphy and printing services</t>
  </si>
  <si>
    <t>18</t>
  </si>
  <si>
    <t>G</t>
  </si>
  <si>
    <t>47</t>
  </si>
  <si>
    <t>Certification and and testing of industrial materials</t>
  </si>
  <si>
    <t>41</t>
  </si>
  <si>
    <t>Maintenance of the electric national networks</t>
  </si>
  <si>
    <t>35</t>
  </si>
  <si>
    <t>The calculation and informative center that provides services for Finance Ministry</t>
  </si>
  <si>
    <t>74</t>
  </si>
  <si>
    <t>The calculation and informative center that provides services for National tax inspectorate</t>
  </si>
  <si>
    <t>The calculation and informative center that provides services for Customs</t>
  </si>
  <si>
    <t>Provides services for Diplomacy corps of Ministry of External affairs</t>
  </si>
  <si>
    <t>82</t>
  </si>
  <si>
    <t>Keeps the register and register companies</t>
  </si>
  <si>
    <t>Security services</t>
  </si>
  <si>
    <t>80</t>
  </si>
  <si>
    <t>O</t>
  </si>
  <si>
    <t>84</t>
  </si>
  <si>
    <t>Training services for the workers in the National army</t>
  </si>
  <si>
    <t>Post services</t>
  </si>
  <si>
    <t>53</t>
  </si>
  <si>
    <t>Domain Name Registrar .MD and provider of generic domain extensions</t>
  </si>
  <si>
    <t>63</t>
  </si>
  <si>
    <t>Provides radio frequencies for Radio companies</t>
  </si>
  <si>
    <t>61</t>
  </si>
  <si>
    <t>58</t>
  </si>
  <si>
    <t>Keeps the register and register the property such as buildings, land, etc.</t>
  </si>
  <si>
    <t>Provides rent services for concerts and other events</t>
  </si>
  <si>
    <t>L</t>
  </si>
  <si>
    <t>68</t>
  </si>
  <si>
    <t>Rent services</t>
  </si>
  <si>
    <t>Electronic signature and data services</t>
  </si>
  <si>
    <t>ID</t>
  </si>
  <si>
    <t>EN</t>
  </si>
  <si>
    <t>RO</t>
  </si>
  <si>
    <t>S.A. Metalferos</t>
  </si>
  <si>
    <t>S.A. Energocom</t>
  </si>
  <si>
    <t>I.S. Fintehinform</t>
  </si>
  <si>
    <t>I.S. Centrul National de Verificare a Calitatii Productiei Alcoolice</t>
  </si>
  <si>
    <t>I.S. Centrul Informational Agricol</t>
  </si>
  <si>
    <t>I.S. Centrul Tehnic pentru Securitate Industriala si Certificare</t>
  </si>
  <si>
    <t>I.S. Centrul de Telecomunicatii Speciale</t>
  </si>
  <si>
    <t>I.S. Camera Inregistrarii de Stat</t>
  </si>
  <si>
    <t>S.A. Retelele Electrice de Distributie Nord Vest</t>
  </si>
  <si>
    <t>I.S. Centrul de Stat pentru Atestarea si Omologarea Produselor de uz Fitosanitar si a Fertilizantilor</t>
  </si>
  <si>
    <t>I.S. Directia Servicii pentru Corpul Diplomatic</t>
  </si>
  <si>
    <t>I.S. Centrul de pregatire a specialistilor pentru Armata Nationala</t>
  </si>
  <si>
    <t>I.S. Centrul National pentru Frecvente Radio</t>
  </si>
  <si>
    <t>I.S. Complexul Casa Presei</t>
  </si>
  <si>
    <t>S.A. Combinatul de Panificatie din Chisinau Franzeluta</t>
  </si>
  <si>
    <t>I.S. Centrul Republican pentru Ameliorarea si Reproductia Animalelor</t>
  </si>
  <si>
    <t>Animal breeding and reproduction</t>
  </si>
  <si>
    <t>I.S. Statia de Stat pentru Incercarea Masinilor</t>
  </si>
  <si>
    <t>Translation and interpretation activities</t>
  </si>
  <si>
    <t>I.S. Centrul pentru Standardizarea si Experimentarea Calitatii Productiei de Conserve</t>
  </si>
  <si>
    <t>Certification and inspection of food quality</t>
  </si>
  <si>
    <t>Construction design and certification</t>
  </si>
  <si>
    <t>Horticulture</t>
  </si>
  <si>
    <t>Testing and technical analysis, production certification services</t>
  </si>
  <si>
    <t>Agriculture</t>
  </si>
  <si>
    <t>Testing and technical analysis activities</t>
  </si>
  <si>
    <t>I.S. Centrul de Metrologie Aplicata si Certificare</t>
  </si>
  <si>
    <t>Education in the field of transport</t>
  </si>
  <si>
    <t>Road and motorway construction works</t>
  </si>
  <si>
    <t>Agroinštitút Nitra, š.p.</t>
  </si>
  <si>
    <t>Agrokomplex - Výstavníctvo Nitra, š.p.</t>
  </si>
  <si>
    <t>Automobilové opravovne Ministerstva vnútra SR, a.s.</t>
  </si>
  <si>
    <t>DMD GROUP, a.s.</t>
  </si>
  <si>
    <t>HOREZZA, a.s.</t>
  </si>
  <si>
    <t>Hydromeliorácie, š.p.</t>
  </si>
  <si>
    <t>Jadrová a vyraďovacia spoločnosť, a. s.</t>
  </si>
  <si>
    <t>Lesopoľnohospodársky majetok Ulič, š.p.</t>
  </si>
  <si>
    <t>Lesy Slovenskej republiky, š.p.</t>
  </si>
  <si>
    <t>Letecká vojenská nemocnica, a.s.</t>
  </si>
  <si>
    <t>Letecké opravovne Trenčín, a.s.</t>
  </si>
  <si>
    <t>Letisko M.R. Štefánika - Airport Bratislava, a.s.</t>
  </si>
  <si>
    <t>Letisko Poprad - Tatry, a.s.</t>
  </si>
  <si>
    <t>Letisko Sliač, a.s.</t>
  </si>
  <si>
    <t>Letisková spoločnosť Žilina, a.s.</t>
  </si>
  <si>
    <t>Letové prevádzkové služby SR, š.p.</t>
  </si>
  <si>
    <t>Mincovňa Kremnica, š.p.</t>
  </si>
  <si>
    <t>Národná diaľničná spoločnosť, a.s.</t>
  </si>
  <si>
    <t>Národný ústav srdcových a cievnych chorôb, a.s.</t>
  </si>
  <si>
    <t>Nemocnica Poprad, a.s.</t>
  </si>
  <si>
    <t>Nemocnica svätého Michala, a.s.</t>
  </si>
  <si>
    <t>Plemenárske služby Slovenskej republiky, š.p.</t>
  </si>
  <si>
    <t>Poľnonákup Tatry, a.s.</t>
  </si>
  <si>
    <t>Rudné Bane, š.p.</t>
  </si>
  <si>
    <t>Slovenská elektrizačná prenosová sústava, a.s.</t>
  </si>
  <si>
    <t>Slovenská konsolidačná, a.s.</t>
  </si>
  <si>
    <t>Slovenská pošta, a.s.</t>
  </si>
  <si>
    <t>Slovenský plynárenský priemysel, a.s.</t>
  </si>
  <si>
    <t>Slovenský vodohospodársky podnik, š.p.</t>
  </si>
  <si>
    <t>SLOVTHERMAE, Kúpele Diamant Dudince, š.p.</t>
  </si>
  <si>
    <t>Správa služieb diplomatickému zboru, a.s.</t>
  </si>
  <si>
    <t>Stredoslovenská energetika, a.s.</t>
  </si>
  <si>
    <t>Stredoslovenský ústav srdcových a cievnych chorôb, a.s.</t>
  </si>
  <si>
    <t>Špecializovaný liečebný ústav Marína, š.p.</t>
  </si>
  <si>
    <t>Technická inšpekcia, a.s.</t>
  </si>
  <si>
    <t>Technický skúšobný ústav Piešťany, š.p.</t>
  </si>
  <si>
    <t>TIPOS, národná lotériová spoločnosť, a.s.</t>
  </si>
  <si>
    <t>TRANSPETROL, a.s.</t>
  </si>
  <si>
    <t>Verejné prístavy, a.s.</t>
  </si>
  <si>
    <t>Vodohospodárska výstavba, š.p.</t>
  </si>
  <si>
    <t>Vojenské lesy a majetky SR, š.p.</t>
  </si>
  <si>
    <t>Východoslovenská energetika Holding, a.s.</t>
  </si>
  <si>
    <t>Východoslovenský onkologický ústav, a.s.</t>
  </si>
  <si>
    <t>Východoslovenský ústav srdcových a cievnych chorôb, a.s.</t>
  </si>
  <si>
    <t>Západoslovenská energetika, a.s.</t>
  </si>
  <si>
    <t>Závodisko, š.p.</t>
  </si>
  <si>
    <t>Železničná spoločnosť Cargo Slovakia, a.s.</t>
  </si>
  <si>
    <t>Železničná spoločnosť Slovensko, a.s.</t>
  </si>
  <si>
    <t>innogy Slovensko s. r. o.</t>
  </si>
  <si>
    <t>VEMEX ENERGO s.r.o.</t>
  </si>
  <si>
    <t xml:space="preserve">ELGAS, k.s. </t>
  </si>
  <si>
    <t>ČEZ Slovensko, s.r.o.</t>
  </si>
  <si>
    <t>Pow-en a. s.</t>
  </si>
  <si>
    <t>MAGNA ENERGIA a.s.</t>
  </si>
  <si>
    <t>SLOVINTEGRA ENERGY, a.s.</t>
  </si>
  <si>
    <t>Nemocnica s poliklinikou Štefana Kukuru Michalovce, a.s.</t>
  </si>
  <si>
    <t>Nemocnica Zvolen a. s.</t>
  </si>
  <si>
    <t>Nemocnica s poliklinikou Sv. Lukáša Galanta, a.s.</t>
  </si>
  <si>
    <t>Všeobecná nemocnica s poliklinikou Levoča, a.s.</t>
  </si>
  <si>
    <t>BUDAMAR LOGISTICS, a.s.</t>
  </si>
  <si>
    <t>Railtrans International, a.s.</t>
  </si>
  <si>
    <t>Slovak Lines, a.s.</t>
  </si>
  <si>
    <t>ARRIVA NITRA a.s.</t>
  </si>
  <si>
    <t>ARRIVA Nové Zámky, a.s.</t>
  </si>
  <si>
    <t>Slovenská autobusová doprava Trenčín, a.s.</t>
  </si>
  <si>
    <t>eurobus, a.s.</t>
  </si>
  <si>
    <t>DHL Express (Slovakia), spol. s r. o.</t>
  </si>
  <si>
    <t>GLS General Logistics Systems Slovakia s.r.o.</t>
  </si>
  <si>
    <t>Slovak Parcel Service s.r.o.</t>
  </si>
  <si>
    <t>Direct Parcel Distribution SK s.r.o.</t>
  </si>
  <si>
    <t>ARRIVA Slovakia a.s.</t>
  </si>
  <si>
    <t>EBA, s.r.o.</t>
  </si>
  <si>
    <t>ICO</t>
  </si>
  <si>
    <t>SK NACE</t>
  </si>
  <si>
    <t>BIONT, a.s.</t>
  </si>
  <si>
    <t>36858749</t>
  </si>
  <si>
    <t>36855642</t>
  </si>
  <si>
    <t>44855206</t>
  </si>
  <si>
    <t>35917571</t>
  </si>
  <si>
    <t>36297194</t>
  </si>
  <si>
    <t>36280127</t>
  </si>
  <si>
    <t>35860839</t>
  </si>
  <si>
    <t>35946024</t>
  </si>
  <si>
    <t>00492531</t>
  </si>
  <si>
    <t>36038351</t>
  </si>
  <si>
    <t>36601578</t>
  </si>
  <si>
    <t>36351156</t>
  </si>
  <si>
    <t>35884916</t>
  </si>
  <si>
    <t>35912651</t>
  </si>
  <si>
    <t>36633283</t>
  </si>
  <si>
    <t>36426032</t>
  </si>
  <si>
    <t>35778458</t>
  </si>
  <si>
    <t>00010448</t>
  </si>
  <si>
    <t>35919001</t>
  </si>
  <si>
    <t>35971126</t>
  </si>
  <si>
    <t>36513458</t>
  </si>
  <si>
    <t>44570783</t>
  </si>
  <si>
    <t>36856096</t>
  </si>
  <si>
    <t>36447927</t>
  </si>
  <si>
    <t>00007838</t>
  </si>
  <si>
    <t>35829141</t>
  </si>
  <si>
    <t>35776005</t>
  </si>
  <si>
    <t>36631124</t>
  </si>
  <si>
    <t>35815256</t>
  </si>
  <si>
    <t>36022047</t>
  </si>
  <si>
    <t>00165506</t>
  </si>
  <si>
    <t>35822163</t>
  </si>
  <si>
    <t>36403008</t>
  </si>
  <si>
    <t>36644331</t>
  </si>
  <si>
    <t>00165476</t>
  </si>
  <si>
    <t>36653004</t>
  </si>
  <si>
    <t>43861105</t>
  </si>
  <si>
    <t>00057380</t>
  </si>
  <si>
    <t>31340822</t>
  </si>
  <si>
    <t>31341977</t>
  </si>
  <si>
    <t>36856541</t>
  </si>
  <si>
    <t>00156752</t>
  </si>
  <si>
    <t>31577920</t>
  </si>
  <si>
    <t>36211222</t>
  </si>
  <si>
    <t>36603350</t>
  </si>
  <si>
    <t>36601284</t>
  </si>
  <si>
    <t>35823551</t>
  </si>
  <si>
    <t>31354301</t>
  </si>
  <si>
    <t>31364501</t>
  </si>
  <si>
    <t>35914921</t>
  </si>
  <si>
    <t>35914939</t>
  </si>
  <si>
    <t/>
  </si>
  <si>
    <t>36545082</t>
  </si>
  <si>
    <t>36545317</t>
  </si>
  <si>
    <t>35811439</t>
  </si>
  <si>
    <t>35736046</t>
  </si>
  <si>
    <t>36797332</t>
  </si>
  <si>
    <t>31342876</t>
  </si>
  <si>
    <t>35834498</t>
  </si>
  <si>
    <t>31376134</t>
  </si>
  <si>
    <t>36314242</t>
  </si>
  <si>
    <t>36211079</t>
  </si>
  <si>
    <t>36624942</t>
  </si>
  <si>
    <t>44291809</t>
  </si>
  <si>
    <t>35743565</t>
  </si>
  <si>
    <t>36168165</t>
  </si>
  <si>
    <t>44452519</t>
  </si>
  <si>
    <t>44927380</t>
  </si>
  <si>
    <t>45594929</t>
  </si>
  <si>
    <t>43860125</t>
  </si>
  <si>
    <t>46384740</t>
  </si>
  <si>
    <t>35821019</t>
  </si>
  <si>
    <t>31329217</t>
  </si>
  <si>
    <t>36323977</t>
  </si>
  <si>
    <t>35968486</t>
  </si>
  <si>
    <t>35853441</t>
  </si>
  <si>
    <t>36594849</t>
  </si>
  <si>
    <t>85590</t>
  </si>
  <si>
    <t>82300</t>
  </si>
  <si>
    <t>45200</t>
  </si>
  <si>
    <t>86220</t>
  </si>
  <si>
    <t>68100</t>
  </si>
  <si>
    <t>86909</t>
  </si>
  <si>
    <t>71121</t>
  </si>
  <si>
    <t>38220</t>
  </si>
  <si>
    <t>02200</t>
  </si>
  <si>
    <t>02100</t>
  </si>
  <si>
    <t>33160</t>
  </si>
  <si>
    <t>52230</t>
  </si>
  <si>
    <t>32110</t>
  </si>
  <si>
    <t>52210</t>
  </si>
  <si>
    <t>86100</t>
  </si>
  <si>
    <t>01620</t>
  </si>
  <si>
    <t>10910</t>
  </si>
  <si>
    <t>68200</t>
  </si>
  <si>
    <t>35120</t>
  </si>
  <si>
    <t>81100</t>
  </si>
  <si>
    <t>53100</t>
  </si>
  <si>
    <t>35230</t>
  </si>
  <si>
    <t>36009</t>
  </si>
  <si>
    <t>35140</t>
  </si>
  <si>
    <t>71200</t>
  </si>
  <si>
    <t>42990</t>
  </si>
  <si>
    <t>92000</t>
  </si>
  <si>
    <t>49502</t>
  </si>
  <si>
    <t>52220</t>
  </si>
  <si>
    <t>35110</t>
  </si>
  <si>
    <t>70100</t>
  </si>
  <si>
    <t>93110</t>
  </si>
  <si>
    <t>49200</t>
  </si>
  <si>
    <t>49100</t>
  </si>
  <si>
    <t>49310</t>
  </si>
  <si>
    <t>53200</t>
  </si>
  <si>
    <t xml:space="preserve">Pestovanie plodín a chov zvierat, poľovníctvo a služby s tým súvisiace </t>
  </si>
  <si>
    <t>02</t>
  </si>
  <si>
    <t>Lesníctvo a ťažba dreva</t>
  </si>
  <si>
    <t>03</t>
  </si>
  <si>
    <t>Rybolov a akvakultúra</t>
  </si>
  <si>
    <t>05</t>
  </si>
  <si>
    <t>B</t>
  </si>
  <si>
    <t>Ťažba uhlia a lignitu</t>
  </si>
  <si>
    <t>06</t>
  </si>
  <si>
    <t>Ťažba ropy a zemného plynu</t>
  </si>
  <si>
    <t>07</t>
  </si>
  <si>
    <t>Dobývanie kovových rúd</t>
  </si>
  <si>
    <t>08</t>
  </si>
  <si>
    <t>Iná ťažba a dobývanie</t>
  </si>
  <si>
    <t>09</t>
  </si>
  <si>
    <t xml:space="preserve">Pomocné činnosti pri ťažbe </t>
  </si>
  <si>
    <t>10</t>
  </si>
  <si>
    <t>Výroba potravín</t>
  </si>
  <si>
    <t>Výroba nápojov</t>
  </si>
  <si>
    <t>12</t>
  </si>
  <si>
    <t>Výroba tabakových výrobkov</t>
  </si>
  <si>
    <t>13</t>
  </si>
  <si>
    <t>Výroba textilu</t>
  </si>
  <si>
    <t>14</t>
  </si>
  <si>
    <t>Výroba odevov</t>
  </si>
  <si>
    <t>15</t>
  </si>
  <si>
    <t>Výroba kože a kožených výrobkov</t>
  </si>
  <si>
    <t>16</t>
  </si>
  <si>
    <t>Spracovanie dreva a výroba výrobkov z dreva a korku okrem nábytku; výroba predmetov zo slamy a prúteného materiálu</t>
  </si>
  <si>
    <t>17</t>
  </si>
  <si>
    <t>Výroba papiera a papierových výrobkov</t>
  </si>
  <si>
    <t>Tlač a reprodukcia záznamových médií</t>
  </si>
  <si>
    <t>19</t>
  </si>
  <si>
    <t>Výroba koksu a rafinovaných ropných produktov</t>
  </si>
  <si>
    <t>20</t>
  </si>
  <si>
    <t>Výroba chemikálií a chemických produktov</t>
  </si>
  <si>
    <t>21</t>
  </si>
  <si>
    <t>Výroba základných farmaceutických výrobkov a farmaceutických prípravkov</t>
  </si>
  <si>
    <t>22</t>
  </si>
  <si>
    <t>Výroba výrobkov z gumy a plastu</t>
  </si>
  <si>
    <t>23</t>
  </si>
  <si>
    <t>Výroba ostatných nekovových minerálnych výrobkov</t>
  </si>
  <si>
    <t>24</t>
  </si>
  <si>
    <t>Výroba a spracovanie kovov</t>
  </si>
  <si>
    <t>25</t>
  </si>
  <si>
    <t>Výroba kovových konštrukcií okrem strojov a zariadení</t>
  </si>
  <si>
    <t>26</t>
  </si>
  <si>
    <t>Výroba počítačových, elektronických a optických výrobkov</t>
  </si>
  <si>
    <t>27</t>
  </si>
  <si>
    <t>Výroba elektrických zariadení</t>
  </si>
  <si>
    <t>28</t>
  </si>
  <si>
    <t>Výroba strojov a zariadení i. n.</t>
  </si>
  <si>
    <t>29</t>
  </si>
  <si>
    <t>Výroba motorových vozidiel, návesov a prívesov</t>
  </si>
  <si>
    <t>30</t>
  </si>
  <si>
    <t>Výroba ostatných dopravných prostriedkov</t>
  </si>
  <si>
    <t>31</t>
  </si>
  <si>
    <t>Výroba nábytku</t>
  </si>
  <si>
    <t>32</t>
  </si>
  <si>
    <t xml:space="preserve">Iná výroba </t>
  </si>
  <si>
    <t>33</t>
  </si>
  <si>
    <t xml:space="preserve">Oprava a inštalácia strojov a prístrojov </t>
  </si>
  <si>
    <t>Dodávka elektriny, plynu, pary a studeného vzduchu</t>
  </si>
  <si>
    <t>36</t>
  </si>
  <si>
    <t>Zber, úprava a dodávka vody</t>
  </si>
  <si>
    <t>37</t>
  </si>
  <si>
    <t>Čistenie a odvod odpadových vôd</t>
  </si>
  <si>
    <t>38</t>
  </si>
  <si>
    <t>Zber, spracúvanie a likvidácia odpadov; recyklácia materiálov</t>
  </si>
  <si>
    <t>39</t>
  </si>
  <si>
    <t>Ozdravovacie činnosti a ostatné činnosti nakladania s odpadom</t>
  </si>
  <si>
    <t>Výstavba budov</t>
  </si>
  <si>
    <t>Inžinierske stavby</t>
  </si>
  <si>
    <t>Špecializované stavebné práce</t>
  </si>
  <si>
    <t>45</t>
  </si>
  <si>
    <t>Veľkoobchod a maloobchod a oprava motorových vozidiel a motocyklov</t>
  </si>
  <si>
    <t>46</t>
  </si>
  <si>
    <t>Veľkoobchod okrem motorových vozidiel a motocyklov</t>
  </si>
  <si>
    <t>Maloobchod okrem motorových vozidiel a motocyklov</t>
  </si>
  <si>
    <t>Pozemná doprava a doprava potrubím</t>
  </si>
  <si>
    <t>Vodná doprava</t>
  </si>
  <si>
    <t>Letecká doprava</t>
  </si>
  <si>
    <t>Skladové a pomocné činnosti v doprave</t>
  </si>
  <si>
    <t>Poštové služby a služby kuriérov</t>
  </si>
  <si>
    <t>55</t>
  </si>
  <si>
    <t>I</t>
  </si>
  <si>
    <t>Ubytovanie</t>
  </si>
  <si>
    <t>56</t>
  </si>
  <si>
    <t>Činnosti reštaurácií a pohostinstiev</t>
  </si>
  <si>
    <t>Nakladateľské činnosti</t>
  </si>
  <si>
    <t>59</t>
  </si>
  <si>
    <t>Výroba filmov, videozáznamov a televíznych programov, príprava a zverejňovanie zvukových nahrávok</t>
  </si>
  <si>
    <t>60</t>
  </si>
  <si>
    <t>Činnosti pre rozhlasové a televízne vysielanie</t>
  </si>
  <si>
    <t>Telekomunikácie</t>
  </si>
  <si>
    <t>62</t>
  </si>
  <si>
    <t>Počítačové programovanie, poradenstvo a súvisiace služby</t>
  </si>
  <si>
    <t>Informačné služby</t>
  </si>
  <si>
    <t>64</t>
  </si>
  <si>
    <t>K</t>
  </si>
  <si>
    <t>Finančné služby okrem poistenia a dôchodkového zabezpečenia</t>
  </si>
  <si>
    <t>65</t>
  </si>
  <si>
    <t>Poistenie, zaistenie a dôchodkové zabezpečenie okrem povinného sociálneho poistenia</t>
  </si>
  <si>
    <t>66</t>
  </si>
  <si>
    <t>Pomocné činnosti finančných služieb a poistenia</t>
  </si>
  <si>
    <t>Činnosti v oblasti nehnuteľností</t>
  </si>
  <si>
    <t>69</t>
  </si>
  <si>
    <t>Právne a účtovnícke činnosti</t>
  </si>
  <si>
    <t>70</t>
  </si>
  <si>
    <t xml:space="preserve">Vedenie firiem; poradenstvo v oblasti  riadenia </t>
  </si>
  <si>
    <t>Architektonické a inžinierske činnosti; technické  testovanie a analýzy</t>
  </si>
  <si>
    <t>72</t>
  </si>
  <si>
    <t>Vedecký výskum a vývoj</t>
  </si>
  <si>
    <t>73</t>
  </si>
  <si>
    <t>Reklama a prieskum trhu</t>
  </si>
  <si>
    <t>Ostatné odborné, vedecké a technické činnosti</t>
  </si>
  <si>
    <t>75</t>
  </si>
  <si>
    <t>Veterinárne činnosti</t>
  </si>
  <si>
    <t>77</t>
  </si>
  <si>
    <t>Prenájom a lízing</t>
  </si>
  <si>
    <t>78</t>
  </si>
  <si>
    <t xml:space="preserve">Sprostredkovanie práce  </t>
  </si>
  <si>
    <t>79</t>
  </si>
  <si>
    <t>Činnosti cestovných agentúr, rezervačné služby cestovných kancelárií a súvisiace činnosti</t>
  </si>
  <si>
    <t xml:space="preserve">Bezpečnostné a pátracie služby </t>
  </si>
  <si>
    <t>81</t>
  </si>
  <si>
    <t>Činnosti súvisiace s údržbou zariadení a krajinnou úpravou</t>
  </si>
  <si>
    <t xml:space="preserve">Administratívne, pomocné kancelárske a iné obchodné pomocné činnosti </t>
  </si>
  <si>
    <t>Verejná správa a obrana; povinné sociálne zabezpečenie</t>
  </si>
  <si>
    <t>Vzdelávanie</t>
  </si>
  <si>
    <t>86</t>
  </si>
  <si>
    <t>Zdravotníctvo</t>
  </si>
  <si>
    <t>87</t>
  </si>
  <si>
    <t xml:space="preserve">Starostlivosť v pobytových zariadeniach (rezidenčná starostlivosť) </t>
  </si>
  <si>
    <t>88</t>
  </si>
  <si>
    <t xml:space="preserve">Sociálna práca bez ubytovania </t>
  </si>
  <si>
    <t>90</t>
  </si>
  <si>
    <t>R</t>
  </si>
  <si>
    <t>Tvorivé, umelecké a zábavné činnosti</t>
  </si>
  <si>
    <t>91</t>
  </si>
  <si>
    <t xml:space="preserve">Činnosti knižníc, archívov, múzeí a ostatných kultúrnych zariadení </t>
  </si>
  <si>
    <t>92</t>
  </si>
  <si>
    <t xml:space="preserve">Činnosti herní  a stávkových kancelárií </t>
  </si>
  <si>
    <t>93</t>
  </si>
  <si>
    <t>Športové, zábavné a rekreačné činnosti</t>
  </si>
  <si>
    <t>94</t>
  </si>
  <si>
    <t>S</t>
  </si>
  <si>
    <t>Činnosti členských organizácií</t>
  </si>
  <si>
    <t>95</t>
  </si>
  <si>
    <t>Oprava počítačov, osobných potrieb a potrieb pre domácnosti</t>
  </si>
  <si>
    <t>96</t>
  </si>
  <si>
    <t>Ostatné osobné služby</t>
  </si>
  <si>
    <t>97</t>
  </si>
  <si>
    <t>T</t>
  </si>
  <si>
    <t>Činnosti domácností ako zamestnávateľov domáceho personálu</t>
  </si>
  <si>
    <t>98</t>
  </si>
  <si>
    <t>Nediferencované činnosti v domácnostiach produkujúce tovary a služby na vlastné použitie</t>
  </si>
  <si>
    <t>99</t>
  </si>
  <si>
    <t>U</t>
  </si>
  <si>
    <t xml:space="preserve">Činnosti extrateritoriálnych organizácií a združení </t>
  </si>
  <si>
    <t>Aktíva</t>
  </si>
  <si>
    <t>Číslo</t>
  </si>
  <si>
    <t>001</t>
  </si>
  <si>
    <t>002</t>
  </si>
  <si>
    <t>A.I.</t>
  </si>
  <si>
    <t>003</t>
  </si>
  <si>
    <t>A.I.1</t>
  </si>
  <si>
    <t>Aktivované náklady</t>
  </si>
  <si>
    <t>004</t>
  </si>
  <si>
    <t>A.I.2</t>
  </si>
  <si>
    <t>Software</t>
  </si>
  <si>
    <t>005</t>
  </si>
  <si>
    <t>A.I.3</t>
  </si>
  <si>
    <t>Oceniteľné práva</t>
  </si>
  <si>
    <t>006</t>
  </si>
  <si>
    <t>A.I.4</t>
  </si>
  <si>
    <t>Goodwill</t>
  </si>
  <si>
    <t>007</t>
  </si>
  <si>
    <t>A.I.5</t>
  </si>
  <si>
    <t>Ostatný dlhodobý nehmotný majetok</t>
  </si>
  <si>
    <t>008</t>
  </si>
  <si>
    <t>A.I.6</t>
  </si>
  <si>
    <t>Obstarávaný dlhodobý nehmotný majetok</t>
  </si>
  <si>
    <t>009</t>
  </si>
  <si>
    <t>A.I.7</t>
  </si>
  <si>
    <t>Poskytnuté preddavky na dlhodobý nehmotný majetok</t>
  </si>
  <si>
    <t>010</t>
  </si>
  <si>
    <t>A.II.</t>
  </si>
  <si>
    <t>011</t>
  </si>
  <si>
    <t>A.II.1</t>
  </si>
  <si>
    <t>Pozemky</t>
  </si>
  <si>
    <t>012</t>
  </si>
  <si>
    <t>A.II.2</t>
  </si>
  <si>
    <t>Stavby</t>
  </si>
  <si>
    <t>013</t>
  </si>
  <si>
    <t>A.II.3</t>
  </si>
  <si>
    <t>Samostatné hnuteľné veci a súbory hnuteľných vecí</t>
  </si>
  <si>
    <t>014</t>
  </si>
  <si>
    <t>A.II.4</t>
  </si>
  <si>
    <t>Pestovateľské celky trvalých porastov</t>
  </si>
  <si>
    <t>015</t>
  </si>
  <si>
    <t>A.II.5</t>
  </si>
  <si>
    <t>Základné stádo a ťažné zvieratá</t>
  </si>
  <si>
    <t>016</t>
  </si>
  <si>
    <t>A.II.6</t>
  </si>
  <si>
    <t>Ostatný dlhodobý hmotný majetok</t>
  </si>
  <si>
    <t>017</t>
  </si>
  <si>
    <t>A.II.7</t>
  </si>
  <si>
    <t>Obstarávaný dlhodobý hmotný majetok</t>
  </si>
  <si>
    <t>018</t>
  </si>
  <si>
    <t>A.II.8</t>
  </si>
  <si>
    <t>Poskytnuté preddavky na dlhodobý hmotný majetok</t>
  </si>
  <si>
    <t>019</t>
  </si>
  <si>
    <t>A.II.9</t>
  </si>
  <si>
    <t>Opravná položka k nadobudnutému majetku</t>
  </si>
  <si>
    <t>020</t>
  </si>
  <si>
    <t>A.III.</t>
  </si>
  <si>
    <t>021</t>
  </si>
  <si>
    <t>A.III.1</t>
  </si>
  <si>
    <t>022</t>
  </si>
  <si>
    <t>A.III.2</t>
  </si>
  <si>
    <t>023</t>
  </si>
  <si>
    <t>A.III.3</t>
  </si>
  <si>
    <t>024</t>
  </si>
  <si>
    <t>A.III.4</t>
  </si>
  <si>
    <t>025</t>
  </si>
  <si>
    <t>A.III.5</t>
  </si>
  <si>
    <t>026</t>
  </si>
  <si>
    <t>A.III.6</t>
  </si>
  <si>
    <t>027</t>
  </si>
  <si>
    <t>A.III.7</t>
  </si>
  <si>
    <t>028</t>
  </si>
  <si>
    <t>A.III.8</t>
  </si>
  <si>
    <t>029</t>
  </si>
  <si>
    <t>A.III.9</t>
  </si>
  <si>
    <t>030</t>
  </si>
  <si>
    <t>A.III.10</t>
  </si>
  <si>
    <t>031</t>
  </si>
  <si>
    <t>A.III.11</t>
  </si>
  <si>
    <t>032</t>
  </si>
  <si>
    <t>033</t>
  </si>
  <si>
    <t>B.I.</t>
  </si>
  <si>
    <t>034</t>
  </si>
  <si>
    <t>B.I.1</t>
  </si>
  <si>
    <t>Materiál</t>
  </si>
  <si>
    <t>035</t>
  </si>
  <si>
    <t>B.I.2</t>
  </si>
  <si>
    <t>Nedokončená výroba a polotovary vlastnej výroby</t>
  </si>
  <si>
    <t>036</t>
  </si>
  <si>
    <t>B.I.3</t>
  </si>
  <si>
    <t>Výrobky</t>
  </si>
  <si>
    <t>037</t>
  </si>
  <si>
    <t>B.I.4</t>
  </si>
  <si>
    <t>Zvieratá</t>
  </si>
  <si>
    <t>038</t>
  </si>
  <si>
    <t>B.I.5</t>
  </si>
  <si>
    <t>Tovar</t>
  </si>
  <si>
    <t>039</t>
  </si>
  <si>
    <t>B.I.6</t>
  </si>
  <si>
    <t>Poskytnuté preddavky na zásoby</t>
  </si>
  <si>
    <t>040</t>
  </si>
  <si>
    <t>B.II.</t>
  </si>
  <si>
    <t>041</t>
  </si>
  <si>
    <t>B.II.1</t>
  </si>
  <si>
    <t>042</t>
  </si>
  <si>
    <t>B.II.1.a.</t>
  </si>
  <si>
    <t>043</t>
  </si>
  <si>
    <t>B.II.1.b.</t>
  </si>
  <si>
    <t>044</t>
  </si>
  <si>
    <t>B.II.1.c.</t>
  </si>
  <si>
    <t>045</t>
  </si>
  <si>
    <t>B.II.2</t>
  </si>
  <si>
    <t>Čistá hodnota zákazky</t>
  </si>
  <si>
    <t>046</t>
  </si>
  <si>
    <t>B.II.3</t>
  </si>
  <si>
    <t>047</t>
  </si>
  <si>
    <t>B.II.4</t>
  </si>
  <si>
    <t>048</t>
  </si>
  <si>
    <t>B.II.5</t>
  </si>
  <si>
    <t>Pohľadávky voči spoločníkom, členom a združeniu</t>
  </si>
  <si>
    <t>049</t>
  </si>
  <si>
    <t>B.II.6</t>
  </si>
  <si>
    <t>050</t>
  </si>
  <si>
    <t>B.II.7</t>
  </si>
  <si>
    <t>Iné pohľadávky</t>
  </si>
  <si>
    <t>051</t>
  </si>
  <si>
    <t>B.II.8</t>
  </si>
  <si>
    <t>Odložená daňová pohľadávka</t>
  </si>
  <si>
    <t>052</t>
  </si>
  <si>
    <t>B.III.</t>
  </si>
  <si>
    <t>053</t>
  </si>
  <si>
    <t>B.III.1</t>
  </si>
  <si>
    <t>054</t>
  </si>
  <si>
    <t>B.III.1.a.</t>
  </si>
  <si>
    <t>055</t>
  </si>
  <si>
    <t>B.III.1.b.</t>
  </si>
  <si>
    <t>056</t>
  </si>
  <si>
    <t>B.III.1.c.</t>
  </si>
  <si>
    <t>057</t>
  </si>
  <si>
    <t>B.III.2</t>
  </si>
  <si>
    <t>058</t>
  </si>
  <si>
    <t>B.III.3</t>
  </si>
  <si>
    <t>059</t>
  </si>
  <si>
    <t>B.III.4</t>
  </si>
  <si>
    <t>060</t>
  </si>
  <si>
    <t>B.III.5</t>
  </si>
  <si>
    <t>061</t>
  </si>
  <si>
    <t>B.III.6</t>
  </si>
  <si>
    <t>Sociálne poistenie</t>
  </si>
  <si>
    <t>062</t>
  </si>
  <si>
    <t>B.III.7</t>
  </si>
  <si>
    <t>Daňové pohľadávky a dotácie</t>
  </si>
  <si>
    <t>063</t>
  </si>
  <si>
    <t>B.III.8</t>
  </si>
  <si>
    <t>Pohľadávky z derivátových operácií</t>
  </si>
  <si>
    <t>064</t>
  </si>
  <si>
    <t>B.III.9</t>
  </si>
  <si>
    <t>065</t>
  </si>
  <si>
    <t>B.IV.</t>
  </si>
  <si>
    <t>066</t>
  </si>
  <si>
    <t>B.IV.1</t>
  </si>
  <si>
    <t>067</t>
  </si>
  <si>
    <t>B.IV.2</t>
  </si>
  <si>
    <t>068</t>
  </si>
  <si>
    <t>B.IV.3</t>
  </si>
  <si>
    <t>069</t>
  </si>
  <si>
    <t>B.IV.4</t>
  </si>
  <si>
    <t>070</t>
  </si>
  <si>
    <t>B.V.</t>
  </si>
  <si>
    <t>071</t>
  </si>
  <si>
    <t>B.V.1.</t>
  </si>
  <si>
    <t>Peniaze</t>
  </si>
  <si>
    <t>072</t>
  </si>
  <si>
    <t>B.V.2.</t>
  </si>
  <si>
    <t>Účty v bankách</t>
  </si>
  <si>
    <t>073</t>
  </si>
  <si>
    <t>074</t>
  </si>
  <si>
    <t>C.1</t>
  </si>
  <si>
    <t>Náklady budúcich období dlhodobé</t>
  </si>
  <si>
    <t>075</t>
  </si>
  <si>
    <t>C.2</t>
  </si>
  <si>
    <t>Náklady budúcich období krátkodobé</t>
  </si>
  <si>
    <t>076</t>
  </si>
  <si>
    <t>C.3</t>
  </si>
  <si>
    <t>Príjmy budúcich období dlhodobé</t>
  </si>
  <si>
    <t>077</t>
  </si>
  <si>
    <t>C.4</t>
  </si>
  <si>
    <t>Príjmy budúcich období krátkodobé</t>
  </si>
  <si>
    <t>078</t>
  </si>
  <si>
    <t>Pasíva</t>
  </si>
  <si>
    <t>079</t>
  </si>
  <si>
    <t>080</t>
  </si>
  <si>
    <t>A.I</t>
  </si>
  <si>
    <t>081</t>
  </si>
  <si>
    <t>Základné imanie</t>
  </si>
  <si>
    <t>082</t>
  </si>
  <si>
    <t>A.I.2.</t>
  </si>
  <si>
    <t>Zmena základného imania</t>
  </si>
  <si>
    <t>083</t>
  </si>
  <si>
    <t>A.I.3.</t>
  </si>
  <si>
    <t>Pohľadávky za upísané vlastné imanie</t>
  </si>
  <si>
    <t>084</t>
  </si>
  <si>
    <t>A.II</t>
  </si>
  <si>
    <t>Emisné ážio</t>
  </si>
  <si>
    <t>085</t>
  </si>
  <si>
    <t>Ostatné kapitálové fondy</t>
  </si>
  <si>
    <t>086</t>
  </si>
  <si>
    <t>A.IV.</t>
  </si>
  <si>
    <t>087</t>
  </si>
  <si>
    <t>A.IV.1.</t>
  </si>
  <si>
    <t>Zákonný rezrevný fond a nedeliteľný fond</t>
  </si>
  <si>
    <t>088</t>
  </si>
  <si>
    <t>A.IV.2.</t>
  </si>
  <si>
    <t>Rezervný fond na vlastné akcie a vlastné podiely</t>
  </si>
  <si>
    <t>089</t>
  </si>
  <si>
    <t>A.V.</t>
  </si>
  <si>
    <t>090</t>
  </si>
  <si>
    <t>A.V.1.</t>
  </si>
  <si>
    <t>Štatutárne fondy</t>
  </si>
  <si>
    <t>091</t>
  </si>
  <si>
    <t>A.V.2</t>
  </si>
  <si>
    <t>Ostatné fondy</t>
  </si>
  <si>
    <t>092</t>
  </si>
  <si>
    <t>A.VI.</t>
  </si>
  <si>
    <t>093</t>
  </si>
  <si>
    <t>A.VI.1.</t>
  </si>
  <si>
    <t>Oceňovacie rozdiely z precenenia majetku a záväzkov súčet</t>
  </si>
  <si>
    <t>094</t>
  </si>
  <si>
    <t>A.VI.2.</t>
  </si>
  <si>
    <t>Oceňovacie rozdiely z kapitálových účastín</t>
  </si>
  <si>
    <t>095</t>
  </si>
  <si>
    <t>A.VI.3.</t>
  </si>
  <si>
    <t>Oceňovacie rozdiely z precenenia pri zlúčení, splynutí a rozdelení</t>
  </si>
  <si>
    <t>096</t>
  </si>
  <si>
    <t>A.VII.</t>
  </si>
  <si>
    <t>097</t>
  </si>
  <si>
    <t>A.VII.1.</t>
  </si>
  <si>
    <t>Nerozdelený zisk z minulých rokov</t>
  </si>
  <si>
    <t>098</t>
  </si>
  <si>
    <t>A.VII.2</t>
  </si>
  <si>
    <t>Neuhradená strata minulých rokov</t>
  </si>
  <si>
    <t>099</t>
  </si>
  <si>
    <t>A.VIII.</t>
  </si>
  <si>
    <t>100</t>
  </si>
  <si>
    <t>B.</t>
  </si>
  <si>
    <t>101</t>
  </si>
  <si>
    <t>102</t>
  </si>
  <si>
    <t>B.I.1.</t>
  </si>
  <si>
    <t>103</t>
  </si>
  <si>
    <t>B.I.1.a.</t>
  </si>
  <si>
    <t>Záväzky z obchodného styku voči prepojeným účtovným jednotkám</t>
  </si>
  <si>
    <t>104</t>
  </si>
  <si>
    <t>B.I.1.b.</t>
  </si>
  <si>
    <t>Záväzky z obchodného styku v rámci podielovej účasti okrem záväzkov voči prepojeným účtovným jednotkám</t>
  </si>
  <si>
    <t>105</t>
  </si>
  <si>
    <t>B.I.1.c.</t>
  </si>
  <si>
    <t>Ostatné záväzky z obchodného styku</t>
  </si>
  <si>
    <t>106</t>
  </si>
  <si>
    <t>B.I.2.</t>
  </si>
  <si>
    <t>107</t>
  </si>
  <si>
    <t>B.I.3.</t>
  </si>
  <si>
    <t>Ostatné záväzky voči prepojeným účtovným jednotkám</t>
  </si>
  <si>
    <t>108</t>
  </si>
  <si>
    <t>B.I.4.</t>
  </si>
  <si>
    <t>Ostatné záväzky v rámci podielovej účasti okrem záväzkov voči prepojeným účtovným jednotkám</t>
  </si>
  <si>
    <t>109</t>
  </si>
  <si>
    <t>B.I.5.</t>
  </si>
  <si>
    <t>Ostatné dlhodobé záväzky</t>
  </si>
  <si>
    <t>110</t>
  </si>
  <si>
    <t>B.I.6.</t>
  </si>
  <si>
    <t>Dlhodobé prijaté preddavky</t>
  </si>
  <si>
    <t>111</t>
  </si>
  <si>
    <t>B.I.7.</t>
  </si>
  <si>
    <t>Dlhodobé zmenky na úhradu</t>
  </si>
  <si>
    <t>112</t>
  </si>
  <si>
    <t>B.I.8.</t>
  </si>
  <si>
    <t>Vydané dlhopisy</t>
  </si>
  <si>
    <t>113</t>
  </si>
  <si>
    <t>B.I.9.</t>
  </si>
  <si>
    <t>Záväzky zo sociálneho fondu</t>
  </si>
  <si>
    <t>114</t>
  </si>
  <si>
    <t>B.I.10.</t>
  </si>
  <si>
    <t>Iné dlhodobé záväzky</t>
  </si>
  <si>
    <t>115</t>
  </si>
  <si>
    <t>B.I.11.</t>
  </si>
  <si>
    <t>Dlhodobé záväzky z derivátových operácií</t>
  </si>
  <si>
    <t>116</t>
  </si>
  <si>
    <t>B.I.12.</t>
  </si>
  <si>
    <t>Odložený daňový záväzok</t>
  </si>
  <si>
    <t>117</t>
  </si>
  <si>
    <t>118</t>
  </si>
  <si>
    <t>B.II.1.</t>
  </si>
  <si>
    <t>Zákonné rezervy</t>
  </si>
  <si>
    <t>119</t>
  </si>
  <si>
    <t>B.II.2.</t>
  </si>
  <si>
    <t>Ostatné rezervy</t>
  </si>
  <si>
    <t>120</t>
  </si>
  <si>
    <t>Dlhodobé bankové úvery</t>
  </si>
  <si>
    <t>121</t>
  </si>
  <si>
    <t>122</t>
  </si>
  <si>
    <t>B.IV.1.</t>
  </si>
  <si>
    <t>123</t>
  </si>
  <si>
    <t>B.IV.1.a.</t>
  </si>
  <si>
    <t>124</t>
  </si>
  <si>
    <t>B.IV.1.b.</t>
  </si>
  <si>
    <t>125</t>
  </si>
  <si>
    <t>B.IV.1.c.</t>
  </si>
  <si>
    <t>126</t>
  </si>
  <si>
    <t>B.IV.2.</t>
  </si>
  <si>
    <t>127</t>
  </si>
  <si>
    <t>B.IV.3.</t>
  </si>
  <si>
    <t>128</t>
  </si>
  <si>
    <t>B.IV.4.</t>
  </si>
  <si>
    <t>129</t>
  </si>
  <si>
    <t>B.IV.5.</t>
  </si>
  <si>
    <t>Záväzky voči spoločníkom a združeniu</t>
  </si>
  <si>
    <t>130</t>
  </si>
  <si>
    <t>B.IV.6.</t>
  </si>
  <si>
    <t>Záväzky voči zamestnancom</t>
  </si>
  <si>
    <t>131</t>
  </si>
  <si>
    <t>B.IV.7.</t>
  </si>
  <si>
    <t>Záväzky zo sociálneho poistenia</t>
  </si>
  <si>
    <t>132</t>
  </si>
  <si>
    <t>B.IV.8.</t>
  </si>
  <si>
    <t>Daňové záväzky a dotácie</t>
  </si>
  <si>
    <t>133</t>
  </si>
  <si>
    <t>B.IV.9.</t>
  </si>
  <si>
    <t>Záväzky z derivátových operácií</t>
  </si>
  <si>
    <t>134</t>
  </si>
  <si>
    <t>B.IV.10.</t>
  </si>
  <si>
    <t>Iné záväzky</t>
  </si>
  <si>
    <t>135</t>
  </si>
  <si>
    <t>136</t>
  </si>
  <si>
    <t>137</t>
  </si>
  <si>
    <t>138</t>
  </si>
  <si>
    <t>B.VI.</t>
  </si>
  <si>
    <t xml:space="preserve">Bežné bankové úvery </t>
  </si>
  <si>
    <t>139</t>
  </si>
  <si>
    <t>B.VII.</t>
  </si>
  <si>
    <t>Krátkodobé finančné výpomoci</t>
  </si>
  <si>
    <t>140</t>
  </si>
  <si>
    <t>C.</t>
  </si>
  <si>
    <t>141</t>
  </si>
  <si>
    <t>C.1.</t>
  </si>
  <si>
    <t>Výdavky budúcich období dlhodobé</t>
  </si>
  <si>
    <t>142</t>
  </si>
  <si>
    <t>C.2.</t>
  </si>
  <si>
    <t>Výdavky budúcich období krátkodobé</t>
  </si>
  <si>
    <t>143</t>
  </si>
  <si>
    <t>C.3.</t>
  </si>
  <si>
    <t>Výnosy budúcich období dlhodobé</t>
  </si>
  <si>
    <t>144</t>
  </si>
  <si>
    <t>C.4.</t>
  </si>
  <si>
    <t>Výnosy budúcich období krátkodobé</t>
  </si>
  <si>
    <t>145</t>
  </si>
  <si>
    <t>Výkaz ziskov a strát</t>
  </si>
  <si>
    <t>*</t>
  </si>
  <si>
    <t>Čistý obrat (časť účt. Tr. 6 podľa zákona)</t>
  </si>
  <si>
    <t>**</t>
  </si>
  <si>
    <t>I.</t>
  </si>
  <si>
    <t>Tržby z predaja tovaru</t>
  </si>
  <si>
    <t>II.</t>
  </si>
  <si>
    <t>Tržby z predaja vlastných výrobkov</t>
  </si>
  <si>
    <t>04</t>
  </si>
  <si>
    <t>III.</t>
  </si>
  <si>
    <t>Tržby z predaja služieb</t>
  </si>
  <si>
    <t>IV.</t>
  </si>
  <si>
    <t>Zmeny stavu vnútroorganizačných zásob</t>
  </si>
  <si>
    <t>V.</t>
  </si>
  <si>
    <t>Aktivácia</t>
  </si>
  <si>
    <t>VI.</t>
  </si>
  <si>
    <t>Tržby z predaja dlhodobého nehmotného majetku, dlhodobého hmotného ajetku a materiálu</t>
  </si>
  <si>
    <t>VII.</t>
  </si>
  <si>
    <t>Ostatné vynosy z hospodárskej činnosti</t>
  </si>
  <si>
    <t>A.</t>
  </si>
  <si>
    <t>Náklady vynaložené na obstaranie predaného tovaru</t>
  </si>
  <si>
    <t>Spotreba materiálu, energie a ostatných neskladovateľný dodávok</t>
  </si>
  <si>
    <t>Opravné položky k zásobám</t>
  </si>
  <si>
    <t>D.</t>
  </si>
  <si>
    <t>Služby</t>
  </si>
  <si>
    <t>E.</t>
  </si>
  <si>
    <t>E.1.</t>
  </si>
  <si>
    <t>Mzdové náklady</t>
  </si>
  <si>
    <t>E.2.</t>
  </si>
  <si>
    <t>Odmeny členom orgánov spoločnosti a družstva</t>
  </si>
  <si>
    <t>E.3.</t>
  </si>
  <si>
    <t>Náklady na sociálne poistenie</t>
  </si>
  <si>
    <t>E.4.</t>
  </si>
  <si>
    <t>Sociálne náklady</t>
  </si>
  <si>
    <t>F.</t>
  </si>
  <si>
    <t>Dane a poplatky</t>
  </si>
  <si>
    <t>G.</t>
  </si>
  <si>
    <t>Odpisy a opravné položky k dlhodobému nehmotnému majetku a dlhodobému hmotnému majetku</t>
  </si>
  <si>
    <t>G.1.</t>
  </si>
  <si>
    <t>Odpisy dlhodobého nehmotného majetku a dlhodobého hmotného majetku</t>
  </si>
  <si>
    <t>G.2.</t>
  </si>
  <si>
    <t>Opravné položky k dlhodobému nehmotnému majetku a dlhodobému hmotnému majetku</t>
  </si>
  <si>
    <t>H.</t>
  </si>
  <si>
    <t>Zostatková cena predaného dlhodobého majetku a predaného materiálu</t>
  </si>
  <si>
    <t>Opravné položky k pohľadávkam</t>
  </si>
  <si>
    <t>J.</t>
  </si>
  <si>
    <t>Ostatné náklady na hospodársku činnosť</t>
  </si>
  <si>
    <t>***</t>
  </si>
  <si>
    <t>VIII.</t>
  </si>
  <si>
    <t>Tržby z predaja cenných papierov a podielov</t>
  </si>
  <si>
    <t>IX.</t>
  </si>
  <si>
    <t>IX.1.</t>
  </si>
  <si>
    <t>Výnosy z cenných papierov a podielov od prepojených účtovných jednotiek</t>
  </si>
  <si>
    <t>IX.2.</t>
  </si>
  <si>
    <t>Výnosy z cenných papierov a podielov v podielovej účasti okrem výnosov prepojených účtovných jednotiek</t>
  </si>
  <si>
    <t>IX.3.</t>
  </si>
  <si>
    <t>Ostatné výnosy z cenných papierov a podielov</t>
  </si>
  <si>
    <t>34</t>
  </si>
  <si>
    <t>X.</t>
  </si>
  <si>
    <t>X.1.</t>
  </si>
  <si>
    <t>Výnosy z krátkodobého finančného majetku od prepojených účtovných jednotiek</t>
  </si>
  <si>
    <t>X.2.</t>
  </si>
  <si>
    <t>Výnosy z krátkodobého finančného majetku v podielovej účasti okrem výnosov prepojených účtovných jednotiek</t>
  </si>
  <si>
    <t>X.3.</t>
  </si>
  <si>
    <t>Ostatné výnosy z krátkodobého finančného majetku</t>
  </si>
  <si>
    <t>XI.</t>
  </si>
  <si>
    <t>XI.1.</t>
  </si>
  <si>
    <t>Výnosové úroky od prepojených účtvných jednotiek</t>
  </si>
  <si>
    <t>40</t>
  </si>
  <si>
    <t>XI.2.</t>
  </si>
  <si>
    <t>Ostatné výnosové úroky</t>
  </si>
  <si>
    <t>XII.</t>
  </si>
  <si>
    <t>Kurzové zisky</t>
  </si>
  <si>
    <t>XIII.</t>
  </si>
  <si>
    <t>Výnosy z precenenia cenných papierov a výnosy z derivátových operácií</t>
  </si>
  <si>
    <t>XIV.</t>
  </si>
  <si>
    <t>Ostatné výnosy z finančnej činnosti</t>
  </si>
  <si>
    <t>44</t>
  </si>
  <si>
    <t>K.</t>
  </si>
  <si>
    <t>Predané cenné papiere a podiely</t>
  </si>
  <si>
    <t>L.</t>
  </si>
  <si>
    <t>Náklady na krátkodobý finančný majetok</t>
  </si>
  <si>
    <t>M.</t>
  </si>
  <si>
    <t>Opravné položky k finančnému majetku</t>
  </si>
  <si>
    <t>48</t>
  </si>
  <si>
    <t>N.</t>
  </si>
  <si>
    <t>N.1.</t>
  </si>
  <si>
    <t>Nákladové úroky pre prepojené účtovné jednotky</t>
  </si>
  <si>
    <t>N.2.</t>
  </si>
  <si>
    <t>Ostatné nákladové úroky</t>
  </si>
  <si>
    <t>O.</t>
  </si>
  <si>
    <t>Kurzové straty</t>
  </si>
  <si>
    <t>P.</t>
  </si>
  <si>
    <t>Náklady na precenenie cenných papierov a náklady na derivátové operácie</t>
  </si>
  <si>
    <t>Q.</t>
  </si>
  <si>
    <t>Ostatné náklady na finančnú činnosť</t>
  </si>
  <si>
    <t>54</t>
  </si>
  <si>
    <t>****</t>
  </si>
  <si>
    <t>R.</t>
  </si>
  <si>
    <t>57</t>
  </si>
  <si>
    <t>R.1.</t>
  </si>
  <si>
    <t>Daň z príjmov splatná</t>
  </si>
  <si>
    <t>R.2.</t>
  </si>
  <si>
    <t>Daň z príjmov odložená</t>
  </si>
  <si>
    <t>S.</t>
  </si>
  <si>
    <t>Prevod podielov na výsledku hospodárenia spoločníkom</t>
  </si>
  <si>
    <t>Spolu majetok</t>
  </si>
  <si>
    <t>[02+33+74]</t>
  </si>
  <si>
    <t>Neobežný majetok</t>
  </si>
  <si>
    <t>[03+11+21]</t>
  </si>
  <si>
    <t>Dlhodobý nehmotný majetok súčet</t>
  </si>
  <si>
    <t>[04+..+10]</t>
  </si>
  <si>
    <t>Dlhodobý hmotný majetok súčet</t>
  </si>
  <si>
    <t>[12+..+20]</t>
  </si>
  <si>
    <t>Dlhodobý finančný majetok súčet</t>
  </si>
  <si>
    <t>[22+..+32]</t>
  </si>
  <si>
    <t>Podielové cenné papiere a podiely v prepojených účtovných jednotkách</t>
  </si>
  <si>
    <t>(061A, 062A, 063A)-/096A/</t>
  </si>
  <si>
    <t>Podielové cenné papiere a podiely s podielovou účasťou okrem v prepojených účtovných jednotkách</t>
  </si>
  <si>
    <t>(062A)-/096A/</t>
  </si>
  <si>
    <t>Ostatné realizovateľné cenné papiere a podiely</t>
  </si>
  <si>
    <t>(063A)-/096A/</t>
  </si>
  <si>
    <t>Pôžičky prepojeným účtovným jednotkám</t>
  </si>
  <si>
    <t>(066A)-/096A/</t>
  </si>
  <si>
    <t>Pôžičky v rámci podielovej účasti okrem prepojeným účtovným jednotkám</t>
  </si>
  <si>
    <t>Ostatné pôžičky</t>
  </si>
  <si>
    <t>(067A)-/096A/</t>
  </si>
  <si>
    <t>Dlhové cenné papiere a ostatný dlhodobý finančný majetok</t>
  </si>
  <si>
    <t>(065A, 069A, 06XA)-/096A/</t>
  </si>
  <si>
    <t>Pôžičky a ostatný dlhodobý finančný majetok so zostatkovou dobou splatnosti najviac jeden rok</t>
  </si>
  <si>
    <t>(066A, 067A, 069A, 06XA)-/096A/</t>
  </si>
  <si>
    <t>Účty v bankách s dobou viazanosti dlhšou ako jeden rok</t>
  </si>
  <si>
    <t>(22XA)</t>
  </si>
  <si>
    <t>(043)-/096A/</t>
  </si>
  <si>
    <t>Obstarávaný dlhodobý finančný majetok</t>
  </si>
  <si>
    <t>Poskytnuté preddavky na dlhodobý finančny majetok</t>
  </si>
  <si>
    <t>(053)-/095A/</t>
  </si>
  <si>
    <t>Obežný majetok</t>
  </si>
  <si>
    <t>[34+41+53+66+71]</t>
  </si>
  <si>
    <t>Zásoby súčet</t>
  </si>
  <si>
    <t>[35+..+40]</t>
  </si>
  <si>
    <t>Dlhodobé pohľadávky súčet</t>
  </si>
  <si>
    <t>[42+46+..+52]</t>
  </si>
  <si>
    <t>Pohľadávky z obchodného styku súčet</t>
  </si>
  <si>
    <t>[43+..+45]</t>
  </si>
  <si>
    <t>Pohľadávky z obchodného styku voči prepojeným účtovným jednotkám</t>
  </si>
  <si>
    <t>(311A, 312A, 313A, 314A, 315A, 31XA)-/391A/</t>
  </si>
  <si>
    <t>Pohľadávky z obchodného styku v rámci podielovej účasti okrem pohľadávok voči prepojeným účtovným jednotkám</t>
  </si>
  <si>
    <t>Ostatné pohľadávky z obchodného styku</t>
  </si>
  <si>
    <t>Ostatné pohľadávky voči prepojeným účtovným jednotkám</t>
  </si>
  <si>
    <t>(351A)-/391A/</t>
  </si>
  <si>
    <t>Ostatné pohľadávky v rámci podielovej účasti okrem pohľadávok voči prepojeným účtovným jednotkám</t>
  </si>
  <si>
    <t>(373A, 376A)</t>
  </si>
  <si>
    <t>Krátkodobé pohľadávky súčet</t>
  </si>
  <si>
    <t>[54+58+...+065]</t>
  </si>
  <si>
    <t>[55+...+57]</t>
  </si>
  <si>
    <t>Krátkodobý finančný majetok súčet</t>
  </si>
  <si>
    <t>[67+...+70]</t>
  </si>
  <si>
    <t>Krátkodobý finančný majetok v prepojených účtovných jednotkách</t>
  </si>
  <si>
    <t>(251A, 253A, 256A, 257A, 25XA)-/291A, 29XA/</t>
  </si>
  <si>
    <t>Krátkodobý finančný majetok bez krátkodobého finančného majetku v prepojených účtovných jednotkách</t>
  </si>
  <si>
    <t xml:space="preserve">Vlastné akcie a vlastné obchodné podiely </t>
  </si>
  <si>
    <t>Obstarávaný krátkodobý finančný majetok</t>
  </si>
  <si>
    <t>(259, 314A)-/291A/</t>
  </si>
  <si>
    <t>Finančné účty súčet</t>
  </si>
  <si>
    <t>[72+..+73]</t>
  </si>
  <si>
    <t>Časové rozlíšenie súčet</t>
  </si>
  <si>
    <t>[75+...+78]</t>
  </si>
  <si>
    <t>Spolu vlastné imanie a záväzky</t>
  </si>
  <si>
    <t>[80+101+141]</t>
  </si>
  <si>
    <t>Vlastné imanie</t>
  </si>
  <si>
    <t>[81+85+86+87+90+93+97+100]</t>
  </si>
  <si>
    <t>Základné imanie súčet</t>
  </si>
  <si>
    <t>[82+..+84]</t>
  </si>
  <si>
    <t>Zákonné rezervné fondy</t>
  </si>
  <si>
    <t>[88+89]</t>
  </si>
  <si>
    <t>Ostatné fondy zo zisku</t>
  </si>
  <si>
    <t>[91+92]</t>
  </si>
  <si>
    <t>Oceňovacie rozdiely z precenenia súčet</t>
  </si>
  <si>
    <t>[94+95+96]</t>
  </si>
  <si>
    <t>Výsledok hospodárenia minulých rokov</t>
  </si>
  <si>
    <t>[98+99]</t>
  </si>
  <si>
    <t>Výsledok hospodárenia za účtovné obdobie po zdanení</t>
  </si>
  <si>
    <t>[01-(81+85+86+87+90+93+97+101+141)]</t>
  </si>
  <si>
    <t>Záväzky</t>
  </si>
  <si>
    <t>[102+118+121+122+136+139+140]</t>
  </si>
  <si>
    <t>Dlhodobé záväzky súčet</t>
  </si>
  <si>
    <t>[103+107+...+117]</t>
  </si>
  <si>
    <t>Dlhodobé záväzky z obchodného styku súčet</t>
  </si>
  <si>
    <t>[104+105+106]</t>
  </si>
  <si>
    <t>Dlhodobé rezervy</t>
  </si>
  <si>
    <t>[119+120]</t>
  </si>
  <si>
    <t>Krátkodobé záväzky súčet</t>
  </si>
  <si>
    <t>[123+127+..+135]</t>
  </si>
  <si>
    <t>Záväzky z obchodného styku súčet</t>
  </si>
  <si>
    <t>[124+125+126]</t>
  </si>
  <si>
    <t>Krátkodobé rezervy</t>
  </si>
  <si>
    <t>[137+138]</t>
  </si>
  <si>
    <t>[142+..+145]</t>
  </si>
  <si>
    <t>Výnosy z hospodárskej činnosti spolu súčet</t>
  </si>
  <si>
    <t>[03+...+09]</t>
  </si>
  <si>
    <t>Náklady na hospodársku činnosť spolu</t>
  </si>
  <si>
    <t>[11+12+13+14+15+20+21+24+25+26]</t>
  </si>
  <si>
    <t>Osobné náklady</t>
  </si>
  <si>
    <t>[16+...+19]</t>
  </si>
  <si>
    <t>Výsledok hospodárenia z hospodárskej činnosti</t>
  </si>
  <si>
    <t>[02-10]</t>
  </si>
  <si>
    <t>Pridaná hodnota</t>
  </si>
  <si>
    <t>[(03+04+05+06+07)-(11+12+13+14)]</t>
  </si>
  <si>
    <t>Výnosy z finančnej činnosti spolu</t>
  </si>
  <si>
    <t>[30+31+35+39+42+43+44]</t>
  </si>
  <si>
    <t>Výnosy z dlhodobého finančného majetku</t>
  </si>
  <si>
    <t>[32+33+34]</t>
  </si>
  <si>
    <t>Výnosy z krátkodobého finančného majetku súčet</t>
  </si>
  <si>
    <t>[36+37+38]</t>
  </si>
  <si>
    <t>Výnosové úroky</t>
  </si>
  <si>
    <t>[40+41]</t>
  </si>
  <si>
    <t>Náklady na finančnú čínnosť spolu</t>
  </si>
  <si>
    <t>[46+47+48+49+52+53+54]</t>
  </si>
  <si>
    <t>Nákladové úroky</t>
  </si>
  <si>
    <t>[50+51]</t>
  </si>
  <si>
    <t>Výsledok hospodárenia z finančnej činnosti</t>
  </si>
  <si>
    <t>[29-45]</t>
  </si>
  <si>
    <t>Výsledok hospodárenia za účtovné obdobie pred zdanením</t>
  </si>
  <si>
    <t>[27+55]</t>
  </si>
  <si>
    <t>Daň z príjmov</t>
  </si>
  <si>
    <t>[58+59]</t>
  </si>
  <si>
    <t>[56-57-60]</t>
  </si>
  <si>
    <t>(AK071 + AK066 + AK053 + AK034) / PA122</t>
  </si>
  <si>
    <t>(AK071 + AK066 + AK053) / PA122</t>
  </si>
  <si>
    <t>AK071 / PA122</t>
  </si>
  <si>
    <t>VZS61 / AK001</t>
  </si>
  <si>
    <t>VZS61 / PA080</t>
  </si>
  <si>
    <t>VZS61 / VZS01</t>
  </si>
  <si>
    <t>PA101 / PA079</t>
  </si>
  <si>
    <t>PA101 / VZS (56+22+24-08)</t>
  </si>
  <si>
    <t>VZS01 / (AK033 - PA122)</t>
  </si>
  <si>
    <t>VZS01 / AK053</t>
  </si>
  <si>
    <t>Rok</t>
  </si>
  <si>
    <t>#</t>
  </si>
  <si>
    <t>min</t>
  </si>
  <si>
    <t>1. quartile</t>
  </si>
  <si>
    <t>median</t>
  </si>
  <si>
    <t>3. quartile</t>
  </si>
  <si>
    <t>max</t>
  </si>
  <si>
    <t>row</t>
  </si>
  <si>
    <t>eustream, a.s.</t>
  </si>
  <si>
    <t>Nemocnica Košice-Šaca a.s. 1. súkromná nemocnica</t>
  </si>
  <si>
    <t>Transpetrol, a.s.</t>
  </si>
  <si>
    <t>2016 - ratings</t>
  </si>
  <si>
    <t>2016 - ratios</t>
  </si>
  <si>
    <t>min positive</t>
  </si>
  <si>
    <t>x</t>
  </si>
  <si>
    <t>private / state-owned</t>
  </si>
  <si>
    <t>35910712</t>
  </si>
  <si>
    <t>49501</t>
  </si>
  <si>
    <t>Slovenské elektrárne, a.s.</t>
  </si>
  <si>
    <t>35829052</t>
  </si>
  <si>
    <t>Letisko Košice - Airport Košice, a.s.</t>
  </si>
  <si>
    <t>Letisko Piešťany, a.s.</t>
  </si>
  <si>
    <t>36579343</t>
  </si>
  <si>
    <t>36266906</t>
  </si>
  <si>
    <t>weight ("const" / "full" / "pow [number]")</t>
  </si>
  <si>
    <t>NACE reduced</t>
  </si>
  <si>
    <t>state</t>
  </si>
  <si>
    <t>other</t>
  </si>
  <si>
    <t>private</t>
  </si>
  <si>
    <t>name</t>
  </si>
  <si>
    <t>type</t>
  </si>
  <si>
    <t>share</t>
  </si>
  <si>
    <t>state|A</t>
  </si>
  <si>
    <t>state|M</t>
  </si>
  <si>
    <t>state|Q</t>
  </si>
  <si>
    <t>state|D</t>
  </si>
  <si>
    <t>state|H</t>
  </si>
  <si>
    <t>private|H</t>
  </si>
  <si>
    <t>private|D</t>
  </si>
  <si>
    <t>private|Q</t>
  </si>
  <si>
    <t>total</t>
  </si>
  <si>
    <t>state|other</t>
  </si>
  <si>
    <t>private|other</t>
  </si>
  <si>
    <t>Železnice Slovenskej republiky, a.s.</t>
  </si>
  <si>
    <t>Technická obnova a ochrana železníc, a.s.</t>
  </si>
  <si>
    <t>benchmarks</t>
  </si>
  <si>
    <t>rhs</t>
  </si>
  <si>
    <t>rest</t>
  </si>
  <si>
    <t>lhs</t>
  </si>
  <si>
    <t>k</t>
  </si>
  <si>
    <t>column</t>
  </si>
  <si>
    <t>Benchmarks</t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</si>
  <si>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</si>
  <si>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</si>
  <si>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</si>
  <si>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</si>
  <si>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</si>
  <si>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</si>
  <si>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</si>
  <si>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</si>
  <si>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</si>
  <si>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</si>
  <si>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</si>
  <si>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</si>
  <si>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</si>
  <si>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</si>
  <si>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</si>
  <si>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</si>
  <si>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</si>
  <si>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</si>
  <si>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>Other service activities</t>
  </si>
  <si>
    <t>Activities of households as employers; u0ndifferentiated goods- and services-producing activities of households for own use</t>
  </si>
  <si>
    <t>Activities of extraterritorial organisations and bodies</t>
  </si>
  <si>
    <t>Division</t>
  </si>
  <si>
    <t>Section</t>
  </si>
  <si>
    <t>Name</t>
  </si>
  <si>
    <t>-, 1/2 points if negative</t>
  </si>
  <si>
    <t>+ of absolute vaule</t>
  </si>
  <si>
    <t>-, /2 if&lt;0</t>
  </si>
  <si>
    <t>+ of abs</t>
  </si>
  <si>
    <t>pow 0,333333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</si>
</sst>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rgb="FF000000"/>
      <name val="Calibri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9C65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u/>
      <sz val="11"/>
      <color theme="10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0"/>
      <name val="Arial"/>
      <family val="2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</font>
    <font>
      <sz val="9"/>
      <color theme="0" tint="-0.249977111117893"/>
      <name val="Calibri"/>
      <family val="2"/>
      <charset val="238"/>
    </font>
    <font>
      <sz val="11"/>
      <color theme="0" tint="-0.249977111117893"/>
      <name val="Calibri"/>
      <family val="2"/>
      <charset val="238"/>
      <scheme val="minor"/>
    </font>
    <font>
      <b/>
      <sz val="11"/>
      <color theme="0" tint="-0.249977111117893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A5A5A5"/>
        <bgColor rgb="FFA5A5A5"/>
      </patternFill>
    </fill>
    <fill>
      <patternFill patternType="solid">
        <fgColor rgb="FF92D050"/>
        <bgColor rgb="FF92D050"/>
      </patternFill>
    </fill>
    <fill>
      <patternFill patternType="solid">
        <fgColor rgb="FF0070C0"/>
        <bgColor rgb="FF0070C0"/>
      </patternFill>
    </fill>
    <fill>
      <patternFill patternType="solid">
        <fgColor rgb="FF00B0F0"/>
        <bgColor rgb="FF00B0F0"/>
      </patternFill>
    </fill>
    <fill>
      <patternFill patternType="solid">
        <fgColor rgb="FFFFEB9C"/>
        <b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rgb="FFFFFF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dotted">
        <color rgb="FF000000"/>
      </right>
      <top/>
      <bottom/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tted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tted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thin">
        <color auto="1"/>
      </left>
      <right/>
      <top/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rgb="FF000000"/>
      </top>
      <bottom/>
      <diagonal/>
    </border>
    <border>
      <left/>
      <right style="thin">
        <color auto="1"/>
      </right>
      <top/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" fillId="0" borderId="55"/>
    <xf numFmtId="9" fontId="3" fillId="0" borderId="55" applyFont="0" applyFill="0" applyBorder="0" applyAlignment="0" applyProtection="0"/>
    <xf numFmtId="0" fontId="21" fillId="0" borderId="55"/>
    <xf numFmtId="9" fontId="21" fillId="0" borderId="55" applyFont="0" applyFill="0" applyBorder="0" applyAlignment="0" applyProtection="0"/>
    <xf numFmtId="0" fontId="2" fillId="0" borderId="55"/>
    <xf numFmtId="0" fontId="5" fillId="0" borderId="55"/>
  </cellStyleXfs>
  <cellXfs count="683">
    <xf numFmtId="0" fontId="0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top"/>
    </xf>
    <xf numFmtId="0" fontId="0" fillId="0" borderId="3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6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9" xfId="0" applyFont="1" applyBorder="1" applyAlignment="1">
      <alignment vertical="top"/>
    </xf>
    <xf numFmtId="0" fontId="0" fillId="0" borderId="12" xfId="0" applyFont="1" applyBorder="1" applyAlignment="1">
      <alignment vertical="top"/>
    </xf>
    <xf numFmtId="0" fontId="0" fillId="3" borderId="15" xfId="0" applyFont="1" applyFill="1" applyBorder="1" applyAlignment="1">
      <alignment vertical="top"/>
    </xf>
    <xf numFmtId="0" fontId="0" fillId="3" borderId="24" xfId="0" applyFont="1" applyFill="1" applyBorder="1" applyAlignment="1">
      <alignment vertical="top"/>
    </xf>
    <xf numFmtId="0" fontId="6" fillId="4" borderId="27" xfId="0" applyFont="1" applyFill="1" applyBorder="1" applyAlignment="1">
      <alignment horizontal="left" vertical="top"/>
    </xf>
    <xf numFmtId="0" fontId="6" fillId="4" borderId="28" xfId="0" applyFont="1" applyFill="1" applyBorder="1" applyAlignment="1">
      <alignment horizontal="left" vertical="top" wrapText="1"/>
    </xf>
    <xf numFmtId="0" fontId="0" fillId="0" borderId="29" xfId="0" applyFont="1" applyBorder="1" applyAlignment="1">
      <alignment vertical="top"/>
    </xf>
    <xf numFmtId="3" fontId="0" fillId="4" borderId="30" xfId="0" applyNumberFormat="1" applyFont="1" applyFill="1" applyBorder="1" applyAlignment="1">
      <alignment horizontal="center" vertical="center"/>
    </xf>
    <xf numFmtId="3" fontId="0" fillId="4" borderId="31" xfId="0" applyNumberFormat="1" applyFont="1" applyFill="1" applyBorder="1" applyAlignment="1">
      <alignment horizontal="center" vertical="center"/>
    </xf>
    <xf numFmtId="3" fontId="0" fillId="4" borderId="32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horizontal="center" vertical="center"/>
    </xf>
    <xf numFmtId="3" fontId="0" fillId="4" borderId="28" xfId="0" applyNumberFormat="1" applyFont="1" applyFill="1" applyBorder="1" applyAlignment="1">
      <alignment horizontal="center" vertical="center"/>
    </xf>
    <xf numFmtId="0" fontId="0" fillId="4" borderId="33" xfId="0" applyFont="1" applyFill="1" applyBorder="1" applyAlignment="1">
      <alignment horizontal="center" vertical="top"/>
    </xf>
    <xf numFmtId="0" fontId="0" fillId="4" borderId="21" xfId="0" applyFont="1" applyFill="1" applyBorder="1" applyAlignment="1">
      <alignment horizontal="center" vertical="top"/>
    </xf>
    <xf numFmtId="0" fontId="0" fillId="4" borderId="28" xfId="0" applyFont="1" applyFill="1" applyBorder="1" applyAlignment="1">
      <alignment vertical="top"/>
    </xf>
    <xf numFmtId="0" fontId="0" fillId="4" borderId="21" xfId="0" applyFont="1" applyFill="1" applyBorder="1" applyAlignment="1">
      <alignment vertical="top"/>
    </xf>
    <xf numFmtId="0" fontId="0" fillId="4" borderId="33" xfId="0" applyFont="1" applyFill="1" applyBorder="1" applyAlignment="1">
      <alignment vertical="top"/>
    </xf>
    <xf numFmtId="0" fontId="0" fillId="0" borderId="34" xfId="0" applyFont="1" applyBorder="1" applyAlignment="1">
      <alignment horizontal="left" vertical="top"/>
    </xf>
    <xf numFmtId="0" fontId="0" fillId="0" borderId="0" xfId="0" applyFont="1" applyAlignment="1">
      <alignment horizontal="left" vertical="top" wrapText="1"/>
    </xf>
    <xf numFmtId="3" fontId="0" fillId="0" borderId="35" xfId="0" applyNumberFormat="1" applyFont="1" applyBorder="1" applyAlignment="1">
      <alignment horizontal="center" vertical="center"/>
    </xf>
    <xf numFmtId="3" fontId="0" fillId="0" borderId="36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3" fontId="0" fillId="0" borderId="35" xfId="0" applyNumberFormat="1" applyFont="1" applyBorder="1" applyAlignment="1">
      <alignment horizontal="center" vertical="top"/>
    </xf>
    <xf numFmtId="3" fontId="0" fillId="0" borderId="12" xfId="0" applyNumberFormat="1" applyFont="1" applyBorder="1" applyAlignment="1">
      <alignment horizontal="center" vertical="top"/>
    </xf>
    <xf numFmtId="3" fontId="0" fillId="0" borderId="3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0" fillId="0" borderId="16" xfId="0" applyNumberFormat="1" applyFont="1" applyBorder="1" applyAlignment="1">
      <alignment horizontal="center" vertical="center"/>
    </xf>
    <xf numFmtId="3" fontId="0" fillId="0" borderId="16" xfId="0" applyNumberFormat="1" applyFont="1" applyBorder="1" applyAlignment="1">
      <alignment horizontal="center" vertical="top"/>
    </xf>
    <xf numFmtId="3" fontId="0" fillId="0" borderId="37" xfId="0" applyNumberFormat="1" applyFont="1" applyBorder="1" applyAlignment="1">
      <alignment horizontal="center" vertical="top"/>
    </xf>
    <xf numFmtId="3" fontId="0" fillId="0" borderId="16" xfId="0" applyNumberFormat="1" applyFont="1" applyBorder="1" applyAlignment="1">
      <alignment vertical="top"/>
    </xf>
    <xf numFmtId="3" fontId="0" fillId="0" borderId="37" xfId="0" applyNumberFormat="1" applyFont="1" applyBorder="1" applyAlignment="1">
      <alignment vertical="top"/>
    </xf>
    <xf numFmtId="3" fontId="0" fillId="0" borderId="38" xfId="0" applyNumberFormat="1" applyFont="1" applyBorder="1" applyAlignment="1">
      <alignment vertical="top"/>
    </xf>
    <xf numFmtId="3" fontId="0" fillId="0" borderId="39" xfId="0" applyNumberFormat="1" applyFont="1" applyBorder="1" applyAlignment="1">
      <alignment vertical="top"/>
    </xf>
    <xf numFmtId="0" fontId="0" fillId="0" borderId="34" xfId="0" applyFont="1" applyBorder="1" applyAlignment="1">
      <alignment horizontal="left" vertical="top" wrapText="1"/>
    </xf>
    <xf numFmtId="3" fontId="0" fillId="0" borderId="35" xfId="0" applyNumberFormat="1" applyFont="1" applyBorder="1" applyAlignment="1">
      <alignment vertical="top"/>
    </xf>
    <xf numFmtId="3" fontId="0" fillId="0" borderId="12" xfId="0" applyNumberFormat="1" applyFont="1" applyBorder="1" applyAlignment="1">
      <alignment vertical="top"/>
    </xf>
    <xf numFmtId="3" fontId="0" fillId="0" borderId="0" xfId="0" applyNumberFormat="1" applyFont="1" applyAlignment="1">
      <alignment vertical="top"/>
    </xf>
    <xf numFmtId="3" fontId="0" fillId="0" borderId="42" xfId="0" applyNumberFormat="1" applyFont="1" applyBorder="1" applyAlignment="1">
      <alignment vertical="top"/>
    </xf>
    <xf numFmtId="3" fontId="0" fillId="0" borderId="36" xfId="0" applyNumberFormat="1" applyFont="1" applyBorder="1" applyAlignment="1">
      <alignment horizontal="center" vertical="top"/>
    </xf>
    <xf numFmtId="3" fontId="0" fillId="0" borderId="25" xfId="0" applyNumberFormat="1" applyFont="1" applyBorder="1" applyAlignment="1">
      <alignment horizontal="center" vertical="center"/>
    </xf>
    <xf numFmtId="3" fontId="0" fillId="0" borderId="40" xfId="0" applyNumberFormat="1" applyFont="1" applyBorder="1" applyAlignment="1">
      <alignment horizontal="center" vertical="center"/>
    </xf>
    <xf numFmtId="3" fontId="0" fillId="0" borderId="25" xfId="0" applyNumberFormat="1" applyFont="1" applyBorder="1" applyAlignment="1">
      <alignment horizontal="center" vertical="top"/>
    </xf>
    <xf numFmtId="3" fontId="0" fillId="0" borderId="25" xfId="0" applyNumberFormat="1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27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 wrapText="1"/>
    </xf>
    <xf numFmtId="0" fontId="4" fillId="0" borderId="29" xfId="0" applyFont="1" applyBorder="1" applyAlignment="1">
      <alignment vertical="top"/>
    </xf>
    <xf numFmtId="3" fontId="4" fillId="0" borderId="30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horizontal="center" vertical="center"/>
    </xf>
    <xf numFmtId="3" fontId="4" fillId="0" borderId="30" xfId="0" applyNumberFormat="1" applyFont="1" applyBorder="1" applyAlignment="1">
      <alignment horizontal="center" vertical="top"/>
    </xf>
    <xf numFmtId="3" fontId="4" fillId="0" borderId="20" xfId="0" applyNumberFormat="1" applyFont="1" applyBorder="1" applyAlignment="1">
      <alignment horizontal="center" vertical="top"/>
    </xf>
    <xf numFmtId="3" fontId="4" fillId="0" borderId="30" xfId="0" applyNumberFormat="1" applyFont="1" applyBorder="1" applyAlignment="1">
      <alignment vertical="top"/>
    </xf>
    <xf numFmtId="3" fontId="4" fillId="0" borderId="20" xfId="0" applyNumberFormat="1" applyFont="1" applyBorder="1" applyAlignment="1">
      <alignment vertical="top"/>
    </xf>
    <xf numFmtId="3" fontId="4" fillId="0" borderId="43" xfId="0" applyNumberFormat="1" applyFont="1" applyBorder="1" applyAlignment="1">
      <alignment vertical="top"/>
    </xf>
    <xf numFmtId="3" fontId="4" fillId="0" borderId="44" xfId="0" applyNumberFormat="1" applyFont="1" applyBorder="1" applyAlignment="1">
      <alignment vertical="top"/>
    </xf>
    <xf numFmtId="0" fontId="0" fillId="0" borderId="0" xfId="0" applyFont="1" applyAlignment="1">
      <alignment horizontal="left" vertical="top"/>
    </xf>
    <xf numFmtId="3" fontId="0" fillId="0" borderId="44" xfId="0" applyNumberFormat="1" applyFont="1" applyBorder="1" applyAlignment="1">
      <alignment horizontal="center" vertical="center"/>
    </xf>
    <xf numFmtId="3" fontId="0" fillId="0" borderId="43" xfId="0" applyNumberFormat="1" applyFont="1" applyBorder="1" applyAlignment="1">
      <alignment horizontal="center" vertical="center"/>
    </xf>
    <xf numFmtId="3" fontId="0" fillId="0" borderId="45" xfId="0" applyNumberFormat="1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top"/>
    </xf>
    <xf numFmtId="0" fontId="6" fillId="0" borderId="27" xfId="0" applyFont="1" applyBorder="1" applyAlignment="1">
      <alignment horizontal="left" vertical="top"/>
    </xf>
    <xf numFmtId="0" fontId="6" fillId="0" borderId="43" xfId="0" applyFont="1" applyBorder="1" applyAlignment="1">
      <alignment horizontal="left" vertical="top" wrapText="1"/>
    </xf>
    <xf numFmtId="3" fontId="0" fillId="0" borderId="30" xfId="0" applyNumberFormat="1" applyFont="1" applyBorder="1" applyAlignment="1">
      <alignment horizontal="center" vertical="center"/>
    </xf>
    <xf numFmtId="3" fontId="0" fillId="0" borderId="31" xfId="0" applyNumberFormat="1" applyFont="1" applyBorder="1" applyAlignment="1">
      <alignment horizontal="center" vertical="center"/>
    </xf>
    <xf numFmtId="3" fontId="0" fillId="0" borderId="20" xfId="0" applyNumberFormat="1" applyFont="1" applyBorder="1" applyAlignment="1">
      <alignment horizontal="center" vertical="center"/>
    </xf>
    <xf numFmtId="3" fontId="0" fillId="0" borderId="30" xfId="0" applyNumberFormat="1" applyFont="1" applyBorder="1" applyAlignment="1">
      <alignment horizontal="center" vertical="top"/>
    </xf>
    <xf numFmtId="3" fontId="0" fillId="0" borderId="20" xfId="0" applyNumberFormat="1" applyFont="1" applyBorder="1" applyAlignment="1">
      <alignment horizontal="center" vertical="top"/>
    </xf>
    <xf numFmtId="3" fontId="0" fillId="0" borderId="30" xfId="0" applyNumberFormat="1" applyFont="1" applyBorder="1" applyAlignment="1">
      <alignment vertical="top"/>
    </xf>
    <xf numFmtId="3" fontId="0" fillId="0" borderId="20" xfId="0" applyNumberFormat="1" applyFont="1" applyBorder="1" applyAlignment="1">
      <alignment vertical="top"/>
    </xf>
    <xf numFmtId="3" fontId="0" fillId="0" borderId="43" xfId="0" applyNumberFormat="1" applyFont="1" applyBorder="1" applyAlignment="1">
      <alignment vertical="top"/>
    </xf>
    <xf numFmtId="0" fontId="0" fillId="0" borderId="13" xfId="0" applyFont="1" applyBorder="1" applyAlignment="1">
      <alignment horizontal="left" vertical="top"/>
    </xf>
    <xf numFmtId="3" fontId="0" fillId="0" borderId="37" xfId="0" applyNumberFormat="1" applyFont="1" applyBorder="1" applyAlignment="1">
      <alignment horizontal="center" vertical="center"/>
    </xf>
    <xf numFmtId="3" fontId="0" fillId="0" borderId="46" xfId="0" applyNumberFormat="1" applyFont="1" applyBorder="1" applyAlignment="1">
      <alignment horizontal="center" vertical="center"/>
    </xf>
    <xf numFmtId="3" fontId="0" fillId="0" borderId="40" xfId="0" applyNumberFormat="1" applyFont="1" applyBorder="1" applyAlignment="1">
      <alignment vertical="top"/>
    </xf>
    <xf numFmtId="0" fontId="4" fillId="0" borderId="27" xfId="0" applyFont="1" applyBorder="1" applyAlignment="1">
      <alignment horizontal="left" vertical="top"/>
    </xf>
    <xf numFmtId="0" fontId="4" fillId="0" borderId="43" xfId="0" applyFont="1" applyBorder="1" applyAlignment="1">
      <alignment horizontal="left" vertical="top"/>
    </xf>
    <xf numFmtId="3" fontId="4" fillId="0" borderId="45" xfId="0" applyNumberFormat="1" applyFont="1" applyBorder="1" applyAlignment="1">
      <alignment horizontal="center" vertical="center"/>
    </xf>
    <xf numFmtId="3" fontId="4" fillId="5" borderId="47" xfId="0" applyNumberFormat="1" applyFont="1" applyFill="1" applyBorder="1" applyAlignment="1">
      <alignment horizontal="center" vertical="center"/>
    </xf>
    <xf numFmtId="3" fontId="4" fillId="5" borderId="21" xfId="0" applyNumberFormat="1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left" vertical="top"/>
    </xf>
    <xf numFmtId="0" fontId="4" fillId="4" borderId="28" xfId="0" applyFont="1" applyFill="1" applyBorder="1" applyAlignment="1">
      <alignment horizontal="left" vertical="top"/>
    </xf>
    <xf numFmtId="0" fontId="4" fillId="4" borderId="24" xfId="0" applyFont="1" applyFill="1" applyBorder="1" applyAlignment="1">
      <alignment vertical="top"/>
    </xf>
    <xf numFmtId="3" fontId="4" fillId="4" borderId="30" xfId="0" applyNumberFormat="1" applyFont="1" applyFill="1" applyBorder="1" applyAlignment="1">
      <alignment horizontal="center" vertical="center"/>
    </xf>
    <xf numFmtId="3" fontId="4" fillId="4" borderId="47" xfId="0" applyNumberFormat="1" applyFont="1" applyFill="1" applyBorder="1" applyAlignment="1">
      <alignment horizontal="center" vertical="center"/>
    </xf>
    <xf numFmtId="3" fontId="4" fillId="4" borderId="21" xfId="0" applyNumberFormat="1" applyFont="1" applyFill="1" applyBorder="1" applyAlignment="1">
      <alignment horizontal="center" vertical="center"/>
    </xf>
    <xf numFmtId="3" fontId="4" fillId="4" borderId="32" xfId="0" applyNumberFormat="1" applyFont="1" applyFill="1" applyBorder="1" applyAlignment="1">
      <alignment horizontal="center" vertical="center"/>
    </xf>
    <xf numFmtId="3" fontId="4" fillId="4" borderId="48" xfId="0" applyNumberFormat="1" applyFont="1" applyFill="1" applyBorder="1" applyAlignment="1">
      <alignment horizontal="center" vertical="top"/>
    </xf>
    <xf numFmtId="3" fontId="4" fillId="4" borderId="41" xfId="0" applyNumberFormat="1" applyFont="1" applyFill="1" applyBorder="1" applyAlignment="1">
      <alignment horizontal="center" vertical="top"/>
    </xf>
    <xf numFmtId="3" fontId="4" fillId="4" borderId="48" xfId="0" applyNumberFormat="1" applyFont="1" applyFill="1" applyBorder="1" applyAlignment="1">
      <alignment vertical="top"/>
    </xf>
    <xf numFmtId="3" fontId="4" fillId="4" borderId="41" xfId="0" applyNumberFormat="1" applyFont="1" applyFill="1" applyBorder="1" applyAlignment="1">
      <alignment vertical="top"/>
    </xf>
    <xf numFmtId="3" fontId="4" fillId="4" borderId="49" xfId="0" applyNumberFormat="1" applyFont="1" applyFill="1" applyBorder="1" applyAlignment="1">
      <alignment vertical="top"/>
    </xf>
    <xf numFmtId="3" fontId="4" fillId="4" borderId="21" xfId="0" applyNumberFormat="1" applyFont="1" applyFill="1" applyBorder="1" applyAlignment="1">
      <alignment vertical="top"/>
    </xf>
    <xf numFmtId="3" fontId="4" fillId="0" borderId="0" xfId="0" applyNumberFormat="1" applyFont="1" applyAlignment="1">
      <alignment vertical="top"/>
    </xf>
    <xf numFmtId="0" fontId="4" fillId="0" borderId="39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3" fontId="4" fillId="0" borderId="44" xfId="0" applyNumberFormat="1" applyFont="1" applyBorder="1" applyAlignment="1">
      <alignment horizontal="center" vertical="top"/>
    </xf>
    <xf numFmtId="3" fontId="0" fillId="0" borderId="39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vertical="top" wrapText="1"/>
    </xf>
    <xf numFmtId="0" fontId="0" fillId="0" borderId="0" xfId="0" applyFont="1" applyAlignment="1">
      <alignment vertical="top" wrapText="1"/>
    </xf>
    <xf numFmtId="3" fontId="0" fillId="0" borderId="40" xfId="0" applyNumberFormat="1" applyFont="1" applyBorder="1" applyAlignment="1">
      <alignment horizontal="center" vertical="top"/>
    </xf>
    <xf numFmtId="3" fontId="0" fillId="0" borderId="9" xfId="0" applyNumberFormat="1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4" fillId="0" borderId="43" xfId="0" applyFont="1" applyBorder="1" applyAlignment="1">
      <alignment vertical="top"/>
    </xf>
    <xf numFmtId="3" fontId="4" fillId="0" borderId="50" xfId="0" applyNumberFormat="1" applyFont="1" applyBorder="1" applyAlignment="1">
      <alignment horizontal="center" vertical="center"/>
    </xf>
    <xf numFmtId="3" fontId="4" fillId="0" borderId="39" xfId="0" applyNumberFormat="1" applyFont="1" applyBorder="1" applyAlignment="1">
      <alignment horizontal="center" vertical="top"/>
    </xf>
    <xf numFmtId="3" fontId="4" fillId="0" borderId="37" xfId="0" applyNumberFormat="1" applyFont="1" applyBorder="1" applyAlignment="1">
      <alignment horizontal="center" vertical="top"/>
    </xf>
    <xf numFmtId="3" fontId="4" fillId="0" borderId="38" xfId="0" applyNumberFormat="1" applyFont="1" applyBorder="1" applyAlignment="1">
      <alignment vertical="top"/>
    </xf>
    <xf numFmtId="3" fontId="4" fillId="0" borderId="37" xfId="0" applyNumberFormat="1" applyFont="1" applyBorder="1" applyAlignment="1">
      <alignment vertical="top"/>
    </xf>
    <xf numFmtId="0" fontId="4" fillId="6" borderId="33" xfId="0" applyFont="1" applyFill="1" applyBorder="1" applyAlignment="1">
      <alignment vertical="top"/>
    </xf>
    <xf numFmtId="0" fontId="4" fillId="6" borderId="51" xfId="0" applyFont="1" applyFill="1" applyBorder="1" applyAlignment="1">
      <alignment vertical="top"/>
    </xf>
    <xf numFmtId="0" fontId="4" fillId="6" borderId="24" xfId="0" applyFont="1" applyFill="1" applyBorder="1" applyAlignment="1">
      <alignment vertical="top"/>
    </xf>
    <xf numFmtId="3" fontId="4" fillId="6" borderId="30" xfId="0" applyNumberFormat="1" applyFont="1" applyFill="1" applyBorder="1" applyAlignment="1">
      <alignment horizontal="center" vertical="center"/>
    </xf>
    <xf numFmtId="3" fontId="4" fillId="6" borderId="47" xfId="0" applyNumberFormat="1" applyFont="1" applyFill="1" applyBorder="1" applyAlignment="1">
      <alignment horizontal="center" vertical="center"/>
    </xf>
    <xf numFmtId="3" fontId="4" fillId="6" borderId="32" xfId="0" applyNumberFormat="1" applyFont="1" applyFill="1" applyBorder="1" applyAlignment="1">
      <alignment horizontal="center" vertical="center"/>
    </xf>
    <xf numFmtId="3" fontId="4" fillId="6" borderId="33" xfId="0" applyNumberFormat="1" applyFont="1" applyFill="1" applyBorder="1" applyAlignment="1">
      <alignment horizontal="center" vertical="top"/>
    </xf>
    <xf numFmtId="3" fontId="4" fillId="6" borderId="21" xfId="0" applyNumberFormat="1" applyFont="1" applyFill="1" applyBorder="1" applyAlignment="1">
      <alignment horizontal="center" vertical="top"/>
    </xf>
    <xf numFmtId="3" fontId="4" fillId="6" borderId="28" xfId="0" applyNumberFormat="1" applyFont="1" applyFill="1" applyBorder="1" applyAlignment="1">
      <alignment vertical="top"/>
    </xf>
    <xf numFmtId="3" fontId="4" fillId="6" borderId="21" xfId="0" applyNumberFormat="1" applyFont="1" applyFill="1" applyBorder="1" applyAlignment="1">
      <alignment vertical="top"/>
    </xf>
    <xf numFmtId="0" fontId="0" fillId="0" borderId="34" xfId="0" applyFont="1" applyBorder="1" applyAlignment="1">
      <alignment vertical="top"/>
    </xf>
    <xf numFmtId="0" fontId="0" fillId="0" borderId="0" xfId="0" applyFont="1" applyAlignment="1">
      <alignment horizontal="left" vertical="center" wrapText="1"/>
    </xf>
    <xf numFmtId="0" fontId="0" fillId="0" borderId="22" xfId="0" applyFont="1" applyBorder="1" applyAlignment="1">
      <alignment vertical="top"/>
    </xf>
    <xf numFmtId="0" fontId="4" fillId="7" borderId="27" xfId="0" applyFont="1" applyFill="1" applyBorder="1" applyAlignment="1">
      <alignment vertical="top"/>
    </xf>
    <xf numFmtId="0" fontId="4" fillId="7" borderId="28" xfId="0" applyFont="1" applyFill="1" applyBorder="1" applyAlignment="1">
      <alignment vertical="top"/>
    </xf>
    <xf numFmtId="0" fontId="4" fillId="7" borderId="24" xfId="0" applyFont="1" applyFill="1" applyBorder="1" applyAlignment="1">
      <alignment vertical="top"/>
    </xf>
    <xf numFmtId="3" fontId="4" fillId="7" borderId="30" xfId="0" applyNumberFormat="1" applyFont="1" applyFill="1" applyBorder="1" applyAlignment="1">
      <alignment horizontal="center" vertical="center"/>
    </xf>
    <xf numFmtId="3" fontId="4" fillId="7" borderId="31" xfId="0" applyNumberFormat="1" applyFont="1" applyFill="1" applyBorder="1" applyAlignment="1">
      <alignment horizontal="center" vertical="center"/>
    </xf>
    <xf numFmtId="3" fontId="4" fillId="5" borderId="31" xfId="0" applyNumberFormat="1" applyFont="1" applyFill="1" applyBorder="1" applyAlignment="1">
      <alignment horizontal="center" vertical="center"/>
    </xf>
    <xf numFmtId="3" fontId="4" fillId="7" borderId="47" xfId="0" applyNumberFormat="1" applyFont="1" applyFill="1" applyBorder="1" applyAlignment="1">
      <alignment horizontal="center" vertical="center"/>
    </xf>
    <xf numFmtId="3" fontId="4" fillId="7" borderId="33" xfId="0" applyNumberFormat="1" applyFont="1" applyFill="1" applyBorder="1" applyAlignment="1">
      <alignment horizontal="center" vertical="top"/>
    </xf>
    <xf numFmtId="3" fontId="4" fillId="7" borderId="21" xfId="0" applyNumberFormat="1" applyFont="1" applyFill="1" applyBorder="1" applyAlignment="1">
      <alignment horizontal="center" vertical="top"/>
    </xf>
    <xf numFmtId="3" fontId="4" fillId="7" borderId="28" xfId="0" applyNumberFormat="1" applyFont="1" applyFill="1" applyBorder="1" applyAlignment="1">
      <alignment vertical="top"/>
    </xf>
    <xf numFmtId="3" fontId="4" fillId="7" borderId="21" xfId="0" applyNumberFormat="1" applyFont="1" applyFill="1" applyBorder="1" applyAlignment="1">
      <alignment vertical="top"/>
    </xf>
    <xf numFmtId="0" fontId="4" fillId="0" borderId="38" xfId="0" applyFont="1" applyBorder="1" applyAlignment="1">
      <alignment vertical="top"/>
    </xf>
    <xf numFmtId="3" fontId="4" fillId="0" borderId="38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top"/>
    </xf>
    <xf numFmtId="0" fontId="0" fillId="8" borderId="33" xfId="0" applyFont="1" applyFill="1" applyBorder="1" applyAlignment="1">
      <alignment vertical="top"/>
    </xf>
    <xf numFmtId="0" fontId="0" fillId="8" borderId="28" xfId="0" applyFont="1" applyFill="1" applyBorder="1" applyAlignment="1">
      <alignment vertical="top"/>
    </xf>
    <xf numFmtId="3" fontId="0" fillId="8" borderId="28" xfId="0" applyNumberFormat="1" applyFont="1" applyFill="1" applyBorder="1" applyAlignment="1">
      <alignment horizontal="center" vertical="center"/>
    </xf>
    <xf numFmtId="3" fontId="4" fillId="8" borderId="33" xfId="0" applyNumberFormat="1" applyFont="1" applyFill="1" applyBorder="1" applyAlignment="1">
      <alignment horizontal="center" vertical="top"/>
    </xf>
    <xf numFmtId="3" fontId="4" fillId="8" borderId="28" xfId="0" applyNumberFormat="1" applyFont="1" applyFill="1" applyBorder="1" applyAlignment="1">
      <alignment horizontal="center" vertical="top"/>
    </xf>
    <xf numFmtId="3" fontId="4" fillId="8" borderId="28" xfId="0" applyNumberFormat="1" applyFont="1" applyFill="1" applyBorder="1" applyAlignment="1">
      <alignment vertical="top"/>
    </xf>
    <xf numFmtId="3" fontId="4" fillId="8" borderId="21" xfId="0" applyNumberFormat="1" applyFont="1" applyFill="1" applyBorder="1" applyAlignment="1">
      <alignment vertical="top"/>
    </xf>
    <xf numFmtId="0" fontId="6" fillId="0" borderId="27" xfId="0" applyFont="1" applyBorder="1" applyAlignment="1">
      <alignment vertical="top"/>
    </xf>
    <xf numFmtId="0" fontId="6" fillId="0" borderId="43" xfId="0" applyFont="1" applyBorder="1" applyAlignment="1">
      <alignment vertical="top"/>
    </xf>
    <xf numFmtId="0" fontId="0" fillId="0" borderId="30" xfId="0" applyFont="1" applyBorder="1" applyAlignment="1">
      <alignment vertical="top"/>
    </xf>
    <xf numFmtId="0" fontId="0" fillId="0" borderId="43" xfId="0" applyFont="1" applyBorder="1" applyAlignment="1">
      <alignment vertical="top"/>
    </xf>
    <xf numFmtId="0" fontId="0" fillId="0" borderId="30" xfId="0" applyFont="1" applyBorder="1" applyAlignment="1">
      <alignment horizontal="center" vertical="top"/>
    </xf>
    <xf numFmtId="0" fontId="0" fillId="0" borderId="20" xfId="0" applyFont="1" applyBorder="1" applyAlignment="1">
      <alignment horizontal="center" vertical="top"/>
    </xf>
    <xf numFmtId="0" fontId="0" fillId="0" borderId="0" xfId="0" applyFont="1" applyAlignment="1">
      <alignment wrapText="1"/>
    </xf>
    <xf numFmtId="0" fontId="4" fillId="9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 wrapText="1"/>
    </xf>
    <xf numFmtId="0" fontId="4" fillId="9" borderId="53" xfId="0" applyFont="1" applyFill="1" applyBorder="1" applyAlignment="1">
      <alignment vertical="top"/>
    </xf>
    <xf numFmtId="3" fontId="4" fillId="9" borderId="30" xfId="0" applyNumberFormat="1" applyFont="1" applyFill="1" applyBorder="1" applyAlignment="1">
      <alignment horizontal="center" vertical="center"/>
    </xf>
    <xf numFmtId="3" fontId="4" fillId="9" borderId="31" xfId="0" applyNumberFormat="1" applyFont="1" applyFill="1" applyBorder="1" applyAlignment="1">
      <alignment horizontal="center" vertical="center"/>
    </xf>
    <xf numFmtId="3" fontId="4" fillId="9" borderId="32" xfId="0" applyNumberFormat="1" applyFont="1" applyFill="1" applyBorder="1" applyAlignment="1">
      <alignment horizontal="center" vertical="center"/>
    </xf>
    <xf numFmtId="3" fontId="4" fillId="9" borderId="21" xfId="0" applyNumberFormat="1" applyFont="1" applyFill="1" applyBorder="1" applyAlignment="1">
      <alignment horizontal="center" vertical="center"/>
    </xf>
    <xf numFmtId="3" fontId="4" fillId="9" borderId="28" xfId="0" applyNumberFormat="1" applyFont="1" applyFill="1" applyBorder="1" applyAlignment="1">
      <alignment horizontal="center" vertical="center"/>
    </xf>
    <xf numFmtId="3" fontId="4" fillId="9" borderId="54" xfId="0" applyNumberFormat="1" applyFont="1" applyFill="1" applyBorder="1" applyAlignment="1">
      <alignment horizontal="center" vertical="center"/>
    </xf>
    <xf numFmtId="3" fontId="4" fillId="9" borderId="47" xfId="0" applyNumberFormat="1" applyFont="1" applyFill="1" applyBorder="1" applyAlignment="1">
      <alignment horizontal="center" vertical="center"/>
    </xf>
    <xf numFmtId="3" fontId="4" fillId="9" borderId="33" xfId="0" applyNumberFormat="1" applyFont="1" applyFill="1" applyBorder="1" applyAlignment="1">
      <alignment horizontal="center" vertical="top"/>
    </xf>
    <xf numFmtId="3" fontId="4" fillId="9" borderId="21" xfId="0" applyNumberFormat="1" applyFont="1" applyFill="1" applyBorder="1" applyAlignment="1">
      <alignment horizontal="center" vertical="top"/>
    </xf>
    <xf numFmtId="3" fontId="4" fillId="9" borderId="28" xfId="0" applyNumberFormat="1" applyFont="1" applyFill="1" applyBorder="1" applyAlignment="1">
      <alignment vertical="top"/>
    </xf>
    <xf numFmtId="3" fontId="4" fillId="9" borderId="21" xfId="0" applyNumberFormat="1" applyFont="1" applyFill="1" applyBorder="1" applyAlignment="1">
      <alignment vertical="top"/>
    </xf>
    <xf numFmtId="0" fontId="0" fillId="0" borderId="0" xfId="0" applyFont="1" applyAlignment="1">
      <alignment horizontal="center" vertical="center"/>
    </xf>
    <xf numFmtId="0" fontId="0" fillId="5" borderId="55" xfId="0" applyFont="1" applyFill="1" applyBorder="1" applyAlignment="1">
      <alignment vertical="top"/>
    </xf>
    <xf numFmtId="0" fontId="0" fillId="5" borderId="55" xfId="0" applyFont="1" applyFill="1" applyBorder="1" applyAlignment="1">
      <alignment horizontal="center" vertical="top"/>
    </xf>
    <xf numFmtId="0" fontId="7" fillId="10" borderId="55" xfId="0" applyFont="1" applyFill="1" applyBorder="1" applyAlignment="1">
      <alignment vertical="top"/>
    </xf>
    <xf numFmtId="0" fontId="7" fillId="10" borderId="55" xfId="0" applyFont="1" applyFill="1" applyBorder="1" applyAlignment="1">
      <alignment horizontal="center" vertical="top"/>
    </xf>
    <xf numFmtId="0" fontId="0" fillId="0" borderId="0" xfId="0" applyFont="1" applyAlignment="1"/>
    <xf numFmtId="3" fontId="0" fillId="0" borderId="0" xfId="0" applyNumberFormat="1" applyFont="1" applyAlignment="1"/>
    <xf numFmtId="3" fontId="0" fillId="0" borderId="56" xfId="0" applyNumberFormat="1" applyFont="1" applyBorder="1" applyAlignment="1"/>
    <xf numFmtId="3" fontId="0" fillId="0" borderId="55" xfId="0" applyNumberFormat="1" applyFont="1" applyBorder="1" applyAlignment="1">
      <alignment vertical="top"/>
    </xf>
    <xf numFmtId="3" fontId="0" fillId="0" borderId="55" xfId="0" applyNumberFormat="1" applyFont="1" applyBorder="1" applyAlignment="1"/>
    <xf numFmtId="3" fontId="0" fillId="0" borderId="57" xfId="0" applyNumberFormat="1" applyFont="1" applyBorder="1" applyAlignment="1"/>
    <xf numFmtId="3" fontId="0" fillId="0" borderId="58" xfId="0" applyNumberFormat="1" applyFont="1" applyBorder="1" applyAlignment="1"/>
    <xf numFmtId="3" fontId="0" fillId="0" borderId="52" xfId="0" applyNumberFormat="1" applyFont="1" applyBorder="1" applyAlignment="1">
      <alignment vertical="top"/>
    </xf>
    <xf numFmtId="3" fontId="0" fillId="0" borderId="59" xfId="0" applyNumberFormat="1" applyFont="1" applyBorder="1" applyAlignment="1"/>
    <xf numFmtId="3" fontId="0" fillId="0" borderId="44" xfId="0" applyNumberFormat="1" applyFont="1" applyBorder="1" applyAlignment="1">
      <alignment vertical="top"/>
    </xf>
    <xf numFmtId="3" fontId="4" fillId="9" borderId="44" xfId="0" applyNumberFormat="1" applyFont="1" applyFill="1" applyBorder="1" applyAlignment="1">
      <alignment vertical="top"/>
    </xf>
    <xf numFmtId="3" fontId="0" fillId="0" borderId="18" xfId="0" applyNumberFormat="1" applyFont="1" applyBorder="1" applyAlignment="1">
      <alignment vertical="top"/>
    </xf>
    <xf numFmtId="3" fontId="0" fillId="0" borderId="60" xfId="0" applyNumberFormat="1" applyFont="1" applyBorder="1" applyAlignment="1"/>
    <xf numFmtId="3" fontId="0" fillId="0" borderId="49" xfId="0" applyNumberFormat="1" applyFont="1" applyBorder="1" applyAlignment="1">
      <alignment vertical="top"/>
    </xf>
    <xf numFmtId="3" fontId="0" fillId="0" borderId="61" xfId="0" applyNumberFormat="1" applyFont="1" applyBorder="1" applyAlignment="1"/>
    <xf numFmtId="3" fontId="0" fillId="0" borderId="60" xfId="0" applyNumberFormat="1" applyFont="1" applyFill="1" applyBorder="1" applyAlignment="1">
      <alignment vertical="top"/>
    </xf>
    <xf numFmtId="3" fontId="4" fillId="0" borderId="21" xfId="0" applyNumberFormat="1" applyFont="1" applyBorder="1" applyAlignment="1">
      <alignment vertical="top"/>
    </xf>
    <xf numFmtId="3" fontId="0" fillId="0" borderId="21" xfId="0" applyNumberFormat="1" applyFont="1" applyBorder="1" applyAlignment="1">
      <alignment vertical="top"/>
    </xf>
    <xf numFmtId="3" fontId="4" fillId="4" borderId="62" xfId="0" applyNumberFormat="1" applyFont="1" applyFill="1" applyBorder="1" applyAlignment="1">
      <alignment vertical="top"/>
    </xf>
    <xf numFmtId="3" fontId="4" fillId="6" borderId="43" xfId="0" applyNumberFormat="1" applyFont="1" applyFill="1" applyBorder="1" applyAlignment="1">
      <alignment vertical="top"/>
    </xf>
    <xf numFmtId="3" fontId="4" fillId="6" borderId="62" xfId="0" applyNumberFormat="1" applyFont="1" applyFill="1" applyBorder="1" applyAlignment="1">
      <alignment vertical="top"/>
    </xf>
    <xf numFmtId="3" fontId="4" fillId="7" borderId="43" xfId="0" applyNumberFormat="1" applyFont="1" applyFill="1" applyBorder="1" applyAlignment="1">
      <alignment vertical="top"/>
    </xf>
    <xf numFmtId="3" fontId="4" fillId="7" borderId="63" xfId="0" applyNumberFormat="1" applyFont="1" applyFill="1" applyBorder="1" applyAlignment="1">
      <alignment vertical="top"/>
    </xf>
    <xf numFmtId="0" fontId="0" fillId="4" borderId="43" xfId="0" applyFont="1" applyFill="1" applyBorder="1" applyAlignment="1">
      <alignment vertical="top"/>
    </xf>
    <xf numFmtId="0" fontId="0" fillId="4" borderId="38" xfId="0" applyFont="1" applyFill="1" applyBorder="1" applyAlignment="1">
      <alignment vertical="top"/>
    </xf>
    <xf numFmtId="3" fontId="4" fillId="8" borderId="64" xfId="0" applyNumberFormat="1" applyFont="1" applyFill="1" applyBorder="1" applyAlignment="1">
      <alignment vertical="top"/>
    </xf>
    <xf numFmtId="3" fontId="0" fillId="0" borderId="58" xfId="0" applyNumberFormat="1" applyFont="1" applyBorder="1" applyAlignment="1">
      <alignment vertical="top"/>
    </xf>
    <xf numFmtId="3" fontId="4" fillId="9" borderId="64" xfId="0" applyNumberFormat="1" applyFont="1" applyFill="1" applyBorder="1" applyAlignment="1">
      <alignment vertical="top"/>
    </xf>
    <xf numFmtId="3" fontId="4" fillId="6" borderId="64" xfId="0" applyNumberFormat="1" applyFont="1" applyFill="1" applyBorder="1" applyAlignment="1">
      <alignment vertical="top"/>
    </xf>
    <xf numFmtId="3" fontId="0" fillId="0" borderId="60" xfId="0" applyNumberFormat="1" applyFont="1" applyBorder="1" applyAlignment="1">
      <alignment vertical="top"/>
    </xf>
    <xf numFmtId="3" fontId="4" fillId="7" borderId="64" xfId="0" applyNumberFormat="1" applyFont="1" applyFill="1" applyBorder="1" applyAlignment="1">
      <alignment vertical="top"/>
    </xf>
    <xf numFmtId="3" fontId="4" fillId="6" borderId="44" xfId="0" applyNumberFormat="1" applyFont="1" applyFill="1" applyBorder="1" applyAlignment="1">
      <alignment vertical="top"/>
    </xf>
    <xf numFmtId="3" fontId="4" fillId="7" borderId="44" xfId="0" applyNumberFormat="1" applyFont="1" applyFill="1" applyBorder="1" applyAlignment="1">
      <alignment vertical="top"/>
    </xf>
    <xf numFmtId="3" fontId="0" fillId="0" borderId="61" xfId="0" applyNumberFormat="1" applyFont="1" applyBorder="1" applyAlignment="1">
      <alignment vertical="top"/>
    </xf>
    <xf numFmtId="3" fontId="4" fillId="0" borderId="60" xfId="0" applyNumberFormat="1" applyFont="1" applyBorder="1" applyAlignment="1">
      <alignment vertical="top"/>
    </xf>
    <xf numFmtId="3" fontId="4" fillId="0" borderId="64" xfId="0" applyNumberFormat="1" applyFont="1" applyBorder="1" applyAlignment="1">
      <alignment vertical="top"/>
    </xf>
    <xf numFmtId="3" fontId="4" fillId="4" borderId="61" xfId="0" applyNumberFormat="1" applyFont="1" applyFill="1" applyBorder="1" applyAlignment="1">
      <alignment vertical="top"/>
    </xf>
    <xf numFmtId="3" fontId="4" fillId="4" borderId="18" xfId="0" applyNumberFormat="1" applyFont="1" applyFill="1" applyBorder="1" applyAlignment="1">
      <alignment vertical="top"/>
    </xf>
    <xf numFmtId="3" fontId="0" fillId="0" borderId="64" xfId="0" applyNumberFormat="1" applyFont="1" applyBorder="1" applyAlignment="1">
      <alignment vertical="top"/>
    </xf>
    <xf numFmtId="3" fontId="0" fillId="0" borderId="57" xfId="0" applyNumberFormat="1" applyFont="1" applyBorder="1" applyAlignment="1">
      <alignment vertical="top"/>
    </xf>
    <xf numFmtId="3" fontId="4" fillId="0" borderId="65" xfId="0" applyNumberFormat="1" applyFont="1" applyBorder="1" applyAlignment="1">
      <alignment vertical="top"/>
    </xf>
    <xf numFmtId="3" fontId="0" fillId="0" borderId="66" xfId="0" applyNumberFormat="1" applyFont="1" applyBorder="1" applyAlignment="1">
      <alignment vertical="top"/>
    </xf>
    <xf numFmtId="3" fontId="0" fillId="0" borderId="67" xfId="0" applyNumberFormat="1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Font="1" applyAlignment="1">
      <alignment vertical="top"/>
    </xf>
    <xf numFmtId="0" fontId="12" fillId="0" borderId="0" xfId="0" applyFont="1" applyAlignment="1"/>
    <xf numFmtId="0" fontId="14" fillId="4" borderId="21" xfId="0" applyFont="1" applyFill="1" applyBorder="1" applyAlignment="1">
      <alignment vertical="center" wrapText="1"/>
    </xf>
    <xf numFmtId="2" fontId="12" fillId="0" borderId="0" xfId="0" applyNumberFormat="1" applyFont="1" applyAlignment="1"/>
    <xf numFmtId="0" fontId="14" fillId="4" borderId="41" xfId="0" applyFont="1" applyFill="1" applyBorder="1" applyAlignment="1">
      <alignment vertical="center" wrapText="1"/>
    </xf>
    <xf numFmtId="0" fontId="14" fillId="0" borderId="0" xfId="0" applyFont="1" applyAlignment="1"/>
    <xf numFmtId="0" fontId="12" fillId="0" borderId="40" xfId="0" applyFont="1" applyBorder="1" applyAlignment="1">
      <alignment vertical="center" wrapText="1"/>
    </xf>
    <xf numFmtId="0" fontId="12" fillId="0" borderId="0" xfId="0" applyFont="1" applyAlignment="1">
      <alignment horizontal="right"/>
    </xf>
    <xf numFmtId="9" fontId="12" fillId="0" borderId="37" xfId="0" applyNumberFormat="1" applyFont="1" applyBorder="1" applyAlignment="1">
      <alignment horizontal="right" vertical="center" wrapText="1"/>
    </xf>
    <xf numFmtId="0" fontId="12" fillId="0" borderId="37" xfId="0" applyFont="1" applyBorder="1" applyAlignment="1">
      <alignment vertical="center" wrapText="1"/>
    </xf>
    <xf numFmtId="0" fontId="14" fillId="4" borderId="37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9" fontId="12" fillId="0" borderId="47" xfId="0" applyNumberFormat="1" applyFont="1" applyBorder="1" applyAlignment="1">
      <alignment horizontal="right" vertical="center" wrapText="1"/>
    </xf>
    <xf numFmtId="0" fontId="12" fillId="0" borderId="47" xfId="0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2" fillId="0" borderId="0" xfId="0" applyFont="1" applyAlignment="1">
      <alignment wrapText="1"/>
    </xf>
    <xf numFmtId="9" fontId="13" fillId="0" borderId="47" xfId="0" applyNumberFormat="1" applyFont="1" applyBorder="1" applyAlignment="1">
      <alignment horizontal="right" vertical="center"/>
    </xf>
    <xf numFmtId="0" fontId="13" fillId="0" borderId="55" xfId="0" applyFont="1" applyBorder="1" applyAlignment="1"/>
    <xf numFmtId="4" fontId="12" fillId="0" borderId="55" xfId="0" applyNumberFormat="1" applyFont="1" applyBorder="1" applyAlignment="1">
      <alignment horizontal="center"/>
    </xf>
    <xf numFmtId="0" fontId="12" fillId="0" borderId="55" xfId="0" applyFont="1" applyBorder="1" applyAlignment="1"/>
    <xf numFmtId="9" fontId="12" fillId="0" borderId="21" xfId="0" applyNumberFormat="1" applyFont="1" applyBorder="1" applyAlignment="1">
      <alignment horizontal="right" vertical="center" wrapText="1"/>
    </xf>
    <xf numFmtId="9" fontId="13" fillId="0" borderId="21" xfId="0" applyNumberFormat="1" applyFont="1" applyBorder="1" applyAlignment="1">
      <alignment horizontal="right" vertical="center"/>
    </xf>
    <xf numFmtId="0" fontId="12" fillId="0" borderId="55" xfId="0" applyFont="1" applyBorder="1" applyAlignment="1">
      <alignment horizontal="right"/>
    </xf>
    <xf numFmtId="0" fontId="14" fillId="0" borderId="55" xfId="0" applyFont="1" applyBorder="1" applyAlignment="1"/>
    <xf numFmtId="9" fontId="12" fillId="0" borderId="44" xfId="0" applyNumberFormat="1" applyFont="1" applyBorder="1" applyAlignment="1"/>
    <xf numFmtId="0" fontId="15" fillId="0" borderId="55" xfId="0" applyFont="1" applyFill="1" applyBorder="1" applyAlignment="1">
      <alignment vertical="top"/>
    </xf>
    <xf numFmtId="0" fontId="15" fillId="0" borderId="55" xfId="0" applyFont="1" applyFill="1" applyBorder="1" applyAlignment="1">
      <alignment vertical="top" wrapText="1"/>
    </xf>
    <xf numFmtId="0" fontId="11" fillId="0" borderId="0" xfId="0" applyFont="1" applyAlignment="1"/>
    <xf numFmtId="0" fontId="12" fillId="0" borderId="68" xfId="0" applyFont="1" applyBorder="1" applyAlignment="1"/>
    <xf numFmtId="0" fontId="11" fillId="0" borderId="68" xfId="0" applyFont="1" applyBorder="1" applyAlignment="1"/>
    <xf numFmtId="0" fontId="15" fillId="0" borderId="68" xfId="0" applyFont="1" applyBorder="1" applyAlignment="1"/>
    <xf numFmtId="2" fontId="12" fillId="0" borderId="68" xfId="0" applyNumberFormat="1" applyFont="1" applyBorder="1" applyAlignment="1"/>
    <xf numFmtId="9" fontId="12" fillId="0" borderId="53" xfId="0" applyNumberFormat="1" applyFont="1" applyBorder="1" applyAlignment="1">
      <alignment horizontal="right" vertical="center" wrapText="1"/>
    </xf>
    <xf numFmtId="0" fontId="12" fillId="0" borderId="41" xfId="0" applyFont="1" applyBorder="1" applyAlignment="1">
      <alignment vertical="center" wrapText="1"/>
    </xf>
    <xf numFmtId="2" fontId="12" fillId="0" borderId="55" xfId="0" applyNumberFormat="1" applyFont="1" applyBorder="1" applyAlignment="1"/>
    <xf numFmtId="0" fontId="12" fillId="0" borderId="38" xfId="0" applyFont="1" applyBorder="1" applyAlignment="1"/>
    <xf numFmtId="2" fontId="12" fillId="0" borderId="38" xfId="0" applyNumberFormat="1" applyFont="1" applyBorder="1" applyAlignment="1"/>
    <xf numFmtId="0" fontId="12" fillId="0" borderId="69" xfId="0" applyFont="1" applyBorder="1" applyAlignment="1"/>
    <xf numFmtId="4" fontId="12" fillId="0" borderId="38" xfId="0" applyNumberFormat="1" applyFont="1" applyBorder="1" applyAlignment="1">
      <alignment horizontal="center"/>
    </xf>
    <xf numFmtId="9" fontId="12" fillId="0" borderId="41" xfId="0" applyNumberFormat="1" applyFont="1" applyBorder="1" applyAlignment="1">
      <alignment horizontal="right" vertical="center" wrapText="1"/>
    </xf>
    <xf numFmtId="0" fontId="12" fillId="0" borderId="53" xfId="0" applyFont="1" applyBorder="1" applyAlignment="1">
      <alignment vertical="center" wrapText="1"/>
    </xf>
    <xf numFmtId="0" fontId="12" fillId="0" borderId="55" xfId="0" applyFont="1" applyBorder="1" applyAlignment="1">
      <alignment wrapText="1"/>
    </xf>
    <xf numFmtId="0" fontId="15" fillId="0" borderId="49" xfId="0" applyFont="1" applyBorder="1" applyAlignment="1"/>
    <xf numFmtId="2" fontId="15" fillId="0" borderId="49" xfId="0" applyNumberFormat="1" applyFont="1" applyBorder="1" applyAlignment="1"/>
    <xf numFmtId="0" fontId="15" fillId="0" borderId="70" xfId="0" applyFont="1" applyBorder="1" applyAlignment="1"/>
    <xf numFmtId="4" fontId="15" fillId="0" borderId="49" xfId="0" applyNumberFormat="1" applyFont="1" applyBorder="1" applyAlignment="1">
      <alignment horizontal="center"/>
    </xf>
    <xf numFmtId="0" fontId="15" fillId="0" borderId="55" xfId="0" applyFont="1" applyBorder="1" applyAlignment="1"/>
    <xf numFmtId="2" fontId="15" fillId="0" borderId="55" xfId="0" applyNumberFormat="1" applyFont="1" applyBorder="1" applyAlignment="1"/>
    <xf numFmtId="0" fontId="15" fillId="0" borderId="49" xfId="0" applyFont="1" applyBorder="1" applyAlignment="1">
      <alignment wrapText="1"/>
    </xf>
    <xf numFmtId="0" fontId="15" fillId="11" borderId="43" xfId="0" applyFont="1" applyFill="1" applyBorder="1" applyAlignment="1"/>
    <xf numFmtId="2" fontId="15" fillId="11" borderId="43" xfId="0" applyNumberFormat="1" applyFont="1" applyFill="1" applyBorder="1" applyAlignment="1">
      <alignment horizontal="center"/>
    </xf>
    <xf numFmtId="9" fontId="19" fillId="0" borderId="49" xfId="0" applyNumberFormat="1" applyFont="1" applyFill="1" applyBorder="1" applyAlignment="1">
      <alignment horizontal="center" vertical="center"/>
    </xf>
    <xf numFmtId="9" fontId="19" fillId="0" borderId="55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2" fillId="0" borderId="38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0" fillId="0" borderId="55" xfId="37" applyFill="1" applyBorder="1" applyAlignment="1" applyProtection="1">
      <alignment horizontal="left" vertical="center"/>
    </xf>
    <xf numFmtId="0" fontId="17" fillId="0" borderId="55" xfId="0" applyFont="1" applyFill="1" applyBorder="1" applyAlignment="1">
      <alignment horizontal="left" vertical="center"/>
    </xf>
    <xf numFmtId="0" fontId="6" fillId="0" borderId="0" xfId="0" applyFont="1" applyAlignment="1"/>
    <xf numFmtId="3" fontId="17" fillId="0" borderId="55" xfId="0" applyNumberFormat="1" applyFont="1" applyFill="1" applyBorder="1" applyAlignment="1">
      <alignment horizontal="left" vertical="center"/>
    </xf>
    <xf numFmtId="0" fontId="17" fillId="0" borderId="55" xfId="0" applyFont="1" applyFill="1" applyBorder="1" applyAlignment="1">
      <alignment horizontal="left"/>
    </xf>
    <xf numFmtId="0" fontId="20" fillId="0" borderId="55" xfId="0" applyFont="1" applyFill="1" applyBorder="1" applyAlignment="1">
      <alignment horizontal="left" vertical="center"/>
    </xf>
    <xf numFmtId="0" fontId="8" fillId="0" borderId="55" xfId="37" applyFont="1" applyFill="1" applyBorder="1" applyAlignment="1" applyProtection="1">
      <alignment horizontal="left" vertical="center"/>
    </xf>
    <xf numFmtId="4" fontId="17" fillId="0" borderId="55" xfId="0" quotePrefix="1" applyNumberFormat="1" applyFont="1" applyFill="1" applyBorder="1" applyAlignment="1">
      <alignment horizontal="left" vertical="center"/>
    </xf>
    <xf numFmtId="4" fontId="17" fillId="0" borderId="55" xfId="0" applyNumberFormat="1" applyFont="1" applyFill="1" applyBorder="1" applyAlignment="1">
      <alignment horizontal="left" vertical="center"/>
    </xf>
    <xf numFmtId="3" fontId="17" fillId="0" borderId="55" xfId="0" quotePrefix="1" applyNumberFormat="1" applyFont="1" applyFill="1" applyBorder="1" applyAlignment="1">
      <alignment horizontal="left" vertical="center"/>
    </xf>
    <xf numFmtId="0" fontId="17" fillId="0" borderId="55" xfId="0" quotePrefix="1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left"/>
    </xf>
    <xf numFmtId="0" fontId="0" fillId="0" borderId="55" xfId="0" applyBorder="1"/>
    <xf numFmtId="0" fontId="10" fillId="0" borderId="55" xfId="37" applyBorder="1" applyAlignment="1" applyProtection="1"/>
    <xf numFmtId="49" fontId="17" fillId="0" borderId="55" xfId="0" applyNumberFormat="1" applyFont="1" applyFill="1" applyBorder="1" applyAlignment="1">
      <alignment horizontal="right" vertical="center"/>
    </xf>
    <xf numFmtId="49" fontId="17" fillId="0" borderId="55" xfId="0" applyNumberFormat="1" applyFont="1" applyFill="1" applyBorder="1" applyAlignment="1">
      <alignment horizontal="left" vertical="center"/>
    </xf>
    <xf numFmtId="49" fontId="17" fillId="0" borderId="55" xfId="0" applyNumberFormat="1" applyFont="1" applyFill="1" applyBorder="1" applyAlignment="1">
      <alignment horizontal="left"/>
    </xf>
    <xf numFmtId="49" fontId="17" fillId="0" borderId="55" xfId="0" applyNumberFormat="1" applyFont="1" applyFill="1" applyBorder="1" applyAlignment="1">
      <alignment horizontal="right"/>
    </xf>
    <xf numFmtId="0" fontId="19" fillId="0" borderId="55" xfId="40" applyFont="1"/>
    <xf numFmtId="0" fontId="13" fillId="0" borderId="55" xfId="40" applyNumberFormat="1" applyFont="1"/>
    <xf numFmtId="0" fontId="13" fillId="0" borderId="55" xfId="40" applyFont="1"/>
    <xf numFmtId="0" fontId="19" fillId="0" borderId="55" xfId="40" applyFont="1" applyAlignment="1">
      <alignment horizontal="right"/>
    </xf>
    <xf numFmtId="9" fontId="13" fillId="0" borderId="55" xfId="41" applyFont="1" applyAlignment="1">
      <alignment horizontal="right"/>
    </xf>
    <xf numFmtId="0" fontId="13" fillId="0" borderId="55" xfId="40" applyFont="1" applyAlignment="1">
      <alignment horizontal="right"/>
    </xf>
    <xf numFmtId="0" fontId="0" fillId="0" borderId="0" xfId="0" applyFont="1" applyAlignment="1"/>
    <xf numFmtId="0" fontId="15" fillId="0" borderId="0" xfId="0" applyFont="1" applyAlignment="1">
      <alignment horizontal="center"/>
    </xf>
    <xf numFmtId="49" fontId="19" fillId="0" borderId="55" xfId="40" applyNumberFormat="1" applyFont="1"/>
    <xf numFmtId="49" fontId="13" fillId="0" borderId="55" xfId="40" applyNumberFormat="1" applyFont="1"/>
    <xf numFmtId="0" fontId="13" fillId="0" borderId="0" xfId="0" applyFont="1" applyAlignment="1"/>
    <xf numFmtId="49" fontId="13" fillId="0" borderId="0" xfId="0" applyNumberFormat="1" applyFont="1" applyAlignment="1"/>
    <xf numFmtId="49" fontId="18" fillId="0" borderId="55" xfId="42" applyNumberFormat="1" applyFont="1"/>
    <xf numFmtId="0" fontId="18" fillId="0" borderId="55" xfId="42" applyFont="1"/>
    <xf numFmtId="49" fontId="2" fillId="0" borderId="55" xfId="42" applyNumberFormat="1"/>
    <xf numFmtId="0" fontId="2" fillId="0" borderId="55" xfId="42"/>
    <xf numFmtId="0" fontId="19" fillId="0" borderId="55" xfId="40" applyFont="1" applyAlignment="1">
      <alignment horizontal="center"/>
    </xf>
    <xf numFmtId="9" fontId="13" fillId="0" borderId="55" xfId="41" applyFont="1" applyAlignment="1"/>
    <xf numFmtId="0" fontId="22" fillId="12" borderId="0" xfId="0" applyNumberFormat="1" applyFont="1" applyFill="1"/>
    <xf numFmtId="0" fontId="0" fillId="0" borderId="0" xfId="0" applyNumberFormat="1" applyFont="1"/>
    <xf numFmtId="4" fontId="0" fillId="0" borderId="0" xfId="0" applyNumberFormat="1" applyFont="1" applyAlignment="1">
      <alignment horizontal="right"/>
    </xf>
    <xf numFmtId="0" fontId="22" fillId="12" borderId="55" xfId="43" applyNumberFormat="1" applyFont="1" applyFill="1"/>
    <xf numFmtId="0" fontId="17" fillId="0" borderId="0" xfId="0" applyFont="1" applyAlignment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4" fontId="5" fillId="0" borderId="55" xfId="43" applyNumberFormat="1" applyFont="1" applyAlignment="1">
      <alignment horizontal="right"/>
    </xf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22" fillId="12" borderId="55" xfId="43" applyNumberFormat="1" applyFont="1" applyFill="1"/>
    <xf numFmtId="0" fontId="0" fillId="0" borderId="0" xfId="0" applyFont="1" applyAlignment="1"/>
    <xf numFmtId="3" fontId="0" fillId="0" borderId="0" xfId="0" applyNumberFormat="1" applyFont="1" applyAlignment="1">
      <alignment horizontal="right"/>
    </xf>
    <xf numFmtId="3" fontId="5" fillId="0" borderId="55" xfId="43" applyNumberFormat="1" applyFont="1" applyAlignment="1">
      <alignment horizontal="right"/>
    </xf>
    <xf numFmtId="3" fontId="22" fillId="12" borderId="0" xfId="0" applyNumberFormat="1" applyFont="1" applyFill="1"/>
    <xf numFmtId="3" fontId="22" fillId="12" borderId="55" xfId="43" applyNumberFormat="1" applyFont="1" applyFill="1"/>
    <xf numFmtId="0" fontId="12" fillId="13" borderId="37" xfId="0" applyFont="1" applyFill="1" applyBorder="1" applyAlignment="1">
      <alignment vertical="center" wrapText="1"/>
    </xf>
    <xf numFmtId="0" fontId="12" fillId="13" borderId="21" xfId="0" applyFont="1" applyFill="1" applyBorder="1" applyAlignment="1">
      <alignment vertical="center" wrapText="1"/>
    </xf>
    <xf numFmtId="0" fontId="12" fillId="13" borderId="41" xfId="0" applyFont="1" applyFill="1" applyBorder="1" applyAlignment="1">
      <alignment vertical="center" wrapText="1"/>
    </xf>
    <xf numFmtId="0" fontId="12" fillId="13" borderId="53" xfId="0" applyFont="1" applyFill="1" applyBorder="1" applyAlignment="1">
      <alignment vertical="center" wrapText="1"/>
    </xf>
    <xf numFmtId="0" fontId="12" fillId="13" borderId="40" xfId="0" applyFont="1" applyFill="1" applyBorder="1" applyAlignment="1">
      <alignment vertical="center" wrapText="1"/>
    </xf>
    <xf numFmtId="0" fontId="14" fillId="14" borderId="37" xfId="0" applyFont="1" applyFill="1" applyBorder="1" applyAlignment="1">
      <alignment vertical="center" wrapText="1"/>
    </xf>
    <xf numFmtId="0" fontId="14" fillId="14" borderId="21" xfId="0" applyFont="1" applyFill="1" applyBorder="1" applyAlignment="1">
      <alignment vertical="center" wrapText="1"/>
    </xf>
    <xf numFmtId="0" fontId="14" fillId="14" borderId="41" xfId="0" applyFont="1" applyFill="1" applyBorder="1" applyAlignment="1">
      <alignment vertical="center" wrapText="1"/>
    </xf>
    <xf numFmtId="0" fontId="12" fillId="13" borderId="38" xfId="0" applyFont="1" applyFill="1" applyBorder="1" applyAlignment="1">
      <alignment horizontal="center" vertical="center" wrapText="1"/>
    </xf>
    <xf numFmtId="0" fontId="12" fillId="13" borderId="55" xfId="0" applyFont="1" applyFill="1" applyBorder="1" applyAlignment="1">
      <alignment horizontal="center" vertical="center" wrapText="1"/>
    </xf>
    <xf numFmtId="9" fontId="12" fillId="0" borderId="37" xfId="0" applyNumberFormat="1" applyFont="1" applyBorder="1" applyAlignment="1">
      <alignment horizontal="right" vertical="center"/>
    </xf>
    <xf numFmtId="9" fontId="12" fillId="0" borderId="37" xfId="0" applyNumberFormat="1" applyFont="1" applyBorder="1" applyAlignment="1">
      <alignment horizontal="left" vertical="center"/>
    </xf>
    <xf numFmtId="0" fontId="14" fillId="4" borderId="37" xfId="0" applyFont="1" applyFill="1" applyBorder="1" applyAlignment="1">
      <alignment vertical="center"/>
    </xf>
    <xf numFmtId="0" fontId="12" fillId="0" borderId="39" xfId="0" applyFont="1" applyBorder="1" applyAlignment="1"/>
    <xf numFmtId="0" fontId="12" fillId="0" borderId="42" xfId="0" applyFont="1" applyBorder="1" applyAlignment="1"/>
    <xf numFmtId="0" fontId="15" fillId="0" borderId="18" xfId="0" applyFont="1" applyBorder="1" applyAlignment="1"/>
    <xf numFmtId="0" fontId="15" fillId="0" borderId="42" xfId="0" applyFont="1" applyBorder="1" applyAlignment="1"/>
    <xf numFmtId="9" fontId="12" fillId="0" borderId="52" xfId="0" applyNumberFormat="1" applyFont="1" applyBorder="1" applyAlignment="1">
      <alignment horizontal="right" vertical="center"/>
    </xf>
    <xf numFmtId="9" fontId="12" fillId="0" borderId="52" xfId="0" applyNumberFormat="1" applyFont="1" applyBorder="1" applyAlignment="1">
      <alignment horizontal="left" vertical="center"/>
    </xf>
    <xf numFmtId="0" fontId="14" fillId="4" borderId="52" xfId="0" applyFont="1" applyFill="1" applyBorder="1" applyAlignment="1">
      <alignment vertical="center"/>
    </xf>
    <xf numFmtId="0" fontId="0" fillId="0" borderId="55" xfId="0" applyFont="1" applyBorder="1" applyAlignment="1"/>
    <xf numFmtId="0" fontId="0" fillId="0" borderId="38" xfId="0" applyFont="1" applyBorder="1" applyAlignment="1"/>
    <xf numFmtId="0" fontId="0" fillId="0" borderId="49" xfId="0" applyFont="1" applyBorder="1" applyAlignment="1"/>
    <xf numFmtId="9" fontId="15" fillId="15" borderId="44" xfId="0" applyNumberFormat="1" applyFont="1" applyFill="1" applyBorder="1" applyAlignment="1"/>
    <xf numFmtId="0" fontId="15" fillId="15" borderId="43" xfId="0" applyFont="1" applyFill="1" applyBorder="1" applyAlignment="1"/>
    <xf numFmtId="0" fontId="0" fillId="15" borderId="43" xfId="0" applyFont="1" applyFill="1" applyBorder="1" applyAlignment="1"/>
    <xf numFmtId="9" fontId="12" fillId="0" borderId="47" xfId="0" applyNumberFormat="1" applyFont="1" applyBorder="1" applyAlignment="1">
      <alignment horizontal="left" vertical="center" wrapText="1"/>
    </xf>
    <xf numFmtId="9" fontId="12" fillId="0" borderId="52" xfId="0" applyNumberFormat="1" applyFont="1" applyBorder="1" applyAlignment="1">
      <alignment horizontal="right" vertical="center" wrapText="1"/>
    </xf>
    <xf numFmtId="9" fontId="12" fillId="0" borderId="53" xfId="0" applyNumberFormat="1" applyFont="1" applyBorder="1" applyAlignment="1">
      <alignment horizontal="left" vertical="center" wrapText="1"/>
    </xf>
    <xf numFmtId="0" fontId="14" fillId="4" borderId="44" xfId="0" applyFont="1" applyFill="1" applyBorder="1" applyAlignment="1">
      <alignment vertical="center"/>
    </xf>
    <xf numFmtId="0" fontId="14" fillId="4" borderId="18" xfId="0" applyFont="1" applyFill="1" applyBorder="1" applyAlignment="1">
      <alignment vertical="center"/>
    </xf>
    <xf numFmtId="0" fontId="17" fillId="0" borderId="39" xfId="0" applyFont="1" applyBorder="1" applyAlignment="1"/>
    <xf numFmtId="0" fontId="17" fillId="0" borderId="42" xfId="0" applyFont="1" applyBorder="1" applyAlignment="1"/>
    <xf numFmtId="0" fontId="17" fillId="0" borderId="18" xfId="0" applyFont="1" applyBorder="1" applyAlignment="1"/>
    <xf numFmtId="0" fontId="15" fillId="15" borderId="44" xfId="0" applyFont="1" applyFill="1" applyBorder="1" applyAlignment="1"/>
    <xf numFmtId="9" fontId="12" fillId="0" borderId="47" xfId="0" applyNumberFormat="1" applyFont="1" applyBorder="1" applyAlignment="1">
      <alignment horizontal="left" vertical="center"/>
    </xf>
    <xf numFmtId="0" fontId="15" fillId="15" borderId="43" xfId="0" applyFont="1" applyFill="1" applyBorder="1" applyAlignment="1">
      <alignment horizontal="center"/>
    </xf>
    <xf numFmtId="0" fontId="15" fillId="15" borderId="71" xfId="0" applyFont="1" applyFill="1" applyBorder="1" applyAlignment="1"/>
    <xf numFmtId="2" fontId="15" fillId="15" borderId="43" xfId="0" applyNumberFormat="1" applyFont="1" applyFill="1" applyBorder="1" applyAlignment="1">
      <alignment horizontal="center"/>
    </xf>
    <xf numFmtId="0" fontId="0" fillId="15" borderId="0" xfId="0" applyNumberFormat="1" applyFont="1" applyFill="1"/>
    <xf numFmtId="0" fontId="0" fillId="0" borderId="56" xfId="0" applyNumberFormat="1" applyFont="1" applyBorder="1"/>
    <xf numFmtId="0" fontId="0" fillId="0" borderId="56" xfId="0" applyFont="1" applyBorder="1" applyAlignment="1"/>
    <xf numFmtId="4" fontId="0" fillId="0" borderId="56" xfId="0" applyNumberFormat="1" applyFont="1" applyBorder="1" applyAlignment="1">
      <alignment horizontal="right"/>
    </xf>
    <xf numFmtId="4" fontId="5" fillId="0" borderId="56" xfId="43" applyNumberFormat="1" applyFont="1" applyBorder="1" applyAlignment="1">
      <alignment horizontal="right"/>
    </xf>
    <xf numFmtId="0" fontId="22" fillId="15" borderId="0" xfId="0" applyNumberFormat="1" applyFont="1" applyFill="1"/>
    <xf numFmtId="0" fontId="0" fillId="15" borderId="0" xfId="0" applyFont="1" applyFill="1" applyAlignment="1"/>
    <xf numFmtId="2" fontId="0" fillId="0" borderId="38" xfId="0" applyNumberFormat="1" applyFont="1" applyBorder="1" applyAlignment="1"/>
    <xf numFmtId="2" fontId="0" fillId="0" borderId="55" xfId="0" applyNumberFormat="1" applyFont="1" applyBorder="1" applyAlignment="1"/>
    <xf numFmtId="2" fontId="0" fillId="0" borderId="0" xfId="0" applyNumberFormat="1" applyFont="1" applyAlignment="1"/>
    <xf numFmtId="0" fontId="15" fillId="15" borderId="21" xfId="0" applyFont="1" applyFill="1" applyBorder="1" applyAlignment="1"/>
    <xf numFmtId="9" fontId="19" fillId="0" borderId="18" xfId="0" applyNumberFormat="1" applyFont="1" applyBorder="1" applyAlignment="1">
      <alignment vertical="center"/>
    </xf>
    <xf numFmtId="9" fontId="19" fillId="0" borderId="49" xfId="0" applyNumberFormat="1" applyFont="1" applyBorder="1" applyAlignment="1">
      <alignment vertical="center"/>
    </xf>
    <xf numFmtId="9" fontId="12" fillId="0" borderId="37" xfId="0" applyNumberFormat="1" applyFont="1" applyBorder="1" applyAlignment="1">
      <alignment horizontal="center" vertical="center" wrapText="1"/>
    </xf>
    <xf numFmtId="0" fontId="6" fillId="0" borderId="49" xfId="0" applyFont="1" applyBorder="1" applyAlignment="1"/>
    <xf numFmtId="2" fontId="6" fillId="0" borderId="49" xfId="0" applyNumberFormat="1" applyFont="1" applyBorder="1" applyAlignment="1"/>
    <xf numFmtId="0" fontId="6" fillId="0" borderId="55" xfId="0" applyFont="1" applyBorder="1" applyAlignment="1"/>
    <xf numFmtId="2" fontId="6" fillId="0" borderId="55" xfId="0" applyNumberFormat="1" applyFont="1" applyBorder="1" applyAlignment="1"/>
    <xf numFmtId="2" fontId="6" fillId="0" borderId="72" xfId="0" applyNumberFormat="1" applyFont="1" applyBorder="1" applyAlignment="1"/>
    <xf numFmtId="2" fontId="15" fillId="15" borderId="43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38" xfId="0" applyNumberFormat="1" applyFont="1" applyBorder="1" applyAlignment="1">
      <alignment horizontal="center"/>
    </xf>
    <xf numFmtId="2" fontId="0" fillId="0" borderId="55" xfId="0" applyNumberFormat="1" applyFont="1" applyBorder="1" applyAlignment="1">
      <alignment horizontal="center"/>
    </xf>
    <xf numFmtId="2" fontId="6" fillId="0" borderId="49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6" fillId="0" borderId="72" xfId="0" applyNumberFormat="1" applyFont="1" applyBorder="1" applyAlignment="1">
      <alignment horizontal="center"/>
    </xf>
    <xf numFmtId="2" fontId="6" fillId="0" borderId="55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9" fontId="0" fillId="0" borderId="0" xfId="0" applyNumberFormat="1" applyFont="1" applyAlignment="1"/>
    <xf numFmtId="0" fontId="0" fillId="0" borderId="0" xfId="0" applyFont="1" applyAlignment="1">
      <alignment textRotation="90" wrapText="1"/>
    </xf>
    <xf numFmtId="9" fontId="0" fillId="0" borderId="56" xfId="0" applyNumberFormat="1" applyFont="1" applyBorder="1" applyAlignment="1"/>
    <xf numFmtId="0" fontId="0" fillId="0" borderId="66" xfId="0" applyFont="1" applyBorder="1" applyAlignment="1"/>
    <xf numFmtId="0" fontId="0" fillId="0" borderId="66" xfId="0" applyFont="1" applyBorder="1" applyAlignment="1">
      <alignment textRotation="90" wrapText="1"/>
    </xf>
    <xf numFmtId="9" fontId="6" fillId="0" borderId="0" xfId="0" applyNumberFormat="1" applyFont="1" applyAlignment="1"/>
    <xf numFmtId="0" fontId="6" fillId="0" borderId="74" xfId="0" applyFont="1" applyBorder="1" applyAlignment="1"/>
    <xf numFmtId="9" fontId="6" fillId="0" borderId="74" xfId="0" applyNumberFormat="1" applyFont="1" applyBorder="1" applyAlignment="1"/>
    <xf numFmtId="0" fontId="6" fillId="11" borderId="0" xfId="0" applyFont="1" applyFill="1" applyAlignment="1"/>
    <xf numFmtId="9" fontId="6" fillId="11" borderId="0" xfId="0" applyNumberFormat="1" applyFont="1" applyFill="1" applyAlignment="1"/>
    <xf numFmtId="0" fontId="6" fillId="11" borderId="0" xfId="0" applyFont="1" applyFill="1" applyAlignment="1">
      <alignment textRotation="90" wrapText="1"/>
    </xf>
    <xf numFmtId="0" fontId="6" fillId="0" borderId="76" xfId="0" applyFont="1" applyBorder="1" applyAlignment="1">
      <alignment textRotation="90" wrapText="1"/>
    </xf>
    <xf numFmtId="0" fontId="6" fillId="16" borderId="0" xfId="0" applyFont="1" applyFill="1" applyAlignment="1">
      <alignment horizontal="left" vertical="center"/>
    </xf>
    <xf numFmtId="0" fontId="0" fillId="16" borderId="66" xfId="0" applyFont="1" applyFill="1" applyBorder="1" applyAlignment="1">
      <alignment textRotation="90" wrapText="1"/>
    </xf>
    <xf numFmtId="0" fontId="0" fillId="16" borderId="0" xfId="0" applyFont="1" applyFill="1" applyAlignment="1">
      <alignment textRotation="90" wrapText="1"/>
    </xf>
    <xf numFmtId="0" fontId="6" fillId="16" borderId="76" xfId="0" applyFont="1" applyFill="1" applyBorder="1" applyAlignment="1">
      <alignment textRotation="90" wrapText="1"/>
    </xf>
    <xf numFmtId="0" fontId="6" fillId="16" borderId="0" xfId="0" applyFont="1" applyFill="1" applyAlignment="1">
      <alignment textRotation="90" wrapText="1"/>
    </xf>
    <xf numFmtId="0" fontId="6" fillId="16" borderId="0" xfId="0" applyFont="1" applyFill="1" applyAlignment="1">
      <alignment horizontal="left"/>
    </xf>
    <xf numFmtId="0" fontId="0" fillId="16" borderId="66" xfId="0" applyFont="1" applyFill="1" applyBorder="1" applyAlignment="1"/>
    <xf numFmtId="0" fontId="0" fillId="16" borderId="0" xfId="0" applyFont="1" applyFill="1" applyAlignment="1"/>
    <xf numFmtId="0" fontId="6" fillId="16" borderId="0" xfId="0" applyFont="1" applyFill="1" applyAlignment="1"/>
    <xf numFmtId="2" fontId="0" fillId="0" borderId="73" xfId="0" applyNumberFormat="1" applyFont="1" applyBorder="1" applyAlignment="1"/>
    <xf numFmtId="2" fontId="0" fillId="0" borderId="56" xfId="0" applyNumberFormat="1" applyFont="1" applyBorder="1" applyAlignment="1"/>
    <xf numFmtId="2" fontId="6" fillId="11" borderId="56" xfId="0" applyNumberFormat="1" applyFont="1" applyFill="1" applyBorder="1" applyAlignment="1"/>
    <xf numFmtId="2" fontId="0" fillId="0" borderId="66" xfId="0" applyNumberFormat="1" applyFont="1" applyBorder="1" applyAlignment="1"/>
    <xf numFmtId="2" fontId="6" fillId="11" borderId="0" xfId="0" applyNumberFormat="1" applyFont="1" applyFill="1" applyAlignment="1"/>
    <xf numFmtId="2" fontId="6" fillId="0" borderId="75" xfId="0" applyNumberFormat="1" applyFont="1" applyBorder="1" applyAlignment="1"/>
    <xf numFmtId="2" fontId="6" fillId="0" borderId="74" xfId="0" applyNumberFormat="1" applyFont="1" applyBorder="1" applyAlignment="1"/>
    <xf numFmtId="2" fontId="6" fillId="0" borderId="78" xfId="0" applyNumberFormat="1" applyFont="1" applyBorder="1" applyAlignment="1"/>
    <xf numFmtId="2" fontId="6" fillId="11" borderId="74" xfId="0" applyNumberFormat="1" applyFont="1" applyFill="1" applyBorder="1" applyAlignment="1"/>
    <xf numFmtId="2" fontId="6" fillId="11" borderId="66" xfId="0" applyNumberFormat="1" applyFont="1" applyFill="1" applyBorder="1" applyAlignment="1"/>
    <xf numFmtId="2" fontId="6" fillId="11" borderId="76" xfId="0" applyNumberFormat="1" applyFont="1" applyFill="1" applyBorder="1" applyAlignment="1"/>
    <xf numFmtId="0" fontId="6" fillId="0" borderId="76" xfId="0" applyFont="1" applyBorder="1" applyAlignment="1"/>
    <xf numFmtId="2" fontId="6" fillId="0" borderId="77" xfId="0" applyNumberFormat="1" applyFont="1" applyBorder="1" applyAlignment="1"/>
    <xf numFmtId="2" fontId="6" fillId="0" borderId="76" xfId="0" applyNumberFormat="1" applyFont="1" applyBorder="1" applyAlignment="1"/>
    <xf numFmtId="0" fontId="6" fillId="16" borderId="76" xfId="0" applyFont="1" applyFill="1" applyBorder="1" applyAlignment="1"/>
    <xf numFmtId="0" fontId="17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9" fontId="0" fillId="17" borderId="79" xfId="0" applyNumberFormat="1" applyFont="1" applyFill="1" applyBorder="1" applyAlignment="1"/>
    <xf numFmtId="0" fontId="0" fillId="0" borderId="0" xfId="0" applyFont="1" applyAlignment="1">
      <alignment horizontal="right" textRotation="90" wrapText="1"/>
    </xf>
    <xf numFmtId="9" fontId="6" fillId="0" borderId="0" xfId="0" applyNumberFormat="1" applyFont="1" applyAlignment="1">
      <alignment horizontal="right" textRotation="90" wrapText="1"/>
    </xf>
    <xf numFmtId="9" fontId="12" fillId="18" borderId="37" xfId="0" applyNumberFormat="1" applyFont="1" applyFill="1" applyBorder="1" applyAlignment="1">
      <alignment horizontal="right" vertical="center" wrapText="1"/>
    </xf>
    <xf numFmtId="9" fontId="13" fillId="18" borderId="47" xfId="0" applyNumberFormat="1" applyFont="1" applyFill="1" applyBorder="1" applyAlignment="1">
      <alignment horizontal="right" vertical="center"/>
    </xf>
    <xf numFmtId="9" fontId="12" fillId="18" borderId="53" xfId="0" applyNumberFormat="1" applyFont="1" applyFill="1" applyBorder="1" applyAlignment="1">
      <alignment horizontal="right" vertical="center" wrapText="1"/>
    </xf>
    <xf numFmtId="9" fontId="12" fillId="18" borderId="47" xfId="0" applyNumberFormat="1" applyFont="1" applyFill="1" applyBorder="1" applyAlignment="1">
      <alignment horizontal="right" vertical="center" wrapText="1"/>
    </xf>
    <xf numFmtId="9" fontId="12" fillId="18" borderId="41" xfId="0" applyNumberFormat="1" applyFont="1" applyFill="1" applyBorder="1" applyAlignment="1">
      <alignment horizontal="right" vertical="center" wrapText="1"/>
    </xf>
    <xf numFmtId="9" fontId="13" fillId="18" borderId="21" xfId="0" applyNumberFormat="1" applyFont="1" applyFill="1" applyBorder="1" applyAlignment="1">
      <alignment horizontal="right" vertical="center"/>
    </xf>
    <xf numFmtId="2" fontId="6" fillId="0" borderId="0" xfId="0" applyNumberFormat="1" applyFont="1" applyAlignment="1"/>
    <xf numFmtId="2" fontId="6" fillId="0" borderId="0" xfId="0" applyNumberFormat="1" applyFont="1" applyAlignment="1">
      <alignment horizontal="right" wrapText="1"/>
    </xf>
    <xf numFmtId="0" fontId="24" fillId="0" borderId="0" xfId="0" applyFont="1" applyAlignment="1"/>
    <xf numFmtId="0" fontId="24" fillId="0" borderId="0" xfId="0" applyFont="1" applyAlignment="1">
      <alignment textRotation="90" wrapText="1"/>
    </xf>
    <xf numFmtId="0" fontId="24" fillId="0" borderId="0" xfId="0" applyFont="1" applyAlignment="1">
      <alignment wrapText="1"/>
    </xf>
    <xf numFmtId="2" fontId="0" fillId="0" borderId="0" xfId="0" applyNumberFormat="1" applyFont="1" applyAlignment="1">
      <alignment horizontal="right" wrapText="1"/>
    </xf>
    <xf numFmtId="9" fontId="6" fillId="0" borderId="55" xfId="0" applyNumberFormat="1" applyFont="1" applyBorder="1" applyAlignment="1"/>
    <xf numFmtId="9" fontId="0" fillId="0" borderId="55" xfId="0" applyNumberFormat="1" applyFont="1" applyFill="1" applyBorder="1" applyAlignment="1"/>
    <xf numFmtId="164" fontId="0" fillId="0" borderId="0" xfId="0" applyNumberFormat="1" applyFont="1" applyAlignment="1"/>
    <xf numFmtId="2" fontId="0" fillId="0" borderId="0" xfId="0" applyNumberFormat="1" applyFont="1" applyAlignment="1">
      <alignment wrapText="1"/>
    </xf>
    <xf numFmtId="2" fontId="17" fillId="0" borderId="0" xfId="0" applyNumberFormat="1" applyFont="1" applyAlignment="1">
      <alignment wrapText="1"/>
    </xf>
    <xf numFmtId="0" fontId="17" fillId="11" borderId="0" xfId="0" applyFont="1" applyFill="1" applyAlignment="1">
      <alignment wrapText="1"/>
    </xf>
    <xf numFmtId="0" fontId="24" fillId="11" borderId="0" xfId="0" applyFont="1" applyFill="1" applyAlignment="1">
      <alignment wrapText="1"/>
    </xf>
    <xf numFmtId="2" fontId="6" fillId="11" borderId="0" xfId="0" applyNumberFormat="1" applyFont="1" applyFill="1" applyAlignment="1">
      <alignment horizontal="right" wrapText="1"/>
    </xf>
    <xf numFmtId="2" fontId="0" fillId="11" borderId="0" xfId="0" applyNumberFormat="1" applyFont="1" applyFill="1" applyAlignment="1">
      <alignment horizontal="right" wrapText="1"/>
    </xf>
    <xf numFmtId="0" fontId="0" fillId="11" borderId="0" xfId="0" applyFont="1" applyFill="1" applyAlignment="1">
      <alignment wrapText="1"/>
    </xf>
    <xf numFmtId="2" fontId="0" fillId="11" borderId="0" xfId="0" applyNumberFormat="1" applyFont="1" applyFill="1" applyAlignment="1">
      <alignment wrapText="1"/>
    </xf>
    <xf numFmtId="2" fontId="17" fillId="11" borderId="0" xfId="0" applyNumberFormat="1" applyFont="1" applyFill="1" applyAlignment="1">
      <alignment wrapText="1"/>
    </xf>
    <xf numFmtId="0" fontId="17" fillId="0" borderId="0" xfId="0" quotePrefix="1" applyFont="1" applyAlignment="1">
      <alignment horizontal="right"/>
    </xf>
    <xf numFmtId="0" fontId="0" fillId="0" borderId="55" xfId="0" applyFont="1" applyBorder="1" applyAlignment="1">
      <alignment horizontal="right"/>
    </xf>
    <xf numFmtId="0" fontId="6" fillId="0" borderId="0" xfId="0" applyFont="1" applyFill="1" applyAlignment="1">
      <alignment horizontal="center"/>
    </xf>
    <xf numFmtId="0" fontId="24" fillId="0" borderId="68" xfId="0" applyFont="1" applyBorder="1" applyAlignment="1"/>
    <xf numFmtId="0" fontId="6" fillId="0" borderId="68" xfId="0" applyFont="1" applyFill="1" applyBorder="1" applyAlignment="1">
      <alignment horizontal="center"/>
    </xf>
    <xf numFmtId="0" fontId="0" fillId="0" borderId="68" xfId="0" applyFont="1" applyBorder="1" applyAlignment="1"/>
    <xf numFmtId="0" fontId="17" fillId="0" borderId="68" xfId="0" applyFont="1" applyBorder="1" applyAlignment="1">
      <alignment wrapText="1"/>
    </xf>
    <xf numFmtId="0" fontId="17" fillId="11" borderId="68" xfId="0" applyFont="1" applyFill="1" applyBorder="1" applyAlignment="1">
      <alignment wrapText="1"/>
    </xf>
    <xf numFmtId="0" fontId="17" fillId="0" borderId="0" xfId="0" applyFont="1" applyAlignment="1">
      <alignment horizontal="right" wrapText="1"/>
    </xf>
    <xf numFmtId="0" fontId="12" fillId="0" borderId="76" xfId="0" applyFont="1" applyBorder="1" applyAlignment="1"/>
    <xf numFmtId="0" fontId="12" fillId="0" borderId="80" xfId="0" applyFont="1" applyBorder="1" applyAlignment="1"/>
    <xf numFmtId="0" fontId="15" fillId="0" borderId="81" xfId="0" applyFont="1" applyBorder="1" applyAlignment="1"/>
    <xf numFmtId="0" fontId="15" fillId="0" borderId="76" xfId="0" applyFont="1" applyBorder="1" applyAlignment="1"/>
    <xf numFmtId="0" fontId="15" fillId="15" borderId="82" xfId="0" applyFont="1" applyFill="1" applyBorder="1" applyAlignment="1"/>
    <xf numFmtId="4" fontId="25" fillId="0" borderId="0" xfId="0" applyNumberFormat="1" applyFont="1" applyAlignment="1"/>
    <xf numFmtId="2" fontId="25" fillId="0" borderId="0" xfId="0" applyNumberFormat="1" applyFont="1" applyAlignment="1"/>
    <xf numFmtId="9" fontId="13" fillId="0" borderId="55" xfId="40" applyNumberFormat="1" applyFont="1"/>
    <xf numFmtId="0" fontId="0" fillId="0" borderId="69" xfId="0" applyFont="1" applyBorder="1" applyAlignment="1"/>
    <xf numFmtId="0" fontId="19" fillId="0" borderId="55" xfId="40" applyFont="1" applyAlignment="1">
      <alignment horizontal="left"/>
    </xf>
    <xf numFmtId="0" fontId="13" fillId="0" borderId="55" xfId="40" applyNumberFormat="1" applyFont="1" applyAlignment="1">
      <alignment horizontal="left"/>
    </xf>
    <xf numFmtId="0" fontId="13" fillId="0" borderId="55" xfId="40" applyFont="1" applyAlignment="1">
      <alignment horizontal="left"/>
    </xf>
    <xf numFmtId="10" fontId="0" fillId="17" borderId="79" xfId="0" applyNumberFormat="1" applyFont="1" applyFill="1" applyBorder="1" applyAlignment="1"/>
    <xf numFmtId="2" fontId="26" fillId="0" borderId="0" xfId="0" applyNumberFormat="1" applyFont="1" applyAlignment="1"/>
    <xf numFmtId="0" fontId="26" fillId="0" borderId="0" xfId="0" applyFont="1" applyAlignment="1"/>
    <xf numFmtId="2" fontId="13" fillId="0" borderId="0" xfId="0" applyNumberFormat="1" applyFont="1" applyAlignment="1"/>
    <xf numFmtId="2" fontId="11" fillId="0" borderId="0" xfId="0" applyNumberFormat="1" applyFont="1" applyAlignment="1"/>
    <xf numFmtId="2" fontId="11" fillId="0" borderId="38" xfId="0" applyNumberFormat="1" applyFont="1" applyBorder="1" applyAlignment="1"/>
    <xf numFmtId="2" fontId="11" fillId="0" borderId="55" xfId="0" applyNumberFormat="1" applyFont="1" applyBorder="1" applyAlignment="1"/>
    <xf numFmtId="2" fontId="23" fillId="0" borderId="49" xfId="0" applyNumberFormat="1" applyFont="1" applyBorder="1" applyAlignment="1"/>
    <xf numFmtId="164" fontId="12" fillId="0" borderId="0" xfId="0" applyNumberFormat="1" applyFont="1" applyAlignment="1"/>
    <xf numFmtId="0" fontId="27" fillId="0" borderId="0" xfId="0" applyFont="1" applyAlignment="1">
      <alignment horizontal="center"/>
    </xf>
    <xf numFmtId="0" fontId="27" fillId="0" borderId="0" xfId="0" applyFont="1" applyAlignment="1"/>
    <xf numFmtId="164" fontId="26" fillId="0" borderId="0" xfId="0" applyNumberFormat="1" applyFont="1" applyAlignment="1"/>
    <xf numFmtId="164" fontId="27" fillId="0" borderId="0" xfId="0" applyNumberFormat="1" applyFont="1" applyAlignment="1"/>
    <xf numFmtId="2" fontId="23" fillId="0" borderId="55" xfId="0" applyNumberFormat="1" applyFont="1" applyBorder="1" applyAlignment="1"/>
    <xf numFmtId="164" fontId="12" fillId="0" borderId="38" xfId="0" applyNumberFormat="1" applyFont="1" applyBorder="1" applyAlignment="1"/>
    <xf numFmtId="164" fontId="12" fillId="0" borderId="55" xfId="0" applyNumberFormat="1" applyFont="1" applyBorder="1" applyAlignment="1"/>
    <xf numFmtId="0" fontId="28" fillId="0" borderId="0" xfId="0" applyFont="1" applyAlignment="1">
      <alignment horizontal="center"/>
    </xf>
    <xf numFmtId="164" fontId="0" fillId="0" borderId="38" xfId="0" applyNumberFormat="1" applyFont="1" applyBorder="1" applyAlignment="1"/>
    <xf numFmtId="164" fontId="0" fillId="0" borderId="55" xfId="0" applyNumberFormat="1" applyFont="1" applyBorder="1" applyAlignment="1"/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17" fillId="0" borderId="68" xfId="0" applyFont="1" applyBorder="1" applyAlignment="1"/>
    <xf numFmtId="0" fontId="6" fillId="0" borderId="68" xfId="0" applyFont="1" applyBorder="1" applyAlignment="1"/>
    <xf numFmtId="0" fontId="6" fillId="0" borderId="70" xfId="0" applyFont="1" applyBorder="1" applyAlignment="1"/>
    <xf numFmtId="0" fontId="6" fillId="15" borderId="43" xfId="0" applyFont="1" applyFill="1" applyBorder="1" applyAlignment="1"/>
    <xf numFmtId="0" fontId="6" fillId="15" borderId="71" xfId="0" applyFont="1" applyFill="1" applyBorder="1" applyAlignment="1"/>
    <xf numFmtId="2" fontId="6" fillId="15" borderId="43" xfId="0" applyNumberFormat="1" applyFont="1" applyFill="1" applyBorder="1" applyAlignment="1"/>
    <xf numFmtId="0" fontId="6" fillId="0" borderId="18" xfId="0" applyFont="1" applyBorder="1" applyAlignment="1"/>
    <xf numFmtId="0" fontId="6" fillId="0" borderId="42" xfId="0" applyFont="1" applyBorder="1" applyAlignment="1"/>
    <xf numFmtId="9" fontId="15" fillId="11" borderId="44" xfId="0" applyNumberFormat="1" applyFont="1" applyFill="1" applyBorder="1" applyAlignment="1">
      <alignment horizontal="center"/>
    </xf>
    <xf numFmtId="49" fontId="1" fillId="0" borderId="55" xfId="42" applyNumberFormat="1" applyFont="1"/>
    <xf numFmtId="0" fontId="0" fillId="0" borderId="0" xfId="0" applyFont="1" applyAlignment="1"/>
    <xf numFmtId="0" fontId="15" fillId="0" borderId="0" xfId="0" applyFont="1" applyAlignment="1">
      <alignment wrapText="1"/>
    </xf>
    <xf numFmtId="0" fontId="12" fillId="0" borderId="0" xfId="0" quotePrefix="1" applyFont="1" applyAlignment="1">
      <alignment wrapText="1"/>
    </xf>
    <xf numFmtId="0" fontId="12" fillId="0" borderId="38" xfId="0" quotePrefix="1" applyFont="1" applyBorder="1" applyAlignment="1">
      <alignment wrapText="1"/>
    </xf>
    <xf numFmtId="0" fontId="12" fillId="0" borderId="55" xfId="0" quotePrefix="1" applyFont="1" applyBorder="1" applyAlignment="1">
      <alignment wrapText="1"/>
    </xf>
    <xf numFmtId="0" fontId="15" fillId="0" borderId="49" xfId="0" quotePrefix="1" applyFont="1" applyBorder="1" applyAlignment="1">
      <alignment wrapText="1"/>
    </xf>
    <xf numFmtId="0" fontId="15" fillId="0" borderId="55" xfId="0" quotePrefix="1" applyFont="1" applyBorder="1" applyAlignment="1">
      <alignment wrapText="1"/>
    </xf>
    <xf numFmtId="0" fontId="15" fillId="15" borderId="43" xfId="0" applyFont="1" applyFill="1" applyBorder="1" applyAlignment="1">
      <alignment wrapText="1"/>
    </xf>
    <xf numFmtId="0" fontId="15" fillId="0" borderId="55" xfId="0" applyFont="1" applyBorder="1" applyAlignment="1">
      <alignment wrapText="1"/>
    </xf>
    <xf numFmtId="49" fontId="6" fillId="0" borderId="5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top"/>
    </xf>
    <xf numFmtId="0" fontId="5" fillId="0" borderId="4" xfId="0" applyFont="1" applyBorder="1"/>
    <xf numFmtId="0" fontId="5" fillId="0" borderId="2" xfId="0" applyFont="1" applyBorder="1"/>
    <xf numFmtId="0" fontId="0" fillId="3" borderId="10" xfId="0" applyFont="1" applyFill="1" applyBorder="1" applyAlignment="1">
      <alignment horizontal="center" vertical="center"/>
    </xf>
    <xf numFmtId="0" fontId="5" fillId="0" borderId="18" xfId="0" applyFont="1" applyBorder="1"/>
    <xf numFmtId="0" fontId="0" fillId="3" borderId="11" xfId="0" applyFont="1" applyFill="1" applyBorder="1" applyAlignment="1">
      <alignment horizontal="center" vertical="center" wrapText="1"/>
    </xf>
    <xf numFmtId="0" fontId="5" fillId="0" borderId="19" xfId="0" applyFont="1" applyBorder="1"/>
    <xf numFmtId="0" fontId="0" fillId="3" borderId="16" xfId="0" applyFont="1" applyFill="1" applyBorder="1" applyAlignment="1">
      <alignment horizontal="center" vertical="center"/>
    </xf>
    <xf numFmtId="0" fontId="5" fillId="0" borderId="25" xfId="0" applyFont="1" applyBorder="1"/>
    <xf numFmtId="0" fontId="0" fillId="3" borderId="14" xfId="0" applyFont="1" applyFill="1" applyBorder="1" applyAlignment="1">
      <alignment horizontal="center" vertical="center" wrapText="1"/>
    </xf>
    <xf numFmtId="0" fontId="5" fillId="0" borderId="23" xfId="0" applyFont="1" applyBorder="1"/>
    <xf numFmtId="0" fontId="4" fillId="2" borderId="7" xfId="0" applyFont="1" applyFill="1" applyBorder="1" applyAlignment="1">
      <alignment horizontal="center" vertical="top"/>
    </xf>
    <xf numFmtId="0" fontId="5" fillId="0" borderId="8" xfId="0" applyFont="1" applyBorder="1"/>
    <xf numFmtId="0" fontId="4" fillId="2" borderId="1" xfId="0" applyFont="1" applyFill="1" applyBorder="1" applyAlignment="1">
      <alignment horizontal="center" vertical="top" wrapText="1"/>
    </xf>
    <xf numFmtId="0" fontId="0" fillId="3" borderId="17" xfId="0" applyFont="1" applyFill="1" applyBorder="1" applyAlignment="1">
      <alignment horizontal="center" vertical="center"/>
    </xf>
    <xf numFmtId="0" fontId="5" fillId="0" borderId="26" xfId="0" applyFont="1" applyBorder="1"/>
    <xf numFmtId="0" fontId="6" fillId="3" borderId="13" xfId="0" applyFont="1" applyFill="1" applyBorder="1" applyAlignment="1">
      <alignment horizontal="center" vertical="center"/>
    </xf>
    <xf numFmtId="0" fontId="5" fillId="0" borderId="22" xfId="0" applyFont="1" applyBorder="1"/>
    <xf numFmtId="0" fontId="6" fillId="3" borderId="14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top"/>
    </xf>
    <xf numFmtId="1" fontId="0" fillId="3" borderId="1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/>
    </xf>
    <xf numFmtId="0" fontId="0" fillId="3" borderId="39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9" fontId="12" fillId="0" borderId="37" xfId="0" applyNumberFormat="1" applyFont="1" applyBorder="1" applyAlignment="1">
      <alignment horizontal="center" vertical="center"/>
    </xf>
    <xf numFmtId="9" fontId="12" fillId="0" borderId="52" xfId="0" applyNumberFormat="1" applyFont="1" applyBorder="1" applyAlignment="1">
      <alignment horizontal="center" vertical="center"/>
    </xf>
    <xf numFmtId="9" fontId="12" fillId="0" borderId="41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9" fontId="13" fillId="0" borderId="44" xfId="0" applyNumberFormat="1" applyFont="1" applyBorder="1" applyAlignment="1">
      <alignment horizontal="center" vertical="center"/>
    </xf>
    <xf numFmtId="9" fontId="13" fillId="0" borderId="43" xfId="0" applyNumberFormat="1" applyFont="1" applyBorder="1" applyAlignment="1">
      <alignment horizontal="center" vertical="center"/>
    </xf>
    <xf numFmtId="9" fontId="13" fillId="0" borderId="21" xfId="0" applyNumberFormat="1" applyFont="1" applyBorder="1" applyAlignment="1">
      <alignment horizontal="center" vertical="center"/>
    </xf>
    <xf numFmtId="9" fontId="12" fillId="0" borderId="15" xfId="0" applyNumberFormat="1" applyFont="1" applyBorder="1" applyAlignment="1">
      <alignment horizontal="center" vertical="center"/>
    </xf>
    <xf numFmtId="9" fontId="12" fillId="0" borderId="29" xfId="0" applyNumberFormat="1" applyFont="1" applyBorder="1" applyAlignment="1">
      <alignment horizontal="center" vertical="center"/>
    </xf>
    <xf numFmtId="9" fontId="12" fillId="0" borderId="53" xfId="0" applyNumberFormat="1" applyFont="1" applyBorder="1" applyAlignment="1">
      <alignment horizontal="center" vertical="center"/>
    </xf>
    <xf numFmtId="0" fontId="15" fillId="0" borderId="44" xfId="0" applyFont="1" applyBorder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16" borderId="0" xfId="0" applyFont="1" applyFill="1" applyAlignment="1">
      <alignment horizontal="center" vertical="center" textRotation="90"/>
    </xf>
    <xf numFmtId="9" fontId="19" fillId="0" borderId="44" xfId="0" applyNumberFormat="1" applyFont="1" applyBorder="1" applyAlignment="1">
      <alignment horizontal="center" vertical="center"/>
    </xf>
    <xf numFmtId="9" fontId="19" fillId="0" borderId="43" xfId="0" applyNumberFormat="1" applyFont="1" applyBorder="1" applyAlignment="1">
      <alignment horizontal="center" vertical="center"/>
    </xf>
    <xf numFmtId="9" fontId="19" fillId="0" borderId="21" xfId="0" applyNumberFormat="1" applyFont="1" applyBorder="1" applyAlignment="1">
      <alignment horizontal="center" vertical="center"/>
    </xf>
    <xf numFmtId="9" fontId="19" fillId="0" borderId="39" xfId="0" applyNumberFormat="1" applyFont="1" applyBorder="1" applyAlignment="1">
      <alignment horizontal="center" vertical="center"/>
    </xf>
    <xf numFmtId="9" fontId="19" fillId="0" borderId="38" xfId="0" applyNumberFormat="1" applyFont="1" applyBorder="1" applyAlignment="1">
      <alignment horizontal="center" vertical="center"/>
    </xf>
    <xf numFmtId="9" fontId="19" fillId="0" borderId="37" xfId="0" applyNumberFormat="1" applyFont="1" applyBorder="1" applyAlignment="1">
      <alignment horizontal="center" vertical="center"/>
    </xf>
    <xf numFmtId="0" fontId="16" fillId="16" borderId="55" xfId="0" applyFont="1" applyFill="1" applyBorder="1" applyAlignment="1">
      <alignment horizontal="center" vertical="center" textRotation="90"/>
    </xf>
    <xf numFmtId="0" fontId="16" fillId="16" borderId="49" xfId="0" applyFont="1" applyFill="1" applyBorder="1" applyAlignment="1">
      <alignment horizontal="center" vertical="center" textRotation="90"/>
    </xf>
    <xf numFmtId="0" fontId="15" fillId="15" borderId="44" xfId="0" applyFont="1" applyFill="1" applyBorder="1" applyAlignment="1">
      <alignment horizontal="center"/>
    </xf>
    <xf numFmtId="0" fontId="15" fillId="15" borderId="43" xfId="0" applyFont="1" applyFill="1" applyBorder="1" applyAlignment="1">
      <alignment horizontal="center"/>
    </xf>
    <xf numFmtId="0" fontId="15" fillId="15" borderId="21" xfId="0" applyFont="1" applyFill="1" applyBorder="1" applyAlignment="1">
      <alignment horizontal="center"/>
    </xf>
    <xf numFmtId="0" fontId="15" fillId="13" borderId="15" xfId="0" applyFont="1" applyFill="1" applyBorder="1" applyAlignment="1">
      <alignment horizontal="center" vertical="center" wrapText="1"/>
    </xf>
    <xf numFmtId="0" fontId="15" fillId="13" borderId="29" xfId="0" applyFont="1" applyFill="1" applyBorder="1" applyAlignment="1">
      <alignment horizontal="center" vertical="center" wrapText="1"/>
    </xf>
    <xf numFmtId="0" fontId="15" fillId="13" borderId="53" xfId="0" applyFont="1" applyFill="1" applyBorder="1" applyAlignment="1">
      <alignment horizontal="center" vertical="center" wrapText="1"/>
    </xf>
    <xf numFmtId="9" fontId="19" fillId="13" borderId="44" xfId="0" applyNumberFormat="1" applyFont="1" applyFill="1" applyBorder="1" applyAlignment="1">
      <alignment horizontal="center" vertical="center"/>
    </xf>
    <xf numFmtId="9" fontId="19" fillId="13" borderId="43" xfId="0" applyNumberFormat="1" applyFont="1" applyFill="1" applyBorder="1" applyAlignment="1">
      <alignment horizontal="center" vertical="center"/>
    </xf>
    <xf numFmtId="9" fontId="19" fillId="13" borderId="21" xfId="0" applyNumberFormat="1" applyFont="1" applyFill="1" applyBorder="1" applyAlignment="1">
      <alignment horizontal="center" vertical="center"/>
    </xf>
    <xf numFmtId="9" fontId="19" fillId="13" borderId="39" xfId="0" applyNumberFormat="1" applyFont="1" applyFill="1" applyBorder="1" applyAlignment="1">
      <alignment horizontal="center" vertical="center"/>
    </xf>
    <xf numFmtId="9" fontId="19" fillId="13" borderId="38" xfId="0" applyNumberFormat="1" applyFont="1" applyFill="1" applyBorder="1" applyAlignment="1">
      <alignment horizontal="center" vertical="center"/>
    </xf>
    <xf numFmtId="9" fontId="19" fillId="13" borderId="37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11" borderId="44" xfId="0" applyFont="1" applyFill="1" applyBorder="1" applyAlignment="1">
      <alignment horizontal="center"/>
    </xf>
    <xf numFmtId="0" fontId="15" fillId="11" borderId="43" xfId="0" applyFont="1" applyFill="1" applyBorder="1" applyAlignment="1">
      <alignment horizontal="center"/>
    </xf>
    <xf numFmtId="0" fontId="15" fillId="11" borderId="21" xfId="0" applyFont="1" applyFill="1" applyBorder="1" applyAlignment="1">
      <alignment horizontal="center"/>
    </xf>
    <xf numFmtId="0" fontId="6" fillId="16" borderId="0" xfId="0" applyFont="1" applyFill="1" applyAlignment="1">
      <alignment horizontal="center"/>
    </xf>
    <xf numFmtId="0" fontId="19" fillId="0" borderId="55" xfId="40" applyFont="1" applyAlignment="1">
      <alignment horizontal="center"/>
    </xf>
    <xf numFmtId="3" fontId="5" fillId="0" borderId="55" xfId="43" applyNumberFormat="1" applyFont="1" applyAlignment="1">
      <alignment horizontal="right"/>
    </xf>
    <xf numFmtId="9" fontId="19" fillId="0" borderId="18" xfId="0" applyNumberFormat="1" applyFont="1" applyBorder="1" applyAlignment="1">
      <alignment horizontal="center" vertical="center"/>
    </xf>
    <xf numFmtId="9" fontId="19" fillId="0" borderId="49" xfId="0" applyNumberFormat="1" applyFont="1" applyBorder="1" applyAlignment="1">
      <alignment horizontal="center" vertical="center"/>
    </xf>
    <xf numFmtId="9" fontId="19" fillId="0" borderId="42" xfId="0" applyNumberFormat="1" applyFont="1" applyBorder="1" applyAlignment="1">
      <alignment horizontal="center" vertical="center"/>
    </xf>
    <xf numFmtId="9" fontId="19" fillId="0" borderId="55" xfId="0" applyNumberFormat="1" applyFont="1" applyBorder="1" applyAlignment="1">
      <alignment horizontal="center" vertical="center"/>
    </xf>
    <xf numFmtId="0" fontId="6" fillId="11" borderId="0" xfId="0" applyFont="1" applyFill="1" applyAlignment="1">
      <alignment horizontal="center"/>
    </xf>
    <xf numFmtId="9" fontId="19" fillId="0" borderId="41" xfId="0" applyNumberFormat="1" applyFont="1" applyBorder="1" applyAlignment="1">
      <alignment horizontal="center" vertical="center"/>
    </xf>
  </cellXfs>
  <cellStyles count="44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/>
    <cellStyle name="Normálne" xfId="0" builtinId="0"/>
    <cellStyle name="Normálne 2" xfId="38"/>
    <cellStyle name="Normálne 3" xfId="40"/>
    <cellStyle name="Normálne 4" xfId="42"/>
    <cellStyle name="Normálne 5" xfId="43"/>
    <cellStyle name="Percentá 2" xfId="39"/>
    <cellStyle name="Percentá 3" xfId="41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rara@bk.ru" TargetMode="External"/><Relationship Id="rId13" Type="http://schemas.openxmlformats.org/officeDocument/2006/relationships/hyperlink" Target="http://maia.gov.md/sites/default/files/article/rapoarte_note_informative/Fisiere/download_file.pdf" TargetMode="External"/><Relationship Id="rId18" Type="http://schemas.openxmlformats.org/officeDocument/2006/relationships/hyperlink" Target="http://www.old.mtid.gov.md/sites/default/files/document/attachments/Situatiile%20Financiare%202016%20S.A.%20Drumuri%20Ialoveni.pdf" TargetMode="External"/><Relationship Id="rId3" Type="http://schemas.openxmlformats.org/officeDocument/2006/relationships/hyperlink" Target="mailto:dumbrava-vest@mail.ru" TargetMode="External"/><Relationship Id="rId7" Type="http://schemas.openxmlformats.org/officeDocument/2006/relationships/hyperlink" Target="mailto:cons-cert@mail.ru" TargetMode="External"/><Relationship Id="rId12" Type="http://schemas.openxmlformats.org/officeDocument/2006/relationships/hyperlink" Target="http://maia.gov.md/sites/default/files/article/rapoarte_note_informative/Fisiere/file-compressed.pdf" TargetMode="External"/><Relationship Id="rId17" Type="http://schemas.openxmlformats.org/officeDocument/2006/relationships/hyperlink" Target="http://www.old.mtid.gov.md/sites/default/files/document/attachments/Situatiile%20Financiare%202016%20Combinatul%20Republican%20de%20Instruire%20Auto.PDF" TargetMode="External"/><Relationship Id="rId2" Type="http://schemas.openxmlformats.org/officeDocument/2006/relationships/hyperlink" Target="mailto:drumuri.ialoveni@gmail.com" TargetMode="External"/><Relationship Id="rId16" Type="http://schemas.openxmlformats.org/officeDocument/2006/relationships/hyperlink" Target="http://cmac.md/wp-content/uploads/2018/02/Situatii-Financiare-2016.pdf" TargetMode="External"/><Relationship Id="rId1" Type="http://schemas.openxmlformats.org/officeDocument/2006/relationships/hyperlink" Target="mailto:moldsuinhibrid@yandex.ru" TargetMode="External"/><Relationship Id="rId6" Type="http://schemas.openxmlformats.org/officeDocument/2006/relationships/hyperlink" Target="mailto:eduardtap@gmail.com" TargetMode="External"/><Relationship Id="rId11" Type="http://schemas.openxmlformats.org/officeDocument/2006/relationships/hyperlink" Target="mailto:garadenord@mail.ru" TargetMode="External"/><Relationship Id="rId5" Type="http://schemas.openxmlformats.org/officeDocument/2006/relationships/hyperlink" Target="mailto:sdecriuleni@gmail.com" TargetMode="External"/><Relationship Id="rId15" Type="http://schemas.openxmlformats.org/officeDocument/2006/relationships/hyperlink" Target="http://maia.gov.md/sites/default/files/article/rapoarte_note_informative/Fisiere/raport_vivaflora.pdf" TargetMode="External"/><Relationship Id="rId10" Type="http://schemas.openxmlformats.org/officeDocument/2006/relationships/hyperlink" Target="mailto:moldaero@gmail.com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iulia.dusca@gmail.com" TargetMode="External"/><Relationship Id="rId9" Type="http://schemas.openxmlformats.org/officeDocument/2006/relationships/hyperlink" Target="mailto:vganea@mail.ru" TargetMode="External"/><Relationship Id="rId14" Type="http://schemas.openxmlformats.org/officeDocument/2006/relationships/hyperlink" Target="http://maia.gov.md/sites/default/files/article/rapoarte_note_informative/indalproiect/skanirovat10043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K51"/>
  <sheetViews>
    <sheetView zoomScaleNormal="100" workbookViewId="0">
      <pane ySplit="1" topLeftCell="A2" activePane="bottomLeft" state="frozen"/>
      <selection pane="bottomLeft" activeCell="B32" sqref="B32"/>
    </sheetView>
  </sheetViews>
  <sheetFormatPr defaultRowHeight="15" x14ac:dyDescent="0.25"/>
  <cols>
    <col min="1" max="1" width="3.7109375" style="286" bestFit="1" customWidth="1"/>
    <col min="2" max="2" width="44" style="286" bestFit="1" customWidth="1"/>
    <col min="3" max="3" width="38.42578125" style="286" bestFit="1" customWidth="1"/>
    <col min="4" max="4" width="3.7109375" style="300" customWidth="1"/>
    <col min="5" max="5" width="3.7109375" style="299" customWidth="1"/>
    <col min="6" max="6" width="16.28515625" style="286" bestFit="1" customWidth="1"/>
    <col min="7" max="7" width="3" style="286" customWidth="1"/>
    <col min="8" max="8" width="46.7109375" style="286" bestFit="1" customWidth="1"/>
    <col min="9" max="9" width="29.28515625" style="286" customWidth="1"/>
    <col min="10" max="10" width="21.140625" style="286" bestFit="1" customWidth="1"/>
    <col min="11" max="11" width="20" style="286" bestFit="1" customWidth="1"/>
    <col min="12" max="16384" width="9.140625" style="286"/>
  </cols>
  <sheetData>
    <row r="1" spans="1:11" s="294" customFormat="1" x14ac:dyDescent="0.25">
      <c r="A1" s="293" t="s">
        <v>237</v>
      </c>
      <c r="B1" s="293" t="s">
        <v>239</v>
      </c>
      <c r="C1" s="293" t="s">
        <v>393</v>
      </c>
      <c r="D1" s="602" t="s">
        <v>406</v>
      </c>
      <c r="E1" s="602"/>
      <c r="F1" s="293" t="s">
        <v>407</v>
      </c>
      <c r="G1" s="293"/>
      <c r="H1" s="293" t="s">
        <v>238</v>
      </c>
      <c r="I1" s="293" t="s">
        <v>243</v>
      </c>
      <c r="J1" s="293" t="s">
        <v>245</v>
      </c>
      <c r="K1" s="293" t="s">
        <v>247</v>
      </c>
    </row>
    <row r="2" spans="1:11" s="283" customFormat="1" x14ac:dyDescent="0.25">
      <c r="A2" s="283">
        <v>1</v>
      </c>
      <c r="B2" s="283" t="s">
        <v>0</v>
      </c>
      <c r="C2" s="283" t="s">
        <v>408</v>
      </c>
      <c r="D2" s="297" t="s">
        <v>409</v>
      </c>
      <c r="E2" s="298">
        <v>12</v>
      </c>
      <c r="F2" s="283">
        <v>90.81</v>
      </c>
      <c r="H2" s="287" t="s">
        <v>250</v>
      </c>
      <c r="I2" s="283" t="s">
        <v>249</v>
      </c>
      <c r="J2" s="283" t="s">
        <v>337</v>
      </c>
      <c r="K2" s="283" t="s">
        <v>248</v>
      </c>
    </row>
    <row r="3" spans="1:11" s="283" customFormat="1" x14ac:dyDescent="0.25">
      <c r="A3" s="283">
        <v>2</v>
      </c>
      <c r="B3" s="283" t="s">
        <v>501</v>
      </c>
      <c r="C3" s="283" t="s">
        <v>410</v>
      </c>
      <c r="D3" s="297" t="s">
        <v>409</v>
      </c>
      <c r="E3" s="298">
        <v>10</v>
      </c>
      <c r="F3" s="283">
        <v>52.51</v>
      </c>
      <c r="H3" s="283" t="s">
        <v>253</v>
      </c>
      <c r="I3" s="283" t="s">
        <v>252</v>
      </c>
      <c r="J3" s="283" t="s">
        <v>338</v>
      </c>
      <c r="K3" s="283" t="s">
        <v>251</v>
      </c>
    </row>
    <row r="4" spans="1:11" s="283" customFormat="1" x14ac:dyDescent="0.25">
      <c r="A4" s="283">
        <v>3</v>
      </c>
      <c r="B4" s="283" t="s">
        <v>2</v>
      </c>
      <c r="C4" s="283" t="s">
        <v>416</v>
      </c>
      <c r="D4" s="297" t="s">
        <v>417</v>
      </c>
      <c r="E4" s="298">
        <v>36</v>
      </c>
      <c r="F4" s="283">
        <v>100</v>
      </c>
      <c r="H4" s="283" t="s">
        <v>254</v>
      </c>
      <c r="I4" s="283" t="s">
        <v>256</v>
      </c>
      <c r="J4" s="283" t="s">
        <v>337</v>
      </c>
      <c r="K4" s="283" t="s">
        <v>255</v>
      </c>
    </row>
    <row r="5" spans="1:11" s="283" customFormat="1" x14ac:dyDescent="0.25">
      <c r="A5" s="283">
        <v>4</v>
      </c>
      <c r="B5" s="283" t="s">
        <v>3</v>
      </c>
      <c r="C5" s="283" t="s">
        <v>422</v>
      </c>
      <c r="D5" s="297" t="s">
        <v>409</v>
      </c>
      <c r="E5" s="298">
        <v>29</v>
      </c>
      <c r="F5" s="283">
        <v>93.18</v>
      </c>
      <c r="H5" s="283" t="s">
        <v>259</v>
      </c>
      <c r="I5" s="283" t="s">
        <v>258</v>
      </c>
      <c r="J5" s="283" t="s">
        <v>339</v>
      </c>
      <c r="K5" s="283" t="s">
        <v>257</v>
      </c>
    </row>
    <row r="6" spans="1:11" s="283" customFormat="1" x14ac:dyDescent="0.25">
      <c r="A6" s="283">
        <v>5</v>
      </c>
      <c r="B6" s="283" t="s">
        <v>4</v>
      </c>
      <c r="C6" s="283" t="s">
        <v>425</v>
      </c>
      <c r="D6" s="297" t="s">
        <v>426</v>
      </c>
      <c r="E6" s="298">
        <v>61</v>
      </c>
      <c r="F6" s="283">
        <v>100</v>
      </c>
      <c r="H6" s="283" t="s">
        <v>262</v>
      </c>
      <c r="I6" s="283" t="s">
        <v>261</v>
      </c>
      <c r="J6" s="283" t="s">
        <v>338</v>
      </c>
      <c r="K6" s="283" t="s">
        <v>260</v>
      </c>
    </row>
    <row r="7" spans="1:11" s="283" customFormat="1" x14ac:dyDescent="0.25">
      <c r="A7" s="283">
        <v>6</v>
      </c>
      <c r="B7" s="283" t="s">
        <v>5</v>
      </c>
      <c r="C7" s="283" t="s">
        <v>427</v>
      </c>
      <c r="D7" s="297" t="s">
        <v>428</v>
      </c>
      <c r="E7" s="298" t="s">
        <v>429</v>
      </c>
      <c r="F7" s="283">
        <v>100</v>
      </c>
      <c r="H7" s="283" t="s">
        <v>264</v>
      </c>
      <c r="I7" s="288" t="s">
        <v>265</v>
      </c>
      <c r="J7" s="283" t="s">
        <v>339</v>
      </c>
      <c r="K7" s="283" t="s">
        <v>263</v>
      </c>
    </row>
    <row r="8" spans="1:11" s="283" customFormat="1" x14ac:dyDescent="0.25">
      <c r="A8" s="283">
        <v>7</v>
      </c>
      <c r="B8" s="283" t="s">
        <v>6</v>
      </c>
      <c r="C8" s="283" t="s">
        <v>430</v>
      </c>
      <c r="D8" s="297" t="s">
        <v>428</v>
      </c>
      <c r="E8" s="298" t="s">
        <v>429</v>
      </c>
      <c r="F8" s="283">
        <v>100</v>
      </c>
      <c r="H8" s="283" t="s">
        <v>267</v>
      </c>
      <c r="I8" s="283" t="s">
        <v>268</v>
      </c>
      <c r="J8" s="283">
        <v>190</v>
      </c>
      <c r="K8" s="283" t="s">
        <v>266</v>
      </c>
    </row>
    <row r="9" spans="1:11" s="283" customFormat="1" x14ac:dyDescent="0.25">
      <c r="A9" s="283">
        <v>8</v>
      </c>
      <c r="B9" s="283" t="s">
        <v>490</v>
      </c>
      <c r="C9" s="283" t="s">
        <v>434</v>
      </c>
      <c r="D9" s="297" t="s">
        <v>432</v>
      </c>
      <c r="E9" s="298" t="s">
        <v>433</v>
      </c>
      <c r="F9" s="283">
        <v>100</v>
      </c>
      <c r="H9" s="283" t="s">
        <v>269</v>
      </c>
      <c r="I9" s="283" t="s">
        <v>270</v>
      </c>
      <c r="J9" s="283" t="s">
        <v>339</v>
      </c>
      <c r="K9" s="283" t="s">
        <v>271</v>
      </c>
    </row>
    <row r="10" spans="1:11" s="283" customFormat="1" x14ac:dyDescent="0.25">
      <c r="A10" s="283">
        <v>9</v>
      </c>
      <c r="B10" s="283" t="s">
        <v>491</v>
      </c>
      <c r="C10" s="283" t="s">
        <v>436</v>
      </c>
      <c r="D10" s="297" t="s">
        <v>437</v>
      </c>
      <c r="E10" s="298" t="s">
        <v>438</v>
      </c>
      <c r="F10" s="283">
        <v>100</v>
      </c>
      <c r="H10" s="283" t="s">
        <v>273</v>
      </c>
      <c r="I10" s="283" t="s">
        <v>274</v>
      </c>
      <c r="J10" s="283" t="s">
        <v>340</v>
      </c>
      <c r="K10" s="283" t="s">
        <v>272</v>
      </c>
    </row>
    <row r="11" spans="1:11" s="283" customFormat="1" x14ac:dyDescent="0.25">
      <c r="A11" s="283">
        <v>10</v>
      </c>
      <c r="B11" s="283" t="s">
        <v>9</v>
      </c>
      <c r="C11" s="283" t="s">
        <v>442</v>
      </c>
      <c r="D11" s="297" t="s">
        <v>414</v>
      </c>
      <c r="E11" s="298" t="s">
        <v>443</v>
      </c>
      <c r="F11" s="283">
        <v>100</v>
      </c>
      <c r="H11" s="283" t="s">
        <v>277</v>
      </c>
      <c r="I11" s="283" t="s">
        <v>276</v>
      </c>
      <c r="J11" s="283" t="s">
        <v>338</v>
      </c>
      <c r="K11" s="283" t="s">
        <v>275</v>
      </c>
    </row>
    <row r="12" spans="1:11" s="283" customFormat="1" x14ac:dyDescent="0.25">
      <c r="A12" s="283">
        <v>11</v>
      </c>
      <c r="B12" s="283" t="s">
        <v>10</v>
      </c>
      <c r="C12" s="283" t="s">
        <v>444</v>
      </c>
      <c r="D12" s="297" t="s">
        <v>412</v>
      </c>
      <c r="E12" s="298" t="s">
        <v>445</v>
      </c>
      <c r="F12" s="283">
        <v>100</v>
      </c>
      <c r="H12" s="283" t="s">
        <v>280</v>
      </c>
      <c r="I12" s="283" t="s">
        <v>279</v>
      </c>
      <c r="J12" s="283" t="s">
        <v>339</v>
      </c>
      <c r="K12" s="283" t="s">
        <v>278</v>
      </c>
    </row>
    <row r="13" spans="1:11" s="283" customFormat="1" x14ac:dyDescent="0.25">
      <c r="A13" s="283">
        <v>12</v>
      </c>
      <c r="B13" s="283" t="s">
        <v>11</v>
      </c>
      <c r="C13" s="283" t="s">
        <v>450</v>
      </c>
      <c r="D13" s="297" t="s">
        <v>414</v>
      </c>
      <c r="E13" s="298" t="s">
        <v>448</v>
      </c>
      <c r="F13" s="283">
        <v>100</v>
      </c>
      <c r="H13" s="283" t="s">
        <v>283</v>
      </c>
      <c r="I13" s="283" t="s">
        <v>282</v>
      </c>
      <c r="J13" s="283" t="s">
        <v>342</v>
      </c>
      <c r="K13" s="283" t="s">
        <v>281</v>
      </c>
    </row>
    <row r="14" spans="1:11" s="283" customFormat="1" x14ac:dyDescent="0.25">
      <c r="A14" s="283">
        <v>13</v>
      </c>
      <c r="B14" s="283" t="s">
        <v>492</v>
      </c>
      <c r="C14" s="283" t="s">
        <v>455</v>
      </c>
      <c r="D14" s="297" t="s">
        <v>432</v>
      </c>
      <c r="E14" s="298" t="s">
        <v>433</v>
      </c>
      <c r="F14" s="283">
        <v>100</v>
      </c>
      <c r="H14" s="283" t="s">
        <v>285</v>
      </c>
      <c r="I14" s="283" t="s">
        <v>284</v>
      </c>
      <c r="J14" s="283" t="s">
        <v>341</v>
      </c>
      <c r="K14" s="283" t="s">
        <v>286</v>
      </c>
    </row>
    <row r="15" spans="1:11" s="283" customFormat="1" x14ac:dyDescent="0.25">
      <c r="A15" s="283">
        <v>14</v>
      </c>
      <c r="B15" s="283" t="s">
        <v>13</v>
      </c>
      <c r="C15" s="283" t="s">
        <v>457</v>
      </c>
      <c r="D15" s="297" t="s">
        <v>419</v>
      </c>
      <c r="E15" s="298" t="s">
        <v>458</v>
      </c>
      <c r="F15" s="283">
        <v>100</v>
      </c>
      <c r="H15" s="283" t="s">
        <v>287</v>
      </c>
      <c r="I15" s="283" t="s">
        <v>288</v>
      </c>
      <c r="J15" s="283" t="s">
        <v>338</v>
      </c>
      <c r="K15" s="283" t="s">
        <v>289</v>
      </c>
    </row>
    <row r="16" spans="1:11" s="283" customFormat="1" x14ac:dyDescent="0.25">
      <c r="A16" s="283">
        <v>15</v>
      </c>
      <c r="B16" s="283" t="s">
        <v>14</v>
      </c>
      <c r="C16" s="283" t="s">
        <v>461</v>
      </c>
      <c r="D16" s="297" t="s">
        <v>432</v>
      </c>
      <c r="E16" s="298" t="s">
        <v>460</v>
      </c>
      <c r="F16" s="283">
        <v>100</v>
      </c>
      <c r="H16" s="283" t="s">
        <v>291</v>
      </c>
      <c r="I16" s="283" t="s">
        <v>290</v>
      </c>
      <c r="J16" s="283" t="s">
        <v>341</v>
      </c>
      <c r="K16" s="283" t="s">
        <v>286</v>
      </c>
    </row>
    <row r="17" spans="1:11" s="283" customFormat="1" x14ac:dyDescent="0.25">
      <c r="A17" s="283">
        <v>16</v>
      </c>
      <c r="B17" s="283" t="s">
        <v>15</v>
      </c>
      <c r="C17" s="283" t="s">
        <v>462</v>
      </c>
      <c r="D17" s="297" t="s">
        <v>432</v>
      </c>
      <c r="E17" s="298" t="s">
        <v>460</v>
      </c>
      <c r="F17" s="283">
        <v>100</v>
      </c>
      <c r="H17" s="283" t="s">
        <v>294</v>
      </c>
      <c r="I17" s="283" t="s">
        <v>293</v>
      </c>
      <c r="J17" s="283" t="s">
        <v>341</v>
      </c>
      <c r="K17" s="283" t="s">
        <v>292</v>
      </c>
    </row>
    <row r="18" spans="1:11" s="283" customFormat="1" x14ac:dyDescent="0.25">
      <c r="A18" s="283">
        <v>17</v>
      </c>
      <c r="B18" s="283" t="s">
        <v>16</v>
      </c>
      <c r="C18" s="283" t="s">
        <v>466</v>
      </c>
      <c r="D18" s="297" t="s">
        <v>420</v>
      </c>
      <c r="E18" s="298" t="s">
        <v>467</v>
      </c>
      <c r="F18" s="283">
        <v>100</v>
      </c>
      <c r="H18" s="283" t="s">
        <v>297</v>
      </c>
      <c r="I18" s="283" t="s">
        <v>296</v>
      </c>
      <c r="J18" s="283" t="s">
        <v>338</v>
      </c>
      <c r="K18" s="283" t="s">
        <v>295</v>
      </c>
    </row>
    <row r="19" spans="1:11" s="283" customFormat="1" x14ac:dyDescent="0.25">
      <c r="A19" s="283">
        <v>18</v>
      </c>
      <c r="B19" s="283" t="s">
        <v>17</v>
      </c>
      <c r="C19" s="283" t="s">
        <v>473</v>
      </c>
      <c r="D19" s="297" t="s">
        <v>426</v>
      </c>
      <c r="E19" s="298" t="s">
        <v>474</v>
      </c>
      <c r="F19" s="283">
        <v>100</v>
      </c>
      <c r="H19" s="283" t="s">
        <v>300</v>
      </c>
      <c r="I19" s="283" t="s">
        <v>299</v>
      </c>
      <c r="J19" s="283" t="s">
        <v>339</v>
      </c>
      <c r="K19" s="283" t="s">
        <v>298</v>
      </c>
    </row>
    <row r="20" spans="1:11" s="283" customFormat="1" x14ac:dyDescent="0.25">
      <c r="A20" s="283">
        <v>19</v>
      </c>
      <c r="B20" s="283" t="s">
        <v>493</v>
      </c>
      <c r="C20" s="283" t="s">
        <v>483</v>
      </c>
      <c r="D20" s="297" t="s">
        <v>426</v>
      </c>
      <c r="E20" s="298" t="s">
        <v>474</v>
      </c>
      <c r="F20" s="283">
        <v>100</v>
      </c>
      <c r="H20" s="283" t="s">
        <v>302</v>
      </c>
      <c r="I20" s="283" t="s">
        <v>303</v>
      </c>
      <c r="J20" s="283" t="s">
        <v>339</v>
      </c>
      <c r="K20" s="283" t="s">
        <v>301</v>
      </c>
    </row>
    <row r="21" spans="1:11" s="283" customFormat="1" x14ac:dyDescent="0.25">
      <c r="A21" s="283">
        <v>20</v>
      </c>
      <c r="B21" s="283" t="s">
        <v>494</v>
      </c>
      <c r="C21" s="283" t="s">
        <v>465</v>
      </c>
      <c r="D21" s="297" t="s">
        <v>420</v>
      </c>
      <c r="E21" s="298" t="s">
        <v>464</v>
      </c>
      <c r="F21" s="283">
        <v>100</v>
      </c>
      <c r="H21" s="283" t="s">
        <v>306</v>
      </c>
      <c r="I21" s="283" t="s">
        <v>305</v>
      </c>
      <c r="J21" s="283" t="s">
        <v>343</v>
      </c>
      <c r="K21" s="283" t="s">
        <v>304</v>
      </c>
    </row>
    <row r="22" spans="1:11" s="283" customFormat="1" x14ac:dyDescent="0.25">
      <c r="A22" s="283">
        <v>21</v>
      </c>
      <c r="B22" s="283" t="s">
        <v>20</v>
      </c>
      <c r="C22" s="283" t="s">
        <v>411</v>
      </c>
      <c r="D22" s="297" t="s">
        <v>412</v>
      </c>
      <c r="E22" s="298">
        <v>42</v>
      </c>
      <c r="F22" s="283">
        <v>98.85</v>
      </c>
      <c r="H22" s="283" t="s">
        <v>348</v>
      </c>
      <c r="I22" s="283" t="s">
        <v>345</v>
      </c>
      <c r="J22" s="283" t="s">
        <v>341</v>
      </c>
      <c r="K22" s="283" t="s">
        <v>347</v>
      </c>
    </row>
    <row r="23" spans="1:11" s="283" customFormat="1" x14ac:dyDescent="0.25">
      <c r="A23" s="283">
        <v>22</v>
      </c>
      <c r="B23" s="283" t="s">
        <v>487</v>
      </c>
      <c r="C23" s="283" t="s">
        <v>423</v>
      </c>
      <c r="D23" s="297" t="s">
        <v>417</v>
      </c>
      <c r="E23" s="298">
        <v>38</v>
      </c>
      <c r="F23" s="283">
        <v>78.28</v>
      </c>
      <c r="H23" s="283" t="s">
        <v>349</v>
      </c>
      <c r="I23" s="283" t="s">
        <v>345</v>
      </c>
      <c r="J23" s="283" t="s">
        <v>341</v>
      </c>
      <c r="K23" s="283" t="s">
        <v>286</v>
      </c>
    </row>
    <row r="24" spans="1:11" s="283" customFormat="1" x14ac:dyDescent="0.25">
      <c r="A24" s="283">
        <v>23</v>
      </c>
      <c r="B24" s="283" t="s">
        <v>495</v>
      </c>
      <c r="C24" s="283" t="s">
        <v>418</v>
      </c>
      <c r="D24" s="297" t="s">
        <v>419</v>
      </c>
      <c r="E24" s="298">
        <v>35</v>
      </c>
      <c r="F24" s="283">
        <v>100</v>
      </c>
      <c r="H24" s="283" t="s">
        <v>362</v>
      </c>
      <c r="I24" s="283" t="s">
        <v>345</v>
      </c>
      <c r="J24" s="283" t="s">
        <v>337</v>
      </c>
      <c r="K24" s="283" t="s">
        <v>286</v>
      </c>
    </row>
    <row r="25" spans="1:11" s="283" customFormat="1" x14ac:dyDescent="0.25">
      <c r="A25" s="283">
        <v>24</v>
      </c>
      <c r="B25" s="283" t="s">
        <v>23</v>
      </c>
      <c r="C25" s="283" t="s">
        <v>471</v>
      </c>
      <c r="D25" s="297" t="s">
        <v>414</v>
      </c>
      <c r="E25" s="298" t="s">
        <v>472</v>
      </c>
      <c r="F25" s="283">
        <v>100</v>
      </c>
      <c r="H25" s="283" t="s">
        <v>350</v>
      </c>
      <c r="I25" s="283" t="s">
        <v>351</v>
      </c>
      <c r="J25" s="283" t="s">
        <v>338</v>
      </c>
      <c r="K25" s="283" t="s">
        <v>286</v>
      </c>
    </row>
    <row r="26" spans="1:11" s="283" customFormat="1" x14ac:dyDescent="0.25">
      <c r="A26" s="283">
        <v>25</v>
      </c>
      <c r="B26" s="283" t="s">
        <v>24</v>
      </c>
      <c r="C26" s="283" t="s">
        <v>424</v>
      </c>
      <c r="D26" s="297" t="s">
        <v>419</v>
      </c>
      <c r="E26" s="298">
        <v>35</v>
      </c>
      <c r="F26" s="283">
        <v>35.33</v>
      </c>
      <c r="H26" s="283" t="s">
        <v>353</v>
      </c>
      <c r="I26" s="283" t="s">
        <v>352</v>
      </c>
      <c r="J26" s="283" t="s">
        <v>341</v>
      </c>
      <c r="K26" s="283" t="s">
        <v>286</v>
      </c>
    </row>
    <row r="27" spans="1:11" s="283" customFormat="1" x14ac:dyDescent="0.25">
      <c r="A27" s="283">
        <v>26</v>
      </c>
      <c r="B27" s="283" t="s">
        <v>488</v>
      </c>
      <c r="C27" s="283" t="s">
        <v>421</v>
      </c>
      <c r="D27" s="297" t="s">
        <v>419</v>
      </c>
      <c r="E27" s="298">
        <v>35</v>
      </c>
      <c r="F27" s="283">
        <v>100</v>
      </c>
      <c r="H27" s="283" t="s">
        <v>287</v>
      </c>
      <c r="I27" s="288" t="s">
        <v>354</v>
      </c>
      <c r="J27" s="289" t="s">
        <v>344</v>
      </c>
      <c r="K27" s="283" t="s">
        <v>286</v>
      </c>
    </row>
    <row r="28" spans="1:11" s="283" customFormat="1" x14ac:dyDescent="0.25">
      <c r="A28" s="283">
        <v>27</v>
      </c>
      <c r="B28" s="283" t="s">
        <v>26</v>
      </c>
      <c r="C28" s="283" t="s">
        <v>447</v>
      </c>
      <c r="D28" s="297" t="s">
        <v>414</v>
      </c>
      <c r="E28" s="298" t="s">
        <v>443</v>
      </c>
      <c r="F28" s="283">
        <v>100</v>
      </c>
      <c r="H28" s="283" t="s">
        <v>356</v>
      </c>
      <c r="I28" s="283" t="s">
        <v>345</v>
      </c>
      <c r="J28" s="290" t="s">
        <v>341</v>
      </c>
      <c r="K28" s="283" t="s">
        <v>355</v>
      </c>
    </row>
    <row r="29" spans="1:11" s="283" customFormat="1" x14ac:dyDescent="0.25">
      <c r="A29" s="283">
        <v>28</v>
      </c>
      <c r="B29" s="283" t="s">
        <v>27</v>
      </c>
      <c r="C29" s="283" t="s">
        <v>449</v>
      </c>
      <c r="D29" s="297" t="s">
        <v>414</v>
      </c>
      <c r="E29" s="298" t="s">
        <v>441</v>
      </c>
      <c r="F29" s="283">
        <v>100</v>
      </c>
      <c r="H29" s="283" t="s">
        <v>359</v>
      </c>
      <c r="I29" s="288" t="s">
        <v>358</v>
      </c>
      <c r="J29" s="285" t="s">
        <v>345</v>
      </c>
      <c r="K29" s="283" t="s">
        <v>357</v>
      </c>
    </row>
    <row r="30" spans="1:11" s="283" customFormat="1" x14ac:dyDescent="0.25">
      <c r="A30" s="283">
        <v>29</v>
      </c>
      <c r="B30" s="283" t="s">
        <v>28</v>
      </c>
      <c r="C30" s="283" t="s">
        <v>413</v>
      </c>
      <c r="D30" s="297" t="s">
        <v>414</v>
      </c>
      <c r="E30" s="298">
        <v>49</v>
      </c>
      <c r="F30" s="283">
        <v>85</v>
      </c>
      <c r="H30" s="283" t="s">
        <v>356</v>
      </c>
      <c r="I30" s="288" t="s">
        <v>360</v>
      </c>
      <c r="J30" s="285" t="s">
        <v>341</v>
      </c>
      <c r="K30" s="283" t="s">
        <v>361</v>
      </c>
    </row>
    <row r="31" spans="1:11" s="283" customFormat="1" x14ac:dyDescent="0.25">
      <c r="A31" s="283">
        <v>30</v>
      </c>
      <c r="B31" s="283" t="s">
        <v>29</v>
      </c>
      <c r="C31" s="283" t="s">
        <v>478</v>
      </c>
      <c r="D31" s="297" t="s">
        <v>432</v>
      </c>
      <c r="E31" s="298" t="s">
        <v>433</v>
      </c>
      <c r="F31" s="283">
        <v>100</v>
      </c>
      <c r="H31" s="283" t="s">
        <v>364</v>
      </c>
      <c r="I31" s="283" t="s">
        <v>363</v>
      </c>
      <c r="J31" s="285" t="s">
        <v>346</v>
      </c>
      <c r="K31" s="283" t="s">
        <v>286</v>
      </c>
    </row>
    <row r="32" spans="1:11" s="283" customFormat="1" x14ac:dyDescent="0.25">
      <c r="A32" s="283">
        <v>31</v>
      </c>
      <c r="B32" s="283" t="s">
        <v>496</v>
      </c>
      <c r="C32" s="283" t="s">
        <v>431</v>
      </c>
      <c r="D32" s="297" t="s">
        <v>432</v>
      </c>
      <c r="E32" s="298" t="s">
        <v>433</v>
      </c>
      <c r="F32" s="283">
        <v>100</v>
      </c>
      <c r="H32" s="283" t="s">
        <v>382</v>
      </c>
      <c r="I32" s="283" t="s">
        <v>381</v>
      </c>
      <c r="J32" s="285" t="s">
        <v>340</v>
      </c>
      <c r="K32" s="283" t="s">
        <v>286</v>
      </c>
    </row>
    <row r="33" spans="1:11" s="283" customFormat="1" x14ac:dyDescent="0.25">
      <c r="A33" s="283">
        <v>32</v>
      </c>
      <c r="B33" s="283" t="s">
        <v>31</v>
      </c>
      <c r="C33" s="283" t="s">
        <v>440</v>
      </c>
      <c r="D33" s="297" t="s">
        <v>414</v>
      </c>
      <c r="E33" s="298" t="s">
        <v>441</v>
      </c>
      <c r="F33" s="283">
        <v>100</v>
      </c>
      <c r="H33" s="283" t="s">
        <v>380</v>
      </c>
      <c r="I33" s="283" t="s">
        <v>379</v>
      </c>
      <c r="J33" s="285" t="s">
        <v>337</v>
      </c>
      <c r="K33" s="283" t="s">
        <v>286</v>
      </c>
    </row>
    <row r="34" spans="1:11" s="283" customFormat="1" x14ac:dyDescent="0.25">
      <c r="A34" s="283">
        <v>33</v>
      </c>
      <c r="B34" s="283" t="s">
        <v>497</v>
      </c>
      <c r="C34" s="283" t="s">
        <v>463</v>
      </c>
      <c r="D34" s="297" t="s">
        <v>420</v>
      </c>
      <c r="E34" s="298" t="s">
        <v>464</v>
      </c>
      <c r="F34" s="283">
        <v>100</v>
      </c>
      <c r="H34" s="283" t="s">
        <v>375</v>
      </c>
      <c r="I34" s="283" t="s">
        <v>376</v>
      </c>
      <c r="J34" s="290" t="s">
        <v>345</v>
      </c>
      <c r="K34" s="283" t="s">
        <v>286</v>
      </c>
    </row>
    <row r="35" spans="1:11" s="283" customFormat="1" x14ac:dyDescent="0.25">
      <c r="A35" s="283">
        <v>34</v>
      </c>
      <c r="B35" s="283" t="s">
        <v>489</v>
      </c>
      <c r="C35" s="283" t="s">
        <v>459</v>
      </c>
      <c r="D35" s="297" t="s">
        <v>432</v>
      </c>
      <c r="E35" s="298" t="s">
        <v>460</v>
      </c>
      <c r="F35" s="283">
        <v>100</v>
      </c>
      <c r="H35" s="283" t="s">
        <v>378</v>
      </c>
      <c r="I35" s="283" t="s">
        <v>377</v>
      </c>
      <c r="J35" s="285" t="s">
        <v>339</v>
      </c>
      <c r="K35" s="283" t="s">
        <v>286</v>
      </c>
    </row>
    <row r="36" spans="1:11" s="283" customFormat="1" x14ac:dyDescent="0.25">
      <c r="A36" s="283">
        <v>35</v>
      </c>
      <c r="B36" s="283" t="s">
        <v>498</v>
      </c>
      <c r="C36" s="283" t="s">
        <v>470</v>
      </c>
      <c r="D36" s="297" t="s">
        <v>468</v>
      </c>
      <c r="E36" s="298" t="s">
        <v>469</v>
      </c>
      <c r="F36" s="283">
        <v>100</v>
      </c>
      <c r="H36" s="283" t="s">
        <v>374</v>
      </c>
      <c r="I36" s="283" t="s">
        <v>373</v>
      </c>
      <c r="J36" s="290" t="s">
        <v>341</v>
      </c>
      <c r="K36" s="283" t="s">
        <v>286</v>
      </c>
    </row>
    <row r="37" spans="1:11" s="283" customFormat="1" x14ac:dyDescent="0.25">
      <c r="A37" s="283">
        <v>36</v>
      </c>
      <c r="B37" s="283" t="s">
        <v>35</v>
      </c>
      <c r="C37" s="283" t="s">
        <v>451</v>
      </c>
      <c r="D37" s="297" t="s">
        <v>409</v>
      </c>
      <c r="E37" s="298" t="s">
        <v>452</v>
      </c>
      <c r="F37" s="283">
        <v>100</v>
      </c>
      <c r="H37" s="283" t="s">
        <v>372</v>
      </c>
      <c r="I37" s="283" t="s">
        <v>371</v>
      </c>
      <c r="J37" s="290" t="s">
        <v>341</v>
      </c>
      <c r="K37" s="283" t="s">
        <v>286</v>
      </c>
    </row>
    <row r="38" spans="1:11" s="283" customFormat="1" x14ac:dyDescent="0.25">
      <c r="A38" s="283">
        <v>37</v>
      </c>
      <c r="B38" s="283" t="s">
        <v>499</v>
      </c>
      <c r="C38" s="283" t="s">
        <v>475</v>
      </c>
      <c r="D38" s="297" t="s">
        <v>426</v>
      </c>
      <c r="E38" s="298" t="s">
        <v>476</v>
      </c>
      <c r="F38" s="283">
        <v>100</v>
      </c>
      <c r="H38" s="283" t="s">
        <v>370</v>
      </c>
      <c r="I38" s="283" t="s">
        <v>369</v>
      </c>
      <c r="J38" s="290" t="s">
        <v>345</v>
      </c>
      <c r="K38" s="283" t="s">
        <v>286</v>
      </c>
    </row>
    <row r="39" spans="1:11" s="283" customFormat="1" x14ac:dyDescent="0.25">
      <c r="A39" s="283">
        <v>38</v>
      </c>
      <c r="B39" s="283" t="s">
        <v>37</v>
      </c>
      <c r="C39" s="283" t="s">
        <v>479</v>
      </c>
      <c r="D39" s="297" t="s">
        <v>480</v>
      </c>
      <c r="E39" s="298" t="s">
        <v>481</v>
      </c>
      <c r="F39" s="283">
        <v>100</v>
      </c>
      <c r="H39" s="283" t="s">
        <v>368</v>
      </c>
      <c r="I39" s="283" t="s">
        <v>367</v>
      </c>
      <c r="J39" s="285" t="s">
        <v>339</v>
      </c>
      <c r="K39" s="283" t="s">
        <v>286</v>
      </c>
    </row>
    <row r="40" spans="1:11" s="283" customFormat="1" x14ac:dyDescent="0.25">
      <c r="A40" s="283">
        <v>39</v>
      </c>
      <c r="B40" s="283" t="s">
        <v>500</v>
      </c>
      <c r="C40" s="283" t="s">
        <v>482</v>
      </c>
      <c r="D40" s="297" t="s">
        <v>480</v>
      </c>
      <c r="E40" s="298" t="s">
        <v>481</v>
      </c>
      <c r="F40" s="283">
        <v>100</v>
      </c>
      <c r="H40" s="283" t="s">
        <v>366</v>
      </c>
      <c r="I40" s="283" t="s">
        <v>365</v>
      </c>
      <c r="J40" s="285" t="s">
        <v>340</v>
      </c>
      <c r="K40" s="283" t="s">
        <v>286</v>
      </c>
    </row>
    <row r="41" spans="1:11" s="283" customFormat="1" x14ac:dyDescent="0.25">
      <c r="A41" s="283">
        <v>40</v>
      </c>
      <c r="B41" s="283" t="s">
        <v>502</v>
      </c>
      <c r="C41" s="283" t="s">
        <v>503</v>
      </c>
      <c r="D41" s="297" t="s">
        <v>428</v>
      </c>
      <c r="E41" s="298" t="s">
        <v>429</v>
      </c>
      <c r="F41" s="283" t="s">
        <v>345</v>
      </c>
      <c r="H41" s="283" t="s">
        <v>336</v>
      </c>
      <c r="I41" s="288" t="s">
        <v>334</v>
      </c>
      <c r="J41" s="285" t="s">
        <v>339</v>
      </c>
      <c r="K41" s="296" t="s">
        <v>335</v>
      </c>
    </row>
    <row r="42" spans="1:11" s="283" customFormat="1" x14ac:dyDescent="0.25">
      <c r="A42" s="283">
        <v>41</v>
      </c>
      <c r="B42" s="283" t="s">
        <v>506</v>
      </c>
      <c r="C42" s="283" t="s">
        <v>507</v>
      </c>
      <c r="D42" s="297" t="s">
        <v>432</v>
      </c>
      <c r="E42" s="298" t="s">
        <v>433</v>
      </c>
      <c r="F42" s="283" t="s">
        <v>345</v>
      </c>
      <c r="H42" s="283" t="s">
        <v>333</v>
      </c>
      <c r="I42" s="282" t="s">
        <v>332</v>
      </c>
      <c r="J42" s="285" t="s">
        <v>340</v>
      </c>
      <c r="K42" s="295" t="s">
        <v>331</v>
      </c>
    </row>
    <row r="43" spans="1:11" s="283" customFormat="1" x14ac:dyDescent="0.25">
      <c r="A43" s="283">
        <v>42</v>
      </c>
      <c r="B43" s="283" t="s">
        <v>504</v>
      </c>
      <c r="C43" s="283" t="s">
        <v>505</v>
      </c>
      <c r="D43" s="297" t="s">
        <v>432</v>
      </c>
      <c r="E43" s="298" t="s">
        <v>460</v>
      </c>
      <c r="F43" s="283" t="s">
        <v>345</v>
      </c>
      <c r="H43" s="283" t="s">
        <v>329</v>
      </c>
      <c r="I43" s="288" t="s">
        <v>330</v>
      </c>
      <c r="J43" s="291" t="s">
        <v>344</v>
      </c>
      <c r="K43" s="283" t="s">
        <v>328</v>
      </c>
    </row>
    <row r="44" spans="1:11" s="283" customFormat="1" x14ac:dyDescent="0.25">
      <c r="A44" s="283">
        <v>43</v>
      </c>
      <c r="B44" s="283" t="s">
        <v>229</v>
      </c>
      <c r="C44" s="283" t="s">
        <v>508</v>
      </c>
      <c r="D44" s="297" t="s">
        <v>432</v>
      </c>
      <c r="E44" s="298" t="s">
        <v>433</v>
      </c>
      <c r="F44" s="283" t="s">
        <v>345</v>
      </c>
      <c r="H44" s="283" t="s">
        <v>273</v>
      </c>
      <c r="I44" s="292" t="s">
        <v>311</v>
      </c>
      <c r="J44" s="285" t="s">
        <v>340</v>
      </c>
      <c r="K44" s="283" t="s">
        <v>327</v>
      </c>
    </row>
    <row r="45" spans="1:11" s="283" customFormat="1" x14ac:dyDescent="0.25">
      <c r="A45" s="283">
        <v>44</v>
      </c>
      <c r="B45" s="283" t="s">
        <v>230</v>
      </c>
      <c r="C45" s="283" t="s">
        <v>509</v>
      </c>
      <c r="D45" s="297" t="s">
        <v>428</v>
      </c>
      <c r="E45" s="298" t="s">
        <v>429</v>
      </c>
      <c r="F45" s="283" t="s">
        <v>345</v>
      </c>
      <c r="H45" s="283" t="s">
        <v>325</v>
      </c>
      <c r="I45" s="288" t="s">
        <v>326</v>
      </c>
      <c r="J45" s="285" t="s">
        <v>345</v>
      </c>
      <c r="K45" s="283" t="s">
        <v>324</v>
      </c>
    </row>
    <row r="46" spans="1:11" s="283" customFormat="1" x14ac:dyDescent="0.25">
      <c r="A46" s="283">
        <v>45</v>
      </c>
      <c r="B46" s="283" t="s">
        <v>231</v>
      </c>
      <c r="C46" s="283" t="s">
        <v>510</v>
      </c>
      <c r="D46" s="297" t="s">
        <v>432</v>
      </c>
      <c r="E46" s="298" t="s">
        <v>460</v>
      </c>
      <c r="F46" s="283" t="s">
        <v>345</v>
      </c>
      <c r="H46" s="283" t="s">
        <v>323</v>
      </c>
      <c r="I46" s="288" t="s">
        <v>322</v>
      </c>
      <c r="J46" s="285" t="s">
        <v>345</v>
      </c>
      <c r="K46" s="282" t="s">
        <v>321</v>
      </c>
    </row>
    <row r="47" spans="1:11" s="283" customFormat="1" x14ac:dyDescent="0.25">
      <c r="A47" s="283">
        <v>46</v>
      </c>
      <c r="B47" s="283" t="s">
        <v>232</v>
      </c>
      <c r="C47" s="283" t="s">
        <v>511</v>
      </c>
      <c r="D47" s="297" t="s">
        <v>428</v>
      </c>
      <c r="E47" s="298" t="s">
        <v>429</v>
      </c>
      <c r="F47" s="283" t="s">
        <v>345</v>
      </c>
      <c r="H47" s="283" t="s">
        <v>320</v>
      </c>
      <c r="I47" s="288" t="s">
        <v>319</v>
      </c>
      <c r="J47" s="291" t="s">
        <v>344</v>
      </c>
      <c r="K47" s="282" t="s">
        <v>318</v>
      </c>
    </row>
    <row r="48" spans="1:11" s="283" customFormat="1" x14ac:dyDescent="0.25">
      <c r="A48" s="283">
        <v>47</v>
      </c>
      <c r="B48" s="283" t="s">
        <v>233</v>
      </c>
      <c r="C48" s="283" t="s">
        <v>511</v>
      </c>
      <c r="D48" s="297" t="s">
        <v>428</v>
      </c>
      <c r="E48" s="298" t="s">
        <v>429</v>
      </c>
      <c r="F48" s="283" t="s">
        <v>345</v>
      </c>
      <c r="H48" s="283" t="s">
        <v>316</v>
      </c>
      <c r="I48" s="292" t="s">
        <v>311</v>
      </c>
      <c r="J48" s="285">
        <v>9</v>
      </c>
      <c r="K48" s="282" t="s">
        <v>317</v>
      </c>
    </row>
    <row r="49" spans="1:11" s="283" customFormat="1" x14ac:dyDescent="0.25">
      <c r="A49" s="283">
        <v>48</v>
      </c>
      <c r="B49" s="283" t="s">
        <v>513</v>
      </c>
      <c r="C49" s="283" t="s">
        <v>512</v>
      </c>
      <c r="D49" s="297" t="s">
        <v>432</v>
      </c>
      <c r="E49" s="298" t="s">
        <v>433</v>
      </c>
      <c r="F49" s="283" t="s">
        <v>345</v>
      </c>
      <c r="H49" s="283" t="s">
        <v>315</v>
      </c>
      <c r="I49" s="283" t="s">
        <v>314</v>
      </c>
      <c r="J49" s="285" t="s">
        <v>341</v>
      </c>
      <c r="K49" s="282" t="s">
        <v>313</v>
      </c>
    </row>
    <row r="50" spans="1:11" s="283" customFormat="1" x14ac:dyDescent="0.25">
      <c r="A50" s="283">
        <v>49</v>
      </c>
      <c r="B50" s="283" t="s">
        <v>235</v>
      </c>
      <c r="C50" s="283" t="s">
        <v>514</v>
      </c>
      <c r="D50" s="297" t="s">
        <v>437</v>
      </c>
      <c r="E50" s="298" t="s">
        <v>438</v>
      </c>
      <c r="F50" s="283" t="s">
        <v>345</v>
      </c>
      <c r="H50" s="283" t="s">
        <v>312</v>
      </c>
      <c r="I50" s="292" t="s">
        <v>311</v>
      </c>
      <c r="J50" s="285" t="s">
        <v>340</v>
      </c>
      <c r="K50" s="282" t="s">
        <v>310</v>
      </c>
    </row>
    <row r="51" spans="1:11" s="283" customFormat="1" x14ac:dyDescent="0.25">
      <c r="A51" s="283">
        <v>50</v>
      </c>
      <c r="B51" s="283" t="s">
        <v>236</v>
      </c>
      <c r="C51" s="283" t="s">
        <v>515</v>
      </c>
      <c r="D51" s="297" t="s">
        <v>412</v>
      </c>
      <c r="E51" s="298" t="s">
        <v>439</v>
      </c>
      <c r="F51" s="283" t="s">
        <v>345</v>
      </c>
      <c r="H51" s="283" t="s">
        <v>308</v>
      </c>
      <c r="I51" s="288" t="s">
        <v>309</v>
      </c>
      <c r="J51" s="285" t="s">
        <v>341</v>
      </c>
      <c r="K51" s="282" t="s">
        <v>307</v>
      </c>
    </row>
  </sheetData>
  <mergeCells count="1">
    <mergeCell ref="D1:E1"/>
  </mergeCells>
  <hyperlinks>
    <hyperlink ref="I7" r:id="rId1"/>
    <hyperlink ref="I51" r:id="rId2"/>
    <hyperlink ref="I47" r:id="rId3"/>
    <hyperlink ref="I46" r:id="rId4"/>
    <hyperlink ref="I45" r:id="rId5"/>
    <hyperlink ref="I43" r:id="rId6"/>
    <hyperlink ref="I42" r:id="rId7"/>
    <hyperlink ref="I41" r:id="rId8"/>
    <hyperlink ref="I27" r:id="rId9"/>
    <hyperlink ref="I29" r:id="rId10"/>
    <hyperlink ref="I30" r:id="rId11"/>
    <hyperlink ref="K41" r:id="rId12"/>
    <hyperlink ref="K46" r:id="rId13"/>
    <hyperlink ref="K47" r:id="rId14"/>
    <hyperlink ref="K48" r:id="rId15"/>
    <hyperlink ref="K49" r:id="rId16"/>
    <hyperlink ref="K50" r:id="rId17"/>
    <hyperlink ref="K51" r:id="rId18"/>
  </hyperlinks>
  <pageMargins left="0.7" right="0.7" top="0.75" bottom="0.75" header="0.3" footer="0.3"/>
  <pageSetup orientation="portrait" horizontalDpi="4294967293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Z1000"/>
  <sheetViews>
    <sheetView zoomScale="90" zoomScaleNormal="90" zoomScalePageLayoutView="11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59" sqref="H59"/>
    </sheetView>
  </sheetViews>
  <sheetFormatPr defaultColWidth="14.42578125" defaultRowHeight="15" customHeight="1" x14ac:dyDescent="0.25"/>
  <cols>
    <col min="1" max="1" width="6.85546875" customWidth="1"/>
    <col min="2" max="2" width="36.85546875" customWidth="1"/>
    <col min="3" max="3" width="40.85546875" customWidth="1"/>
    <col min="4" max="4" width="2.42578125" customWidth="1"/>
    <col min="5" max="5" width="14.28515625" customWidth="1"/>
    <col min="6" max="6" width="14.42578125" customWidth="1"/>
    <col min="7" max="7" width="14.140625" customWidth="1"/>
    <col min="8" max="8" width="14" customWidth="1"/>
    <col min="9" max="10" width="14.28515625" customWidth="1"/>
    <col min="11" max="11" width="14.42578125" customWidth="1"/>
    <col min="12" max="12" width="14.28515625" customWidth="1"/>
    <col min="13" max="13" width="14.7109375" customWidth="1"/>
    <col min="14" max="15" width="14.28515625" customWidth="1"/>
    <col min="16" max="16" width="14.140625" customWidth="1"/>
    <col min="17" max="17" width="14" customWidth="1"/>
    <col min="18" max="18" width="14.140625" customWidth="1"/>
    <col min="19" max="19" width="14.28515625" customWidth="1"/>
    <col min="20" max="20" width="14.7109375" customWidth="1"/>
    <col min="21" max="21" width="14.42578125" customWidth="1"/>
    <col min="22" max="22" width="14.28515625" customWidth="1"/>
    <col min="23" max="23" width="14.7109375" customWidth="1"/>
    <col min="24" max="24" width="14.42578125" customWidth="1"/>
    <col min="25" max="25" width="15" customWidth="1"/>
    <col min="26" max="26" width="14.42578125" customWidth="1"/>
    <col min="27" max="27" width="14.140625" customWidth="1"/>
    <col min="28" max="29" width="14.42578125" customWidth="1"/>
    <col min="30" max="30" width="14" customWidth="1"/>
    <col min="31" max="31" width="14.28515625" customWidth="1"/>
    <col min="32" max="33" width="14.42578125" customWidth="1"/>
    <col min="34" max="34" width="15" customWidth="1"/>
    <col min="35" max="35" width="14.140625" customWidth="1"/>
    <col min="36" max="36" width="14.28515625" customWidth="1"/>
    <col min="37" max="37" width="14.42578125" customWidth="1"/>
    <col min="38" max="38" width="14.85546875" customWidth="1"/>
    <col min="39" max="40" width="14.7109375" customWidth="1"/>
    <col min="41" max="41" width="14.42578125" customWidth="1"/>
    <col min="42" max="42" width="14.7109375" customWidth="1"/>
    <col min="43" max="43" width="14.28515625" customWidth="1"/>
    <col min="44" max="44" width="14.42578125" customWidth="1"/>
    <col min="45" max="48" width="15.140625" customWidth="1"/>
    <col min="49" max="49" width="14.85546875" customWidth="1"/>
    <col min="50" max="51" width="14.28515625" customWidth="1"/>
    <col min="52" max="52" width="14.42578125" customWidth="1"/>
    <col min="53" max="53" width="14.85546875" customWidth="1"/>
    <col min="54" max="54" width="15.140625" customWidth="1"/>
    <col min="55" max="55" width="15.42578125" customWidth="1"/>
    <col min="56" max="56" width="15.140625" customWidth="1"/>
    <col min="57" max="57" width="14.85546875" customWidth="1"/>
    <col min="58" max="58" width="14.28515625" customWidth="1"/>
    <col min="59" max="59" width="14.42578125" customWidth="1"/>
    <col min="60" max="61" width="14.85546875" customWidth="1"/>
    <col min="62" max="62" width="14.140625" customWidth="1"/>
    <col min="63" max="63" width="14.140625" style="179" customWidth="1"/>
    <col min="64" max="64" width="14.42578125" customWidth="1"/>
    <col min="65" max="65" width="14.85546875" customWidth="1"/>
    <col min="66" max="66" width="15.2851562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4.85546875" customWidth="1"/>
    <col min="73" max="74" width="15" customWidth="1"/>
    <col min="75" max="75" width="14.85546875" customWidth="1"/>
    <col min="76" max="77" width="15" customWidth="1"/>
    <col min="78" max="78" width="15.140625" customWidth="1"/>
    <col min="79" max="79" width="14.28515625" customWidth="1"/>
    <col min="80" max="80" width="14.7109375" customWidth="1"/>
    <col min="81" max="82" width="15.7109375" customWidth="1"/>
    <col min="83" max="86" width="15" customWidth="1"/>
  </cols>
  <sheetData>
    <row r="1" spans="1:10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104" ht="15.75" thickBot="1" x14ac:dyDescent="0.3">
      <c r="A2" s="1"/>
      <c r="B2" s="1"/>
      <c r="C2" s="1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6"/>
      <c r="AR2" s="6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104" ht="16.5" thickTop="1" thickBot="1" x14ac:dyDescent="0.3">
      <c r="A3" s="7"/>
      <c r="B3" s="7"/>
      <c r="C3" s="7"/>
      <c r="D3" s="8"/>
      <c r="E3" s="605" t="s">
        <v>0</v>
      </c>
      <c r="F3" s="607"/>
      <c r="G3" s="605" t="s">
        <v>1</v>
      </c>
      <c r="H3" s="606"/>
      <c r="I3" s="605" t="s">
        <v>2</v>
      </c>
      <c r="J3" s="606"/>
      <c r="K3" s="616" t="s">
        <v>3</v>
      </c>
      <c r="L3" s="617"/>
      <c r="M3" s="605" t="s">
        <v>4</v>
      </c>
      <c r="N3" s="607"/>
      <c r="O3" s="605" t="s">
        <v>5</v>
      </c>
      <c r="P3" s="607"/>
      <c r="Q3" s="605" t="s">
        <v>6</v>
      </c>
      <c r="R3" s="606"/>
      <c r="S3" s="616" t="s">
        <v>7</v>
      </c>
      <c r="T3" s="617"/>
      <c r="U3" s="618" t="s">
        <v>8</v>
      </c>
      <c r="V3" s="606"/>
      <c r="W3" s="616" t="s">
        <v>9</v>
      </c>
      <c r="X3" s="617"/>
      <c r="Y3" s="627" t="s">
        <v>10</v>
      </c>
      <c r="Z3" s="607"/>
      <c r="AA3" s="605" t="s">
        <v>11</v>
      </c>
      <c r="AB3" s="607"/>
      <c r="AC3" s="605" t="s">
        <v>12</v>
      </c>
      <c r="AD3" s="606"/>
      <c r="AE3" s="616" t="s">
        <v>13</v>
      </c>
      <c r="AF3" s="617"/>
      <c r="AG3" s="605" t="s">
        <v>14</v>
      </c>
      <c r="AH3" s="607"/>
      <c r="AI3" s="605" t="s">
        <v>15</v>
      </c>
      <c r="AJ3" s="607"/>
      <c r="AK3" s="605" t="s">
        <v>16</v>
      </c>
      <c r="AL3" s="606"/>
      <c r="AM3" s="605" t="s">
        <v>17</v>
      </c>
      <c r="AN3" s="606"/>
      <c r="AO3" s="605" t="s">
        <v>18</v>
      </c>
      <c r="AP3" s="606"/>
      <c r="AQ3" s="605" t="s">
        <v>19</v>
      </c>
      <c r="AR3" s="606"/>
      <c r="AS3" s="605" t="s">
        <v>20</v>
      </c>
      <c r="AT3" s="606"/>
      <c r="AU3" s="605" t="s">
        <v>21</v>
      </c>
      <c r="AV3" s="606"/>
      <c r="AW3" s="605" t="s">
        <v>22</v>
      </c>
      <c r="AX3" s="606"/>
      <c r="AY3" s="605" t="s">
        <v>23</v>
      </c>
      <c r="AZ3" s="606"/>
      <c r="BA3" s="605" t="s">
        <v>24</v>
      </c>
      <c r="BB3" s="606"/>
      <c r="BC3" s="605" t="s">
        <v>25</v>
      </c>
      <c r="BD3" s="606"/>
      <c r="BE3" s="605" t="s">
        <v>26</v>
      </c>
      <c r="BF3" s="606"/>
      <c r="BG3" s="605" t="s">
        <v>27</v>
      </c>
      <c r="BH3" s="606"/>
      <c r="BI3" s="605" t="s">
        <v>28</v>
      </c>
      <c r="BJ3" s="606"/>
      <c r="BK3" s="605" t="s">
        <v>29</v>
      </c>
      <c r="BL3" s="625"/>
      <c r="BM3" s="605" t="s">
        <v>30</v>
      </c>
      <c r="BN3" s="606"/>
      <c r="BO3" s="605" t="s">
        <v>31</v>
      </c>
      <c r="BP3" s="606"/>
      <c r="BQ3" s="605" t="s">
        <v>32</v>
      </c>
      <c r="BR3" s="606"/>
      <c r="BS3" s="605" t="s">
        <v>33</v>
      </c>
      <c r="BT3" s="606"/>
      <c r="BU3" s="605" t="s">
        <v>34</v>
      </c>
      <c r="BV3" s="606"/>
      <c r="BW3" s="605" t="s">
        <v>35</v>
      </c>
      <c r="BX3" s="606"/>
      <c r="BY3" s="605" t="s">
        <v>36</v>
      </c>
      <c r="BZ3" s="606"/>
      <c r="CA3" s="605" t="s">
        <v>37</v>
      </c>
      <c r="CB3" s="606"/>
      <c r="CC3" s="605" t="s">
        <v>38</v>
      </c>
      <c r="CD3" s="606"/>
      <c r="CE3" s="605" t="s">
        <v>226</v>
      </c>
      <c r="CF3" s="625"/>
      <c r="CG3" s="605" t="s">
        <v>227</v>
      </c>
      <c r="CH3" s="625"/>
      <c r="CI3" s="605" t="s">
        <v>228</v>
      </c>
      <c r="CJ3" s="625"/>
      <c r="CK3" s="605" t="s">
        <v>229</v>
      </c>
      <c r="CL3" s="625"/>
      <c r="CM3" s="605" t="s">
        <v>230</v>
      </c>
      <c r="CN3" s="625"/>
      <c r="CO3" s="605" t="s">
        <v>231</v>
      </c>
      <c r="CP3" s="625"/>
      <c r="CQ3" s="605" t="s">
        <v>232</v>
      </c>
      <c r="CR3" s="625"/>
      <c r="CS3" s="605" t="s">
        <v>233</v>
      </c>
      <c r="CT3" s="625"/>
      <c r="CU3" s="605" t="s">
        <v>234</v>
      </c>
      <c r="CV3" s="625"/>
      <c r="CW3" s="605" t="s">
        <v>235</v>
      </c>
      <c r="CX3" s="625"/>
      <c r="CY3" s="605" t="s">
        <v>236</v>
      </c>
      <c r="CZ3" s="625"/>
    </row>
    <row r="4" spans="1:104" x14ac:dyDescent="0.25">
      <c r="A4" s="9"/>
      <c r="B4" s="621" t="s">
        <v>39</v>
      </c>
      <c r="C4" s="623" t="s">
        <v>40</v>
      </c>
      <c r="D4" s="10"/>
      <c r="E4" s="608">
        <v>2015</v>
      </c>
      <c r="F4" s="610">
        <v>2016</v>
      </c>
      <c r="G4" s="608">
        <v>2015</v>
      </c>
      <c r="H4" s="610">
        <v>2016</v>
      </c>
      <c r="I4" s="608">
        <v>2015</v>
      </c>
      <c r="J4" s="610">
        <v>2016</v>
      </c>
      <c r="K4" s="608">
        <v>2015</v>
      </c>
      <c r="L4" s="610">
        <v>2016</v>
      </c>
      <c r="M4" s="608">
        <v>2015</v>
      </c>
      <c r="N4" s="610">
        <v>2016</v>
      </c>
      <c r="O4" s="608">
        <v>2015</v>
      </c>
      <c r="P4" s="610">
        <v>2016</v>
      </c>
      <c r="Q4" s="608">
        <v>2015</v>
      </c>
      <c r="R4" s="610">
        <v>2016</v>
      </c>
      <c r="S4" s="612">
        <v>2015</v>
      </c>
      <c r="T4" s="614">
        <v>2016</v>
      </c>
      <c r="U4" s="608">
        <v>2015</v>
      </c>
      <c r="V4" s="610">
        <v>2016</v>
      </c>
      <c r="W4" s="608">
        <v>2015</v>
      </c>
      <c r="X4" s="610">
        <v>2016</v>
      </c>
      <c r="Y4" s="619">
        <v>2015</v>
      </c>
      <c r="Z4" s="610">
        <v>2016</v>
      </c>
      <c r="AA4" s="608">
        <v>2015</v>
      </c>
      <c r="AB4" s="610">
        <v>2016</v>
      </c>
      <c r="AC4" s="608">
        <v>2015</v>
      </c>
      <c r="AD4" s="610">
        <v>2016</v>
      </c>
      <c r="AE4" s="608">
        <v>2015</v>
      </c>
      <c r="AF4" s="610">
        <v>2016</v>
      </c>
      <c r="AG4" s="608">
        <v>2015</v>
      </c>
      <c r="AH4" s="610">
        <v>2016</v>
      </c>
      <c r="AI4" s="608">
        <v>2015</v>
      </c>
      <c r="AJ4" s="610">
        <v>2016</v>
      </c>
      <c r="AK4" s="608">
        <v>2015</v>
      </c>
      <c r="AL4" s="610">
        <v>2016</v>
      </c>
      <c r="AM4" s="619">
        <v>2015</v>
      </c>
      <c r="AN4" s="610">
        <v>2016</v>
      </c>
      <c r="AO4" s="619">
        <v>2015</v>
      </c>
      <c r="AP4" s="610">
        <v>2016</v>
      </c>
      <c r="AQ4" s="619">
        <v>2015</v>
      </c>
      <c r="AR4" s="626">
        <v>2016</v>
      </c>
      <c r="AS4" s="619">
        <v>2015</v>
      </c>
      <c r="AT4" s="610">
        <v>2016</v>
      </c>
      <c r="AU4" s="619">
        <v>2015</v>
      </c>
      <c r="AV4" s="610">
        <v>2016</v>
      </c>
      <c r="AW4" s="619">
        <v>2015</v>
      </c>
      <c r="AX4" s="610">
        <v>2016</v>
      </c>
      <c r="AY4" s="619">
        <v>2015</v>
      </c>
      <c r="AZ4" s="610">
        <v>2016</v>
      </c>
      <c r="BA4" s="619">
        <v>2015</v>
      </c>
      <c r="BB4" s="610">
        <v>2016</v>
      </c>
      <c r="BC4" s="619">
        <v>2015</v>
      </c>
      <c r="BD4" s="610">
        <v>2016</v>
      </c>
      <c r="BE4" s="619">
        <v>2015</v>
      </c>
      <c r="BF4" s="610">
        <v>2016</v>
      </c>
      <c r="BG4" s="619">
        <v>2015</v>
      </c>
      <c r="BH4" s="610">
        <v>2016</v>
      </c>
      <c r="BI4" s="619">
        <v>2015</v>
      </c>
      <c r="BJ4" s="610">
        <v>2016</v>
      </c>
      <c r="BK4" s="628">
        <v>2015</v>
      </c>
      <c r="BL4" s="619">
        <v>2016</v>
      </c>
      <c r="BM4" s="624">
        <v>2015</v>
      </c>
      <c r="BN4" s="610">
        <v>2016</v>
      </c>
      <c r="BO4" s="624">
        <v>2015</v>
      </c>
      <c r="BP4" s="610">
        <v>2016</v>
      </c>
      <c r="BQ4" s="619">
        <v>2015</v>
      </c>
      <c r="BR4" s="610">
        <v>2016</v>
      </c>
      <c r="BS4" s="619">
        <v>2015</v>
      </c>
      <c r="BT4" s="610">
        <v>2016</v>
      </c>
      <c r="BU4" s="619">
        <v>2015</v>
      </c>
      <c r="BV4" s="610">
        <v>2016</v>
      </c>
      <c r="BW4" s="619">
        <v>2015</v>
      </c>
      <c r="BX4" s="610">
        <v>2016</v>
      </c>
      <c r="BY4" s="619">
        <v>2015</v>
      </c>
      <c r="BZ4" s="610">
        <v>2016</v>
      </c>
      <c r="CA4" s="619">
        <v>2015</v>
      </c>
      <c r="CB4" s="610">
        <v>2016</v>
      </c>
      <c r="CC4" s="619">
        <v>2015</v>
      </c>
      <c r="CD4" s="610">
        <v>2016</v>
      </c>
      <c r="CE4" s="619">
        <v>2015</v>
      </c>
      <c r="CF4" s="610">
        <v>2016</v>
      </c>
      <c r="CG4" s="619">
        <v>2015</v>
      </c>
      <c r="CH4" s="610">
        <v>2016</v>
      </c>
      <c r="CI4" s="619">
        <v>2015</v>
      </c>
      <c r="CJ4" s="610">
        <v>2016</v>
      </c>
      <c r="CK4" s="619">
        <v>2015</v>
      </c>
      <c r="CL4" s="610">
        <v>2016</v>
      </c>
      <c r="CM4" s="619">
        <v>2015</v>
      </c>
      <c r="CN4" s="610">
        <v>2016</v>
      </c>
      <c r="CO4" s="619">
        <v>2015</v>
      </c>
      <c r="CP4" s="610">
        <v>2016</v>
      </c>
      <c r="CQ4" s="619">
        <v>2015</v>
      </c>
      <c r="CR4" s="610">
        <v>2016</v>
      </c>
      <c r="CS4" s="619">
        <v>2015</v>
      </c>
      <c r="CT4" s="610">
        <v>2016</v>
      </c>
      <c r="CU4" s="619">
        <v>2015</v>
      </c>
      <c r="CV4" s="610">
        <v>2016</v>
      </c>
      <c r="CW4" s="619">
        <v>2015</v>
      </c>
      <c r="CX4" s="610">
        <v>2016</v>
      </c>
      <c r="CY4" s="619">
        <v>2015</v>
      </c>
      <c r="CZ4" s="610">
        <v>2016</v>
      </c>
    </row>
    <row r="5" spans="1:104" ht="15.75" thickBot="1" x14ac:dyDescent="0.3">
      <c r="A5" s="9"/>
      <c r="B5" s="622"/>
      <c r="C5" s="615"/>
      <c r="D5" s="11"/>
      <c r="E5" s="609"/>
      <c r="F5" s="611"/>
      <c r="G5" s="609"/>
      <c r="H5" s="611"/>
      <c r="I5" s="609"/>
      <c r="J5" s="611"/>
      <c r="K5" s="609"/>
      <c r="L5" s="611"/>
      <c r="M5" s="609"/>
      <c r="N5" s="611"/>
      <c r="O5" s="609"/>
      <c r="P5" s="611"/>
      <c r="Q5" s="609"/>
      <c r="R5" s="611"/>
      <c r="S5" s="613"/>
      <c r="T5" s="615"/>
      <c r="U5" s="609"/>
      <c r="V5" s="611"/>
      <c r="W5" s="609"/>
      <c r="X5" s="611"/>
      <c r="Y5" s="620"/>
      <c r="Z5" s="611"/>
      <c r="AA5" s="609"/>
      <c r="AB5" s="611"/>
      <c r="AC5" s="609"/>
      <c r="AD5" s="611"/>
      <c r="AE5" s="609"/>
      <c r="AF5" s="611"/>
      <c r="AG5" s="609"/>
      <c r="AH5" s="611"/>
      <c r="AI5" s="609"/>
      <c r="AJ5" s="611"/>
      <c r="AK5" s="609"/>
      <c r="AL5" s="611"/>
      <c r="AM5" s="620"/>
      <c r="AN5" s="611"/>
      <c r="AO5" s="620"/>
      <c r="AP5" s="611"/>
      <c r="AQ5" s="620"/>
      <c r="AR5" s="611"/>
      <c r="AS5" s="620"/>
      <c r="AT5" s="611"/>
      <c r="AU5" s="620"/>
      <c r="AV5" s="611"/>
      <c r="AW5" s="620"/>
      <c r="AX5" s="611"/>
      <c r="AY5" s="620"/>
      <c r="AZ5" s="611"/>
      <c r="BA5" s="620"/>
      <c r="BB5" s="611"/>
      <c r="BC5" s="620"/>
      <c r="BD5" s="611"/>
      <c r="BE5" s="620"/>
      <c r="BF5" s="611"/>
      <c r="BG5" s="620"/>
      <c r="BH5" s="611"/>
      <c r="BI5" s="620"/>
      <c r="BJ5" s="611"/>
      <c r="BK5" s="629"/>
      <c r="BL5" s="620"/>
      <c r="BM5" s="611"/>
      <c r="BN5" s="611"/>
      <c r="BO5" s="611"/>
      <c r="BP5" s="611"/>
      <c r="BQ5" s="620"/>
      <c r="BR5" s="611"/>
      <c r="BS5" s="620"/>
      <c r="BT5" s="611"/>
      <c r="BU5" s="620"/>
      <c r="BV5" s="611"/>
      <c r="BW5" s="620"/>
      <c r="BX5" s="611"/>
      <c r="BY5" s="620"/>
      <c r="BZ5" s="611"/>
      <c r="CA5" s="620"/>
      <c r="CB5" s="611"/>
      <c r="CC5" s="620"/>
      <c r="CD5" s="611"/>
      <c r="CE5" s="620"/>
      <c r="CF5" s="611"/>
      <c r="CG5" s="620"/>
      <c r="CH5" s="611"/>
      <c r="CI5" s="620"/>
      <c r="CJ5" s="611"/>
      <c r="CK5" s="620"/>
      <c r="CL5" s="611"/>
      <c r="CM5" s="620"/>
      <c r="CN5" s="611"/>
      <c r="CO5" s="620"/>
      <c r="CP5" s="611"/>
      <c r="CQ5" s="620"/>
      <c r="CR5" s="611"/>
      <c r="CS5" s="620"/>
      <c r="CT5" s="611"/>
      <c r="CU5" s="620"/>
      <c r="CV5" s="611"/>
      <c r="CW5" s="620"/>
      <c r="CX5" s="611"/>
      <c r="CY5" s="620"/>
      <c r="CZ5" s="611"/>
    </row>
    <row r="6" spans="1:104" ht="15.75" thickBot="1" x14ac:dyDescent="0.3">
      <c r="A6" s="9"/>
      <c r="B6" s="12" t="s">
        <v>43</v>
      </c>
      <c r="C6" s="13" t="s">
        <v>44</v>
      </c>
      <c r="D6" s="14"/>
      <c r="E6" s="15"/>
      <c r="F6" s="16"/>
      <c r="G6" s="17"/>
      <c r="H6" s="16"/>
      <c r="I6" s="17"/>
      <c r="J6" s="18"/>
      <c r="K6" s="19"/>
      <c r="L6" s="16"/>
      <c r="M6" s="15"/>
      <c r="N6" s="18"/>
      <c r="O6" s="15"/>
      <c r="P6" s="18"/>
      <c r="Q6" s="15"/>
      <c r="R6" s="18"/>
      <c r="S6" s="15"/>
      <c r="T6" s="18"/>
      <c r="U6" s="15"/>
      <c r="V6" s="18"/>
      <c r="W6" s="15"/>
      <c r="X6" s="18"/>
      <c r="Y6" s="15"/>
      <c r="Z6" s="18"/>
      <c r="AA6" s="15"/>
      <c r="AB6" s="16"/>
      <c r="AC6" s="15"/>
      <c r="AD6" s="18"/>
      <c r="AE6" s="15"/>
      <c r="AF6" s="18"/>
      <c r="AG6" s="15"/>
      <c r="AH6" s="18"/>
      <c r="AI6" s="15"/>
      <c r="AJ6" s="18"/>
      <c r="AK6" s="19"/>
      <c r="AL6" s="18"/>
      <c r="AM6" s="19"/>
      <c r="AN6" s="18"/>
      <c r="AO6" s="19"/>
      <c r="AP6" s="18"/>
      <c r="AQ6" s="20"/>
      <c r="AR6" s="21"/>
      <c r="AS6" s="22"/>
      <c r="AT6" s="23"/>
      <c r="AU6" s="22"/>
      <c r="AV6" s="23"/>
      <c r="AW6" s="22"/>
      <c r="AX6" s="23"/>
      <c r="AY6" s="22"/>
      <c r="AZ6" s="23"/>
      <c r="BA6" s="22"/>
      <c r="BB6" s="23"/>
      <c r="BC6" s="22"/>
      <c r="BD6" s="22"/>
      <c r="BE6" s="24"/>
      <c r="BF6" s="23"/>
      <c r="BG6" s="22"/>
      <c r="BH6" s="23"/>
      <c r="BI6" s="22"/>
      <c r="BJ6" s="23"/>
      <c r="BK6" s="202"/>
      <c r="BL6" s="203"/>
      <c r="BM6" s="22"/>
      <c r="BN6" s="23"/>
      <c r="BO6" s="22"/>
      <c r="BP6" s="23"/>
      <c r="BQ6" s="22"/>
      <c r="BR6" s="23"/>
      <c r="BS6" s="22"/>
      <c r="BT6" s="23"/>
      <c r="BU6" s="22"/>
      <c r="BV6" s="23"/>
      <c r="BW6" s="22"/>
      <c r="BX6" s="23"/>
      <c r="BY6" s="22"/>
      <c r="BZ6" s="23"/>
      <c r="CA6" s="22"/>
      <c r="CB6" s="23"/>
      <c r="CC6" s="22"/>
      <c r="CD6" s="23"/>
      <c r="CE6" s="22"/>
      <c r="CF6" s="23"/>
      <c r="CG6" s="22"/>
      <c r="CH6" s="23"/>
      <c r="CI6" s="22"/>
      <c r="CJ6" s="23"/>
      <c r="CK6" s="22"/>
      <c r="CL6" s="23"/>
      <c r="CM6" s="22"/>
      <c r="CN6" s="23"/>
      <c r="CO6" s="22"/>
      <c r="CP6" s="23"/>
      <c r="CQ6" s="22"/>
      <c r="CR6" s="23"/>
      <c r="CS6" s="22"/>
      <c r="CT6" s="23"/>
      <c r="CU6" s="22"/>
      <c r="CV6" s="23"/>
      <c r="CW6" s="22"/>
      <c r="CX6" s="23"/>
      <c r="CY6" s="22"/>
      <c r="CZ6" s="23"/>
    </row>
    <row r="7" spans="1:104" x14ac:dyDescent="0.25">
      <c r="A7" s="9"/>
      <c r="B7" s="25" t="s">
        <v>45</v>
      </c>
      <c r="C7" s="26" t="s">
        <v>46</v>
      </c>
      <c r="D7" s="14"/>
      <c r="E7" s="27">
        <v>259368</v>
      </c>
      <c r="F7" s="28">
        <v>197140</v>
      </c>
      <c r="G7" s="29">
        <v>1968550</v>
      </c>
      <c r="H7" s="28">
        <v>1488647</v>
      </c>
      <c r="I7" s="30">
        <v>3294189</v>
      </c>
      <c r="J7" s="31">
        <v>2460648</v>
      </c>
      <c r="K7" s="32"/>
      <c r="L7" s="33">
        <v>59390</v>
      </c>
      <c r="M7" s="27">
        <v>15554361</v>
      </c>
      <c r="N7" s="33">
        <v>24091828</v>
      </c>
      <c r="O7" s="27">
        <v>105684</v>
      </c>
      <c r="P7" s="33">
        <v>75605</v>
      </c>
      <c r="Q7" s="27">
        <v>14963</v>
      </c>
      <c r="R7" s="33">
        <v>41061</v>
      </c>
      <c r="S7" s="27">
        <v>62752</v>
      </c>
      <c r="T7" s="33">
        <v>1118522</v>
      </c>
      <c r="U7" s="27">
        <v>2314263</v>
      </c>
      <c r="V7" s="33">
        <v>2265769</v>
      </c>
      <c r="W7" s="27">
        <v>18635803</v>
      </c>
      <c r="X7" s="33">
        <v>18313790</v>
      </c>
      <c r="Y7" s="27">
        <v>165506</v>
      </c>
      <c r="Z7" s="33">
        <v>84130</v>
      </c>
      <c r="AA7" s="27">
        <v>436728</v>
      </c>
      <c r="AB7" s="28">
        <v>357922</v>
      </c>
      <c r="AC7" s="27">
        <v>213779</v>
      </c>
      <c r="AD7" s="33">
        <v>243456</v>
      </c>
      <c r="AE7" s="27">
        <v>32957316</v>
      </c>
      <c r="AF7" s="33">
        <v>28314515</v>
      </c>
      <c r="AG7" s="27">
        <v>791481</v>
      </c>
      <c r="AH7" s="33">
        <v>996108</v>
      </c>
      <c r="AI7" s="27">
        <v>2696707</v>
      </c>
      <c r="AJ7" s="33">
        <v>2680276</v>
      </c>
      <c r="AK7" s="34">
        <v>1168730</v>
      </c>
      <c r="AL7" s="33">
        <v>1951415</v>
      </c>
      <c r="AM7" s="34">
        <v>55488</v>
      </c>
      <c r="AN7" s="33">
        <v>47943</v>
      </c>
      <c r="AO7" s="34">
        <v>2100092</v>
      </c>
      <c r="AP7" s="33">
        <v>782231</v>
      </c>
      <c r="AQ7" s="35">
        <v>36399</v>
      </c>
      <c r="AR7" s="36">
        <v>60137</v>
      </c>
      <c r="AS7" s="37">
        <v>19958</v>
      </c>
      <c r="AT7" s="38">
        <v>15876</v>
      </c>
      <c r="AU7" s="37">
        <v>43877</v>
      </c>
      <c r="AV7" s="37">
        <v>34121</v>
      </c>
      <c r="AW7" s="39">
        <v>7025535</v>
      </c>
      <c r="AX7" s="38">
        <v>7320377</v>
      </c>
      <c r="AY7" s="39">
        <v>3366160</v>
      </c>
      <c r="AZ7" s="38">
        <v>6808595</v>
      </c>
      <c r="BA7" s="39">
        <v>12156502</v>
      </c>
      <c r="BB7" s="38">
        <v>17267755</v>
      </c>
      <c r="BC7" s="39">
        <v>12407</v>
      </c>
      <c r="BD7" s="39">
        <v>8246</v>
      </c>
      <c r="BE7" s="40">
        <v>437</v>
      </c>
      <c r="BF7" s="38">
        <v>10161</v>
      </c>
      <c r="BG7" s="40"/>
      <c r="BH7" s="194">
        <v>9611</v>
      </c>
      <c r="BI7" s="39">
        <v>98824</v>
      </c>
      <c r="BJ7" s="38">
        <v>71392</v>
      </c>
      <c r="BK7" s="40">
        <v>4220420</v>
      </c>
      <c r="BL7" s="218">
        <v>2422290</v>
      </c>
      <c r="BM7" s="39">
        <v>50750</v>
      </c>
      <c r="BN7" s="38">
        <v>36160</v>
      </c>
      <c r="BO7" s="39">
        <v>720950</v>
      </c>
      <c r="BP7" s="38">
        <v>1551140</v>
      </c>
      <c r="BQ7" s="39">
        <v>2000</v>
      </c>
      <c r="BR7" s="38">
        <v>4820</v>
      </c>
      <c r="BS7" s="39">
        <v>19790</v>
      </c>
      <c r="BT7" s="38">
        <v>50530</v>
      </c>
      <c r="BU7" s="39">
        <v>148600</v>
      </c>
      <c r="BV7" s="38">
        <v>131200</v>
      </c>
      <c r="BW7" s="39">
        <v>154240</v>
      </c>
      <c r="BX7" s="38">
        <v>121970</v>
      </c>
      <c r="BY7" s="39">
        <v>810710</v>
      </c>
      <c r="BZ7" s="38">
        <v>37770</v>
      </c>
      <c r="CA7" s="39"/>
      <c r="CB7" s="38"/>
      <c r="CC7" s="39">
        <v>3910</v>
      </c>
      <c r="CD7" s="38">
        <v>2030</v>
      </c>
      <c r="CE7" s="39"/>
      <c r="CF7" s="38">
        <v>5213</v>
      </c>
      <c r="CG7" s="39">
        <v>19078</v>
      </c>
      <c r="CH7" s="38">
        <v>49800</v>
      </c>
      <c r="CI7" s="39"/>
      <c r="CJ7" s="38"/>
      <c r="CK7" s="39">
        <v>13958</v>
      </c>
      <c r="CL7" s="38">
        <v>19042</v>
      </c>
      <c r="CM7" s="39"/>
      <c r="CN7" s="38"/>
      <c r="CO7" s="39">
        <v>7482</v>
      </c>
      <c r="CP7" s="38">
        <v>7166</v>
      </c>
      <c r="CQ7" s="39"/>
      <c r="CR7" s="38"/>
      <c r="CS7" s="39"/>
      <c r="CT7" s="38"/>
      <c r="CU7" s="39">
        <v>540657</v>
      </c>
      <c r="CV7" s="38">
        <v>576977</v>
      </c>
      <c r="CW7" s="39">
        <v>4830</v>
      </c>
      <c r="CX7" s="38">
        <v>3394</v>
      </c>
      <c r="CY7" s="39">
        <v>216585</v>
      </c>
      <c r="CZ7" s="38">
        <v>183646</v>
      </c>
    </row>
    <row r="8" spans="1:104" ht="30" customHeight="1" x14ac:dyDescent="0.25">
      <c r="A8" s="9"/>
      <c r="B8" s="41" t="s">
        <v>47</v>
      </c>
      <c r="C8" s="26" t="s">
        <v>48</v>
      </c>
      <c r="D8" s="14"/>
      <c r="E8" s="27">
        <v>1965432</v>
      </c>
      <c r="F8" s="28">
        <v>2726553</v>
      </c>
      <c r="G8" s="32"/>
      <c r="H8" s="28"/>
      <c r="I8" s="30">
        <v>137094060</v>
      </c>
      <c r="J8" s="31">
        <v>396878519</v>
      </c>
      <c r="K8" s="32">
        <v>15247380</v>
      </c>
      <c r="L8" s="33">
        <v>16922652</v>
      </c>
      <c r="M8" s="27">
        <v>1441953084</v>
      </c>
      <c r="N8" s="33">
        <v>1413899489</v>
      </c>
      <c r="O8" s="27"/>
      <c r="P8" s="33"/>
      <c r="Q8" s="27">
        <v>320025</v>
      </c>
      <c r="R8" s="33">
        <v>320025</v>
      </c>
      <c r="S8" s="27">
        <v>22250</v>
      </c>
      <c r="T8" s="33"/>
      <c r="U8" s="27">
        <v>310326</v>
      </c>
      <c r="V8" s="33">
        <v>310326</v>
      </c>
      <c r="W8" s="27">
        <v>518733515</v>
      </c>
      <c r="X8" s="33">
        <v>525957133</v>
      </c>
      <c r="Y8" s="27">
        <v>2595175255</v>
      </c>
      <c r="Z8" s="33">
        <v>1549110887</v>
      </c>
      <c r="AA8" s="27">
        <v>13841089</v>
      </c>
      <c r="AB8" s="28"/>
      <c r="AC8" s="27">
        <v>11332616</v>
      </c>
      <c r="AD8" s="33">
        <v>11355570</v>
      </c>
      <c r="AE8" s="27">
        <v>27693903</v>
      </c>
      <c r="AF8" s="33">
        <v>19975587</v>
      </c>
      <c r="AG8" s="27">
        <v>1245849</v>
      </c>
      <c r="AH8" s="33">
        <v>780353</v>
      </c>
      <c r="AI8" s="27">
        <v>24708</v>
      </c>
      <c r="AJ8" s="33">
        <v>32708</v>
      </c>
      <c r="AK8" s="27">
        <v>540700</v>
      </c>
      <c r="AL8" s="33">
        <v>486564</v>
      </c>
      <c r="AM8" s="27"/>
      <c r="AN8" s="33"/>
      <c r="AO8" s="27">
        <v>7878156</v>
      </c>
      <c r="AP8" s="33">
        <v>2431351</v>
      </c>
      <c r="AQ8" s="30">
        <v>190567</v>
      </c>
      <c r="AR8" s="31">
        <v>1248822</v>
      </c>
      <c r="AS8" s="42">
        <v>9979</v>
      </c>
      <c r="AT8" s="43">
        <v>105569</v>
      </c>
      <c r="AU8" s="42">
        <v>1769046</v>
      </c>
      <c r="AV8" s="42">
        <v>10828195</v>
      </c>
      <c r="AW8" s="44">
        <v>27860336</v>
      </c>
      <c r="AX8" s="43">
        <v>7196402</v>
      </c>
      <c r="AY8" s="44">
        <v>1302108</v>
      </c>
      <c r="AZ8" s="43">
        <v>5256853</v>
      </c>
      <c r="BA8" s="44">
        <v>258075042</v>
      </c>
      <c r="BB8" s="43">
        <v>268009558</v>
      </c>
      <c r="BC8" s="44"/>
      <c r="BD8" s="44"/>
      <c r="BE8" s="45">
        <v>3443982</v>
      </c>
      <c r="BF8" s="43">
        <v>2860803</v>
      </c>
      <c r="BG8" s="45"/>
      <c r="BH8" s="185">
        <v>46159</v>
      </c>
      <c r="BI8" s="44">
        <v>35314176</v>
      </c>
      <c r="BJ8" s="43">
        <v>19306677</v>
      </c>
      <c r="BK8" s="45">
        <v>2672340</v>
      </c>
      <c r="BL8" s="205">
        <v>1458300</v>
      </c>
      <c r="BM8" s="44"/>
      <c r="BN8" s="43"/>
      <c r="BO8" s="44">
        <v>449930</v>
      </c>
      <c r="BP8" s="43">
        <v>449930</v>
      </c>
      <c r="BQ8" s="44"/>
      <c r="BR8" s="43"/>
      <c r="BS8" s="44"/>
      <c r="BT8" s="43"/>
      <c r="BU8" s="44">
        <v>60540</v>
      </c>
      <c r="BV8" s="43">
        <v>46860</v>
      </c>
      <c r="BW8" s="44"/>
      <c r="BX8" s="43"/>
      <c r="BY8" s="44">
        <v>1614540</v>
      </c>
      <c r="BZ8" s="43">
        <v>10148160</v>
      </c>
      <c r="CA8" s="44"/>
      <c r="CB8" s="43"/>
      <c r="CC8" s="44"/>
      <c r="CD8" s="43"/>
      <c r="CE8" s="44"/>
      <c r="CF8" s="43"/>
      <c r="CG8" s="44">
        <v>78452</v>
      </c>
      <c r="CH8" s="43">
        <v>78452</v>
      </c>
      <c r="CI8" s="44"/>
      <c r="CJ8" s="43"/>
      <c r="CK8" s="44"/>
      <c r="CL8" s="43"/>
      <c r="CM8" s="44"/>
      <c r="CN8" s="43"/>
      <c r="CO8" s="44"/>
      <c r="CP8" s="43"/>
      <c r="CQ8" s="44"/>
      <c r="CR8" s="43"/>
      <c r="CS8" s="44"/>
      <c r="CT8" s="43"/>
      <c r="CU8" s="44">
        <v>1147470</v>
      </c>
      <c r="CV8" s="43">
        <v>1149645</v>
      </c>
      <c r="CW8" s="44"/>
      <c r="CX8" s="43"/>
      <c r="CY8" s="44">
        <v>59577</v>
      </c>
      <c r="CZ8" s="43">
        <v>30500</v>
      </c>
    </row>
    <row r="9" spans="1:104" ht="30" customHeight="1" x14ac:dyDescent="0.25">
      <c r="A9" s="9"/>
      <c r="B9" s="41" t="s">
        <v>51</v>
      </c>
      <c r="C9" s="26" t="s">
        <v>52</v>
      </c>
      <c r="D9" s="14"/>
      <c r="E9" s="27"/>
      <c r="F9" s="28"/>
      <c r="G9" s="32">
        <v>1626005</v>
      </c>
      <c r="H9" s="28">
        <v>1416569</v>
      </c>
      <c r="I9" s="30"/>
      <c r="J9" s="46"/>
      <c r="K9" s="32"/>
      <c r="L9" s="33"/>
      <c r="M9" s="27"/>
      <c r="N9" s="33"/>
      <c r="O9" s="27"/>
      <c r="P9" s="33"/>
      <c r="Q9" s="27"/>
      <c r="R9" s="33"/>
      <c r="S9" s="27"/>
      <c r="T9" s="33"/>
      <c r="U9" s="27"/>
      <c r="V9" s="33"/>
      <c r="W9" s="27"/>
      <c r="X9" s="33"/>
      <c r="Y9" s="27"/>
      <c r="Z9" s="33"/>
      <c r="AA9" s="27"/>
      <c r="AB9" s="28"/>
      <c r="AC9" s="27"/>
      <c r="AD9" s="33"/>
      <c r="AE9" s="27"/>
      <c r="AF9" s="33"/>
      <c r="AG9" s="27"/>
      <c r="AH9" s="33"/>
      <c r="AI9" s="27"/>
      <c r="AJ9" s="33"/>
      <c r="AK9" s="27"/>
      <c r="AL9" s="33"/>
      <c r="AM9" s="27"/>
      <c r="AN9" s="33"/>
      <c r="AO9" s="27"/>
      <c r="AP9" s="33"/>
      <c r="AQ9" s="30"/>
      <c r="AR9" s="31"/>
      <c r="AS9" s="42"/>
      <c r="AT9" s="43"/>
      <c r="AU9" s="42"/>
      <c r="AV9" s="42"/>
      <c r="AW9" s="44"/>
      <c r="AX9" s="43"/>
      <c r="AY9" s="44"/>
      <c r="AZ9" s="43"/>
      <c r="BA9" s="44"/>
      <c r="BB9" s="43"/>
      <c r="BC9" s="44"/>
      <c r="BD9" s="44"/>
      <c r="BE9" s="45"/>
      <c r="BF9" s="43"/>
      <c r="BG9" s="45"/>
      <c r="BH9" s="185"/>
      <c r="BI9" s="44"/>
      <c r="BJ9" s="43"/>
      <c r="BK9" s="45"/>
      <c r="BL9" s="205"/>
      <c r="BM9" s="44"/>
      <c r="BN9" s="43"/>
      <c r="BO9" s="44"/>
      <c r="BP9" s="43"/>
      <c r="BQ9" s="44"/>
      <c r="BR9" s="43"/>
      <c r="BS9" s="44"/>
      <c r="BT9" s="43"/>
      <c r="BU9" s="44"/>
      <c r="BV9" s="43"/>
      <c r="BW9" s="44"/>
      <c r="BX9" s="43"/>
      <c r="BY9" s="44"/>
      <c r="BZ9" s="43"/>
      <c r="CA9" s="44"/>
      <c r="CB9" s="43"/>
      <c r="CC9" s="44"/>
      <c r="CD9" s="43"/>
      <c r="CE9" s="44"/>
      <c r="CF9" s="43"/>
      <c r="CG9" s="44"/>
      <c r="CH9" s="43"/>
      <c r="CI9" s="44"/>
      <c r="CJ9" s="43"/>
      <c r="CK9" s="44"/>
      <c r="CL9" s="43"/>
      <c r="CM9" s="44"/>
      <c r="CN9" s="43"/>
      <c r="CO9" s="44"/>
      <c r="CP9" s="43"/>
      <c r="CQ9" s="44"/>
      <c r="CR9" s="43"/>
      <c r="CS9" s="44"/>
      <c r="CT9" s="43"/>
      <c r="CU9" s="44"/>
      <c r="CV9" s="43"/>
      <c r="CW9" s="44"/>
      <c r="CX9" s="43"/>
      <c r="CY9" s="44"/>
      <c r="CZ9" s="43"/>
    </row>
    <row r="10" spans="1:104" x14ac:dyDescent="0.25">
      <c r="A10" s="9"/>
      <c r="B10" s="25" t="s">
        <v>53</v>
      </c>
      <c r="C10" s="26" t="s">
        <v>54</v>
      </c>
      <c r="D10" s="14"/>
      <c r="E10" s="27">
        <v>4343</v>
      </c>
      <c r="F10" s="28">
        <v>4343</v>
      </c>
      <c r="G10" s="32"/>
      <c r="H10" s="28"/>
      <c r="I10" s="30">
        <v>97250573</v>
      </c>
      <c r="J10" s="31">
        <v>97250570</v>
      </c>
      <c r="K10" s="32"/>
      <c r="L10" s="33"/>
      <c r="M10" s="27"/>
      <c r="N10" s="33"/>
      <c r="O10" s="27"/>
      <c r="P10" s="33"/>
      <c r="Q10" s="27"/>
      <c r="R10" s="33"/>
      <c r="S10" s="27">
        <v>124019</v>
      </c>
      <c r="T10" s="33">
        <v>31404</v>
      </c>
      <c r="U10" s="27"/>
      <c r="V10" s="33"/>
      <c r="W10" s="27">
        <v>1902668</v>
      </c>
      <c r="X10" s="33">
        <v>795364877</v>
      </c>
      <c r="Y10" s="27">
        <v>4911379</v>
      </c>
      <c r="Z10" s="33">
        <v>9694073</v>
      </c>
      <c r="AA10" s="27"/>
      <c r="AB10" s="28"/>
      <c r="AC10" s="27">
        <v>58613</v>
      </c>
      <c r="AD10" s="33">
        <v>58613</v>
      </c>
      <c r="AE10" s="27">
        <v>250518</v>
      </c>
      <c r="AF10" s="33">
        <v>250518</v>
      </c>
      <c r="AG10" s="27"/>
      <c r="AH10" s="33"/>
      <c r="AI10" s="27">
        <v>11633891</v>
      </c>
      <c r="AJ10" s="33">
        <v>11633891</v>
      </c>
      <c r="AK10" s="27">
        <v>1070179</v>
      </c>
      <c r="AL10" s="33">
        <v>1070179</v>
      </c>
      <c r="AM10" s="27"/>
      <c r="AN10" s="33"/>
      <c r="AO10" s="27">
        <v>262989</v>
      </c>
      <c r="AP10" s="33">
        <v>262989</v>
      </c>
      <c r="AQ10" s="30"/>
      <c r="AR10" s="31"/>
      <c r="AS10" s="42"/>
      <c r="AT10" s="43"/>
      <c r="AU10" s="42">
        <v>91665</v>
      </c>
      <c r="AV10" s="42">
        <v>7680509</v>
      </c>
      <c r="AW10" s="44"/>
      <c r="AX10" s="43"/>
      <c r="AY10" s="44">
        <v>13928246</v>
      </c>
      <c r="AZ10" s="43">
        <v>13937310</v>
      </c>
      <c r="BA10" s="44">
        <v>1727704</v>
      </c>
      <c r="BB10" s="43">
        <v>1727704</v>
      </c>
      <c r="BC10" s="44"/>
      <c r="BD10" s="44"/>
      <c r="BE10" s="45"/>
      <c r="BF10" s="43"/>
      <c r="BG10" s="45"/>
      <c r="BH10" s="185">
        <v>7972193</v>
      </c>
      <c r="BI10" s="44"/>
      <c r="BJ10" s="43"/>
      <c r="BK10" s="45">
        <v>13274170</v>
      </c>
      <c r="BL10" s="205">
        <v>13278890</v>
      </c>
      <c r="BM10" s="44">
        <v>12500</v>
      </c>
      <c r="BN10" s="43">
        <v>12500</v>
      </c>
      <c r="BO10" s="44"/>
      <c r="BP10" s="43"/>
      <c r="BQ10" s="44">
        <v>39883520</v>
      </c>
      <c r="BR10" s="43">
        <v>4344780</v>
      </c>
      <c r="BS10" s="44"/>
      <c r="BT10" s="43"/>
      <c r="BU10" s="44">
        <v>5954560</v>
      </c>
      <c r="BV10" s="43">
        <v>5954560</v>
      </c>
      <c r="BW10" s="44"/>
      <c r="BX10" s="43"/>
      <c r="BY10" s="44">
        <v>9851600</v>
      </c>
      <c r="BZ10" s="43">
        <v>9851600</v>
      </c>
      <c r="CA10" s="44">
        <v>32500000</v>
      </c>
      <c r="CB10" s="43">
        <v>32500000</v>
      </c>
      <c r="CC10" s="44"/>
      <c r="CD10" s="43"/>
      <c r="CE10" s="44"/>
      <c r="CF10" s="43"/>
      <c r="CG10" s="44"/>
      <c r="CH10" s="43"/>
      <c r="CI10" s="44"/>
      <c r="CJ10" s="43"/>
      <c r="CK10" s="44"/>
      <c r="CL10" s="43"/>
      <c r="CM10" s="44"/>
      <c r="CN10" s="43"/>
      <c r="CO10" s="44"/>
      <c r="CP10" s="43"/>
      <c r="CQ10" s="44"/>
      <c r="CR10" s="43"/>
      <c r="CS10" s="44"/>
      <c r="CT10" s="43"/>
      <c r="CU10" s="44"/>
      <c r="CV10" s="43"/>
      <c r="CW10" s="44">
        <v>25479100</v>
      </c>
      <c r="CX10" s="44">
        <v>25479100</v>
      </c>
      <c r="CY10" s="44"/>
      <c r="CZ10" s="43"/>
    </row>
    <row r="11" spans="1:104" x14ac:dyDescent="0.25">
      <c r="A11" s="9"/>
      <c r="B11" s="25" t="s">
        <v>43</v>
      </c>
      <c r="C11" s="26" t="s">
        <v>55</v>
      </c>
      <c r="D11" s="14"/>
      <c r="E11" s="27">
        <v>126636193</v>
      </c>
      <c r="F11" s="28">
        <v>123018292</v>
      </c>
      <c r="G11" s="32">
        <v>296591768</v>
      </c>
      <c r="H11" s="28">
        <v>279138785</v>
      </c>
      <c r="I11" s="30">
        <v>2980019284</v>
      </c>
      <c r="J11" s="31">
        <v>2835668623</v>
      </c>
      <c r="K11" s="32">
        <v>15283834</v>
      </c>
      <c r="L11" s="33">
        <v>14861922</v>
      </c>
      <c r="M11" s="27"/>
      <c r="N11" s="33"/>
      <c r="O11" s="27">
        <v>9745864</v>
      </c>
      <c r="P11" s="33">
        <v>8335830</v>
      </c>
      <c r="Q11" s="27">
        <v>16652479</v>
      </c>
      <c r="R11" s="33">
        <v>15608405</v>
      </c>
      <c r="S11" s="27">
        <v>12579579</v>
      </c>
      <c r="T11" s="33">
        <v>19761167</v>
      </c>
      <c r="U11" s="27">
        <v>12661623</v>
      </c>
      <c r="V11" s="33">
        <v>11123228</v>
      </c>
      <c r="W11" s="27">
        <v>1549157903</v>
      </c>
      <c r="X11" s="33">
        <v>1449779975</v>
      </c>
      <c r="Y11" s="27">
        <v>5347748137</v>
      </c>
      <c r="Z11" s="33">
        <v>6593644462</v>
      </c>
      <c r="AA11" s="27">
        <v>130432355</v>
      </c>
      <c r="AB11" s="28">
        <v>123718008</v>
      </c>
      <c r="AC11" s="27">
        <v>3018885</v>
      </c>
      <c r="AD11" s="33">
        <v>5030544</v>
      </c>
      <c r="AE11" s="27">
        <v>1275233669</v>
      </c>
      <c r="AF11" s="33">
        <v>1194956801</v>
      </c>
      <c r="AG11" s="27">
        <v>8006608</v>
      </c>
      <c r="AH11" s="33">
        <v>8440006</v>
      </c>
      <c r="AI11" s="27">
        <v>34170410</v>
      </c>
      <c r="AJ11" s="33">
        <v>32809055</v>
      </c>
      <c r="AK11" s="27">
        <v>29836885</v>
      </c>
      <c r="AL11" s="33">
        <v>34516670</v>
      </c>
      <c r="AM11" s="27">
        <v>8696816</v>
      </c>
      <c r="AN11" s="33">
        <v>8134626</v>
      </c>
      <c r="AO11" s="27">
        <v>28821126</v>
      </c>
      <c r="AP11" s="33">
        <v>34608577</v>
      </c>
      <c r="AQ11" s="30">
        <v>7425195</v>
      </c>
      <c r="AR11" s="31">
        <v>7281912</v>
      </c>
      <c r="AS11" s="42">
        <v>25004174</v>
      </c>
      <c r="AT11" s="43">
        <v>26449161</v>
      </c>
      <c r="AU11" s="42">
        <v>34750826</v>
      </c>
      <c r="AV11" s="42">
        <v>36754762</v>
      </c>
      <c r="AW11" s="44">
        <v>331519207</v>
      </c>
      <c r="AX11" s="43">
        <v>339009798</v>
      </c>
      <c r="AY11" s="44">
        <v>73135221</v>
      </c>
      <c r="AZ11" s="43">
        <v>75164873</v>
      </c>
      <c r="BA11" s="44">
        <v>6801185</v>
      </c>
      <c r="BB11" s="43">
        <v>6209506</v>
      </c>
      <c r="BC11" s="44">
        <v>532671</v>
      </c>
      <c r="BD11" s="44">
        <v>446775</v>
      </c>
      <c r="BE11" s="45">
        <v>18197631</v>
      </c>
      <c r="BF11" s="43">
        <v>22000252</v>
      </c>
      <c r="BG11" s="45">
        <v>28614840</v>
      </c>
      <c r="BH11" s="185">
        <v>26234273</v>
      </c>
      <c r="BI11" s="44">
        <v>837491</v>
      </c>
      <c r="BJ11" s="43">
        <v>16351369</v>
      </c>
      <c r="BK11" s="45">
        <v>59980080</v>
      </c>
      <c r="BL11" s="205">
        <v>60281510</v>
      </c>
      <c r="BM11" s="44">
        <v>3215640</v>
      </c>
      <c r="BN11" s="43">
        <v>2935660</v>
      </c>
      <c r="BO11" s="44">
        <v>694856430</v>
      </c>
      <c r="BP11" s="43">
        <v>639217500</v>
      </c>
      <c r="BQ11" s="44">
        <v>5186370</v>
      </c>
      <c r="BR11" s="43">
        <v>253760</v>
      </c>
      <c r="BS11" s="44">
        <v>500660</v>
      </c>
      <c r="BT11" s="43">
        <v>460560</v>
      </c>
      <c r="BU11" s="44">
        <v>25709560</v>
      </c>
      <c r="BV11" s="43">
        <v>25456650</v>
      </c>
      <c r="BW11" s="44">
        <v>26106150</v>
      </c>
      <c r="BX11" s="43">
        <v>23450160</v>
      </c>
      <c r="BY11" s="44">
        <v>13510810</v>
      </c>
      <c r="BZ11" s="43">
        <v>9221750</v>
      </c>
      <c r="CA11" s="44">
        <v>121870100</v>
      </c>
      <c r="CB11" s="43">
        <v>120871170</v>
      </c>
      <c r="CC11" s="44">
        <v>725120</v>
      </c>
      <c r="CD11" s="43">
        <v>770050</v>
      </c>
      <c r="CE11" s="44">
        <v>4418866</v>
      </c>
      <c r="CF11" s="43">
        <v>4112936</v>
      </c>
      <c r="CG11" s="44">
        <v>798193</v>
      </c>
      <c r="CH11" s="43">
        <v>370027</v>
      </c>
      <c r="CI11" s="44">
        <v>796299</v>
      </c>
      <c r="CJ11" s="43">
        <v>759769</v>
      </c>
      <c r="CK11" s="44">
        <v>104772</v>
      </c>
      <c r="CL11" s="43">
        <v>106251</v>
      </c>
      <c r="CM11" s="44">
        <v>2004592</v>
      </c>
      <c r="CN11" s="43">
        <v>1291017</v>
      </c>
      <c r="CO11" s="44">
        <v>570828</v>
      </c>
      <c r="CP11" s="43">
        <v>541077</v>
      </c>
      <c r="CQ11" s="44">
        <v>331028</v>
      </c>
      <c r="CR11" s="43">
        <v>314241</v>
      </c>
      <c r="CS11" s="44">
        <v>257214</v>
      </c>
      <c r="CT11" s="43">
        <v>43629</v>
      </c>
      <c r="CU11" s="44">
        <v>28179735</v>
      </c>
      <c r="CV11" s="43">
        <v>32649144</v>
      </c>
      <c r="CW11" s="44">
        <v>3204263</v>
      </c>
      <c r="CX11" s="43">
        <v>3185140</v>
      </c>
      <c r="CY11" s="44">
        <v>32710295</v>
      </c>
      <c r="CZ11" s="43">
        <v>30505078</v>
      </c>
    </row>
    <row r="12" spans="1:104" x14ac:dyDescent="0.25">
      <c r="A12" s="9"/>
      <c r="B12" s="25" t="s">
        <v>56</v>
      </c>
      <c r="C12" s="26" t="s">
        <v>57</v>
      </c>
      <c r="D12" s="14"/>
      <c r="E12" s="27"/>
      <c r="F12" s="28"/>
      <c r="G12" s="32"/>
      <c r="H12" s="28"/>
      <c r="I12" s="30"/>
      <c r="J12" s="31"/>
      <c r="K12" s="32"/>
      <c r="L12" s="33"/>
      <c r="M12" s="27"/>
      <c r="N12" s="33"/>
      <c r="O12" s="27"/>
      <c r="P12" s="33"/>
      <c r="Q12" s="27"/>
      <c r="R12" s="33"/>
      <c r="S12" s="27"/>
      <c r="T12" s="33"/>
      <c r="U12" s="27"/>
      <c r="V12" s="33"/>
      <c r="W12" s="27">
        <v>903375</v>
      </c>
      <c r="X12" s="33">
        <v>1599532</v>
      </c>
      <c r="Y12" s="27"/>
      <c r="Z12" s="33"/>
      <c r="AA12" s="27"/>
      <c r="AB12" s="28"/>
      <c r="AC12" s="27"/>
      <c r="AD12" s="33"/>
      <c r="AE12" s="27"/>
      <c r="AF12" s="33"/>
      <c r="AG12" s="27"/>
      <c r="AH12" s="33"/>
      <c r="AI12" s="27"/>
      <c r="AJ12" s="33"/>
      <c r="AK12" s="27"/>
      <c r="AL12" s="33"/>
      <c r="AM12" s="27"/>
      <c r="AN12" s="33"/>
      <c r="AO12" s="27"/>
      <c r="AP12" s="33"/>
      <c r="AQ12" s="30"/>
      <c r="AR12" s="31"/>
      <c r="AS12" s="42"/>
      <c r="AT12" s="43"/>
      <c r="AU12" s="42"/>
      <c r="AV12" s="42"/>
      <c r="AW12" s="44"/>
      <c r="AX12" s="43"/>
      <c r="AY12" s="44"/>
      <c r="AZ12" s="43"/>
      <c r="BA12" s="44"/>
      <c r="BB12" s="43"/>
      <c r="BC12" s="44"/>
      <c r="BD12" s="44"/>
      <c r="BE12" s="45"/>
      <c r="BF12" s="43"/>
      <c r="BG12" s="45"/>
      <c r="BH12" s="185"/>
      <c r="BI12" s="44"/>
      <c r="BJ12" s="43"/>
      <c r="BK12" s="45"/>
      <c r="BL12" s="205"/>
      <c r="BM12" s="44"/>
      <c r="BN12" s="43"/>
      <c r="BO12" s="44"/>
      <c r="BP12" s="43"/>
      <c r="BQ12" s="44"/>
      <c r="BR12" s="43"/>
      <c r="BS12" s="44"/>
      <c r="BT12" s="43"/>
      <c r="BU12" s="44"/>
      <c r="BV12" s="43"/>
      <c r="BW12" s="44"/>
      <c r="BX12" s="43"/>
      <c r="BY12" s="44"/>
      <c r="BZ12" s="43"/>
      <c r="CA12" s="44"/>
      <c r="CB12" s="43"/>
      <c r="CC12" s="44"/>
      <c r="CD12" s="43"/>
      <c r="CE12" s="44"/>
      <c r="CF12" s="43"/>
      <c r="CG12" s="44"/>
      <c r="CH12" s="43"/>
      <c r="CI12" s="44"/>
      <c r="CJ12" s="43"/>
      <c r="CK12" s="44"/>
      <c r="CL12" s="43"/>
      <c r="CM12" s="44">
        <v>179662</v>
      </c>
      <c r="CN12" s="43">
        <v>162194</v>
      </c>
      <c r="CO12" s="44"/>
      <c r="CP12" s="43"/>
      <c r="CQ12" s="44"/>
      <c r="CR12" s="43"/>
      <c r="CS12" s="44"/>
      <c r="CT12" s="43"/>
      <c r="CU12" s="44"/>
      <c r="CV12" s="43"/>
      <c r="CW12" s="44"/>
      <c r="CX12" s="43"/>
      <c r="CY12" s="44">
        <v>59249</v>
      </c>
      <c r="CZ12" s="43">
        <v>59249</v>
      </c>
    </row>
    <row r="13" spans="1:104" ht="30" x14ac:dyDescent="0.25">
      <c r="A13" s="9"/>
      <c r="B13" s="41" t="s">
        <v>58</v>
      </c>
      <c r="C13" s="26" t="s">
        <v>59</v>
      </c>
      <c r="D13" s="14"/>
      <c r="E13" s="27">
        <v>1272100</v>
      </c>
      <c r="F13" s="28">
        <v>1272100</v>
      </c>
      <c r="G13" s="32"/>
      <c r="H13" s="28"/>
      <c r="I13" s="27">
        <v>520000</v>
      </c>
      <c r="J13" s="33">
        <v>520000</v>
      </c>
      <c r="K13" s="32">
        <v>2485013</v>
      </c>
      <c r="L13" s="33">
        <v>2485013</v>
      </c>
      <c r="M13" s="27"/>
      <c r="N13" s="28"/>
      <c r="O13" s="27">
        <v>874470</v>
      </c>
      <c r="P13" s="33">
        <v>1188749</v>
      </c>
      <c r="Q13" s="27">
        <v>31390</v>
      </c>
      <c r="R13" s="33">
        <v>31390</v>
      </c>
      <c r="S13" s="27"/>
      <c r="T13" s="33"/>
      <c r="U13" s="27"/>
      <c r="V13" s="33"/>
      <c r="W13" s="27">
        <v>15411618</v>
      </c>
      <c r="X13" s="33">
        <v>15411617</v>
      </c>
      <c r="Y13" s="27">
        <v>188400</v>
      </c>
      <c r="Z13" s="33">
        <v>188400</v>
      </c>
      <c r="AA13" s="27"/>
      <c r="AB13" s="28"/>
      <c r="AC13" s="27"/>
      <c r="AD13" s="33"/>
      <c r="AE13" s="27"/>
      <c r="AF13" s="33"/>
      <c r="AG13" s="27"/>
      <c r="AH13" s="33"/>
      <c r="AI13" s="27"/>
      <c r="AJ13" s="33"/>
      <c r="AK13" s="27"/>
      <c r="AL13" s="33"/>
      <c r="AM13" s="27"/>
      <c r="AN13" s="33"/>
      <c r="AO13" s="27"/>
      <c r="AP13" s="33"/>
      <c r="AQ13" s="30"/>
      <c r="AR13" s="31"/>
      <c r="AS13" s="42"/>
      <c r="AT13" s="43"/>
      <c r="AU13" s="42"/>
      <c r="AV13" s="42"/>
      <c r="AW13" s="44">
        <v>217575</v>
      </c>
      <c r="AX13" s="43">
        <v>217575</v>
      </c>
      <c r="AY13" s="44">
        <v>23000</v>
      </c>
      <c r="AZ13" s="43">
        <v>23000</v>
      </c>
      <c r="BA13" s="44">
        <v>6073523</v>
      </c>
      <c r="BB13" s="43">
        <v>6073523</v>
      </c>
      <c r="BC13" s="44"/>
      <c r="BD13" s="44"/>
      <c r="BE13" s="45"/>
      <c r="BF13" s="43"/>
      <c r="BG13" s="45"/>
      <c r="BH13" s="185"/>
      <c r="BI13" s="44"/>
      <c r="BJ13" s="43"/>
      <c r="BK13" s="45"/>
      <c r="BL13" s="205"/>
      <c r="BM13" s="44"/>
      <c r="BN13" s="43"/>
      <c r="BO13" s="44">
        <v>973540</v>
      </c>
      <c r="BP13" s="43">
        <v>1057150</v>
      </c>
      <c r="BQ13" s="44"/>
      <c r="BR13" s="43"/>
      <c r="BS13" s="44"/>
      <c r="BT13" s="43"/>
      <c r="BU13" s="44">
        <v>12460</v>
      </c>
      <c r="BV13" s="43"/>
      <c r="BW13" s="44">
        <v>326400</v>
      </c>
      <c r="BX13" s="43">
        <v>326400</v>
      </c>
      <c r="BY13" s="44">
        <v>540</v>
      </c>
      <c r="BZ13" s="43">
        <v>540</v>
      </c>
      <c r="CA13" s="44"/>
      <c r="CB13" s="43"/>
      <c r="CC13" s="44"/>
      <c r="CD13" s="43"/>
      <c r="CE13" s="44"/>
      <c r="CF13" s="43"/>
      <c r="CG13" s="44"/>
      <c r="CH13" s="43"/>
      <c r="CI13" s="44"/>
      <c r="CJ13" s="43"/>
      <c r="CK13" s="44"/>
      <c r="CL13" s="43"/>
      <c r="CM13" s="44"/>
      <c r="CN13" s="43"/>
      <c r="CO13" s="44"/>
      <c r="CP13" s="43"/>
      <c r="CQ13" s="44"/>
      <c r="CR13" s="43"/>
      <c r="CS13" s="44"/>
      <c r="CT13" s="43"/>
      <c r="CU13" s="44">
        <v>15000</v>
      </c>
      <c r="CV13" s="43">
        <v>15000</v>
      </c>
      <c r="CW13" s="44"/>
      <c r="CX13" s="43"/>
      <c r="CY13" s="44"/>
      <c r="CZ13" s="43"/>
    </row>
    <row r="14" spans="1:104" ht="30" x14ac:dyDescent="0.25">
      <c r="A14" s="9"/>
      <c r="B14" s="41" t="s">
        <v>60</v>
      </c>
      <c r="C14" s="26" t="s">
        <v>61</v>
      </c>
      <c r="D14" s="14"/>
      <c r="E14" s="27">
        <v>79602</v>
      </c>
      <c r="F14" s="28">
        <v>79602</v>
      </c>
      <c r="G14" s="32"/>
      <c r="H14" s="28"/>
      <c r="I14" s="27"/>
      <c r="J14" s="33"/>
      <c r="K14" s="32"/>
      <c r="L14" s="33"/>
      <c r="M14" s="27"/>
      <c r="N14" s="28"/>
      <c r="O14" s="27">
        <v>4350</v>
      </c>
      <c r="P14" s="33">
        <v>4350</v>
      </c>
      <c r="Q14" s="27">
        <v>2700</v>
      </c>
      <c r="R14" s="28">
        <v>2700</v>
      </c>
      <c r="S14" s="27"/>
      <c r="T14" s="33"/>
      <c r="U14" s="27"/>
      <c r="V14" s="33"/>
      <c r="W14" s="27"/>
      <c r="X14" s="33"/>
      <c r="Y14" s="27">
        <v>197000</v>
      </c>
      <c r="Z14" s="33">
        <v>197000</v>
      </c>
      <c r="AA14" s="27"/>
      <c r="AB14" s="28"/>
      <c r="AC14" s="27"/>
      <c r="AD14" s="33"/>
      <c r="AE14" s="27"/>
      <c r="AF14" s="33"/>
      <c r="AG14" s="27"/>
      <c r="AH14" s="33"/>
      <c r="AI14" s="27"/>
      <c r="AJ14" s="33"/>
      <c r="AK14" s="27"/>
      <c r="AL14" s="33"/>
      <c r="AM14" s="27">
        <v>540</v>
      </c>
      <c r="AN14" s="33">
        <v>540</v>
      </c>
      <c r="AO14" s="27"/>
      <c r="AP14" s="33"/>
      <c r="AQ14" s="30"/>
      <c r="AR14" s="31"/>
      <c r="AS14" s="42"/>
      <c r="AT14" s="43"/>
      <c r="AU14" s="42"/>
      <c r="AV14" s="42"/>
      <c r="AW14" s="44"/>
      <c r="AX14" s="43"/>
      <c r="AY14" s="44">
        <v>2882700</v>
      </c>
      <c r="AZ14" s="43">
        <v>2882700</v>
      </c>
      <c r="BA14" s="44">
        <v>4720927146</v>
      </c>
      <c r="BB14" s="43">
        <v>4720927146</v>
      </c>
      <c r="BC14" s="44"/>
      <c r="BD14" s="44"/>
      <c r="BE14" s="45"/>
      <c r="BF14" s="43"/>
      <c r="BG14" s="45"/>
      <c r="BH14" s="185"/>
      <c r="BI14" s="44"/>
      <c r="BJ14" s="43"/>
      <c r="BK14" s="45"/>
      <c r="BL14" s="205"/>
      <c r="BM14" s="44"/>
      <c r="BN14" s="43"/>
      <c r="BO14" s="44"/>
      <c r="BP14" s="43"/>
      <c r="BQ14" s="44"/>
      <c r="BR14" s="43"/>
      <c r="BS14" s="44"/>
      <c r="BT14" s="43"/>
      <c r="BU14" s="44">
        <v>36480</v>
      </c>
      <c r="BV14" s="43">
        <v>39770</v>
      </c>
      <c r="BW14" s="44"/>
      <c r="BX14" s="43"/>
      <c r="BY14" s="44"/>
      <c r="BZ14" s="43"/>
      <c r="CA14" s="44"/>
      <c r="CB14" s="43"/>
      <c r="CC14" s="44"/>
      <c r="CD14" s="43"/>
      <c r="CE14" s="44"/>
      <c r="CF14" s="43"/>
      <c r="CG14" s="44"/>
      <c r="CH14" s="43"/>
      <c r="CI14" s="44"/>
      <c r="CJ14" s="43"/>
      <c r="CK14" s="44"/>
      <c r="CL14" s="43"/>
      <c r="CM14" s="44"/>
      <c r="CN14" s="43"/>
      <c r="CO14" s="44"/>
      <c r="CP14" s="43"/>
      <c r="CQ14" s="44"/>
      <c r="CR14" s="43"/>
      <c r="CS14" s="44"/>
      <c r="CT14" s="43"/>
      <c r="CU14" s="44"/>
      <c r="CV14" s="43"/>
      <c r="CW14" s="44"/>
      <c r="CX14" s="43">
        <v>53600</v>
      </c>
      <c r="CY14" s="44"/>
      <c r="CZ14" s="43"/>
    </row>
    <row r="15" spans="1:104" x14ac:dyDescent="0.25">
      <c r="A15" s="9"/>
      <c r="B15" s="41" t="s">
        <v>62</v>
      </c>
      <c r="C15" s="26" t="s">
        <v>63</v>
      </c>
      <c r="D15" s="14"/>
      <c r="E15" s="27"/>
      <c r="F15" s="28"/>
      <c r="G15" s="32"/>
      <c r="H15" s="28"/>
      <c r="I15" s="32"/>
      <c r="J15" s="33"/>
      <c r="K15" s="32">
        <v>26386315</v>
      </c>
      <c r="L15" s="33">
        <v>21356725</v>
      </c>
      <c r="M15" s="27"/>
      <c r="N15" s="28"/>
      <c r="O15" s="27"/>
      <c r="P15" s="33"/>
      <c r="Q15" s="27"/>
      <c r="R15" s="33"/>
      <c r="S15" s="27"/>
      <c r="T15" s="33">
        <v>92615</v>
      </c>
      <c r="U15" s="27"/>
      <c r="V15" s="33"/>
      <c r="W15" s="27">
        <v>73023119</v>
      </c>
      <c r="X15" s="33">
        <v>72151904</v>
      </c>
      <c r="Y15" s="27"/>
      <c r="Z15" s="33"/>
      <c r="AA15" s="27"/>
      <c r="AB15" s="28"/>
      <c r="AC15" s="27"/>
      <c r="AD15" s="33"/>
      <c r="AE15" s="27"/>
      <c r="AF15" s="33"/>
      <c r="AG15" s="27"/>
      <c r="AH15" s="33"/>
      <c r="AI15" s="27"/>
      <c r="AJ15" s="33"/>
      <c r="AK15" s="27"/>
      <c r="AL15" s="33"/>
      <c r="AM15" s="27"/>
      <c r="AN15" s="33"/>
      <c r="AO15" s="27"/>
      <c r="AP15" s="33"/>
      <c r="AQ15" s="30"/>
      <c r="AR15" s="31"/>
      <c r="AS15" s="42"/>
      <c r="AT15" s="43"/>
      <c r="AU15" s="42"/>
      <c r="AV15" s="42"/>
      <c r="AW15" s="44"/>
      <c r="AX15" s="43"/>
      <c r="AY15" s="44"/>
      <c r="AZ15" s="43"/>
      <c r="BA15" s="44"/>
      <c r="BB15" s="43"/>
      <c r="BC15" s="44"/>
      <c r="BD15" s="44"/>
      <c r="BE15" s="45"/>
      <c r="BF15" s="43"/>
      <c r="BG15" s="45"/>
      <c r="BH15" s="185"/>
      <c r="BI15" s="44"/>
      <c r="BJ15" s="43"/>
      <c r="BK15" s="45">
        <v>127580</v>
      </c>
      <c r="BL15" s="205"/>
      <c r="BM15" s="44"/>
      <c r="BN15" s="43"/>
      <c r="BO15" s="44"/>
      <c r="BP15" s="43"/>
      <c r="BQ15" s="44"/>
      <c r="BR15" s="43">
        <v>40302410</v>
      </c>
      <c r="BS15" s="44"/>
      <c r="BT15" s="43"/>
      <c r="BU15" s="44"/>
      <c r="BV15" s="43"/>
      <c r="BW15" s="44"/>
      <c r="BX15" s="43"/>
      <c r="BY15" s="44"/>
      <c r="BZ15" s="43"/>
      <c r="CA15" s="44"/>
      <c r="CB15" s="43"/>
      <c r="CC15" s="44">
        <v>21982900</v>
      </c>
      <c r="CD15" s="43">
        <v>21658070</v>
      </c>
      <c r="CE15" s="44"/>
      <c r="CF15" s="43"/>
      <c r="CG15" s="44"/>
      <c r="CH15" s="43"/>
      <c r="CI15" s="44"/>
      <c r="CJ15" s="43"/>
      <c r="CK15" s="44"/>
      <c r="CL15" s="43"/>
      <c r="CM15" s="44"/>
      <c r="CN15" s="43"/>
      <c r="CO15" s="44"/>
      <c r="CP15" s="43"/>
      <c r="CQ15" s="44"/>
      <c r="CR15" s="43"/>
      <c r="CS15" s="44"/>
      <c r="CT15" s="43"/>
      <c r="CU15" s="44"/>
      <c r="CV15" s="43"/>
      <c r="CW15" s="44"/>
      <c r="CX15" s="43"/>
      <c r="CY15" s="44"/>
      <c r="CZ15" s="43"/>
    </row>
    <row r="16" spans="1:104" x14ac:dyDescent="0.25">
      <c r="A16" s="9"/>
      <c r="B16" s="41" t="s">
        <v>64</v>
      </c>
      <c r="C16" s="26" t="s">
        <v>65</v>
      </c>
      <c r="D16" s="14"/>
      <c r="E16" s="27"/>
      <c r="F16" s="28"/>
      <c r="G16" s="32"/>
      <c r="H16" s="28"/>
      <c r="I16" s="32">
        <v>571298031</v>
      </c>
      <c r="J16" s="33">
        <v>564806034</v>
      </c>
      <c r="K16" s="32"/>
      <c r="L16" s="33"/>
      <c r="M16" s="27"/>
      <c r="N16" s="28"/>
      <c r="O16" s="27"/>
      <c r="P16" s="33"/>
      <c r="Q16" s="27">
        <v>44700799</v>
      </c>
      <c r="R16" s="33">
        <v>28926978</v>
      </c>
      <c r="S16" s="27"/>
      <c r="T16" s="33"/>
      <c r="U16" s="27"/>
      <c r="V16" s="33"/>
      <c r="W16" s="27"/>
      <c r="X16" s="33"/>
      <c r="Y16" s="27"/>
      <c r="Z16" s="33"/>
      <c r="AA16" s="27"/>
      <c r="AB16" s="28"/>
      <c r="AC16" s="27"/>
      <c r="AD16" s="33"/>
      <c r="AE16" s="27"/>
      <c r="AF16" s="33"/>
      <c r="AG16" s="27"/>
      <c r="AH16" s="33"/>
      <c r="AI16" s="27"/>
      <c r="AJ16" s="33"/>
      <c r="AK16" s="27"/>
      <c r="AL16" s="33"/>
      <c r="AM16" s="27"/>
      <c r="AN16" s="33"/>
      <c r="AO16" s="27">
        <v>19919128</v>
      </c>
      <c r="AP16" s="33">
        <v>4365836</v>
      </c>
      <c r="AQ16" s="30"/>
      <c r="AR16" s="31"/>
      <c r="AS16" s="42">
        <v>239604</v>
      </c>
      <c r="AT16" s="43">
        <v>365653</v>
      </c>
      <c r="AU16" s="42"/>
      <c r="AV16" s="42"/>
      <c r="AW16" s="44"/>
      <c r="AX16" s="43"/>
      <c r="AY16" s="44"/>
      <c r="AZ16" s="43"/>
      <c r="BA16" s="44"/>
      <c r="BB16" s="43"/>
      <c r="BC16" s="44"/>
      <c r="BD16" s="44"/>
      <c r="BE16" s="45">
        <v>271674</v>
      </c>
      <c r="BF16" s="43">
        <v>271671</v>
      </c>
      <c r="BG16" s="45"/>
      <c r="BH16" s="185"/>
      <c r="BI16" s="44"/>
      <c r="BJ16" s="43"/>
      <c r="BK16" s="45"/>
      <c r="BL16" s="205"/>
      <c r="BM16" s="44"/>
      <c r="BN16" s="43"/>
      <c r="BO16" s="44">
        <v>21962930</v>
      </c>
      <c r="BP16" s="43">
        <v>34098050</v>
      </c>
      <c r="BQ16" s="44"/>
      <c r="BR16" s="43"/>
      <c r="BS16" s="44"/>
      <c r="BT16" s="43"/>
      <c r="BU16" s="44">
        <v>100450</v>
      </c>
      <c r="BV16" s="43">
        <v>293890</v>
      </c>
      <c r="BW16" s="44"/>
      <c r="BX16" s="43"/>
      <c r="BY16" s="44"/>
      <c r="BZ16" s="43"/>
      <c r="CA16" s="44"/>
      <c r="CB16" s="43"/>
      <c r="CC16" s="44"/>
      <c r="CD16" s="43"/>
      <c r="CE16" s="44"/>
      <c r="CF16" s="43"/>
      <c r="CG16" s="44"/>
      <c r="CH16" s="43"/>
      <c r="CI16" s="44"/>
      <c r="CJ16" s="43"/>
      <c r="CK16" s="44"/>
      <c r="CL16" s="43"/>
      <c r="CM16" s="44"/>
      <c r="CN16" s="43"/>
      <c r="CO16" s="44"/>
      <c r="CP16" s="43"/>
      <c r="CQ16" s="44"/>
      <c r="CR16" s="43"/>
      <c r="CS16" s="44"/>
      <c r="CT16" s="43"/>
      <c r="CU16" s="44"/>
      <c r="CV16" s="43"/>
      <c r="CW16" s="44"/>
      <c r="CX16" s="43"/>
      <c r="CY16" s="44"/>
      <c r="CZ16" s="43"/>
    </row>
    <row r="17" spans="1:104" x14ac:dyDescent="0.25">
      <c r="A17" s="9"/>
      <c r="B17" s="25" t="s">
        <v>66</v>
      </c>
      <c r="C17" s="26" t="s">
        <v>67</v>
      </c>
      <c r="D17" s="14"/>
      <c r="E17" s="27"/>
      <c r="F17" s="28"/>
      <c r="G17" s="32"/>
      <c r="H17" s="28"/>
      <c r="I17" s="32"/>
      <c r="J17" s="33"/>
      <c r="K17" s="32"/>
      <c r="L17" s="33"/>
      <c r="M17" s="27"/>
      <c r="N17" s="28"/>
      <c r="O17" s="27"/>
      <c r="P17" s="33"/>
      <c r="Q17" s="27"/>
      <c r="R17" s="33"/>
      <c r="S17" s="27"/>
      <c r="T17" s="33"/>
      <c r="U17" s="27"/>
      <c r="V17" s="33"/>
      <c r="W17" s="27"/>
      <c r="X17" s="33"/>
      <c r="Y17" s="27">
        <v>500524525</v>
      </c>
      <c r="Z17" s="33">
        <v>606251938</v>
      </c>
      <c r="AA17" s="27">
        <v>372670</v>
      </c>
      <c r="AB17" s="28">
        <v>215224</v>
      </c>
      <c r="AC17" s="27"/>
      <c r="AD17" s="33"/>
      <c r="AE17" s="27">
        <v>4857113</v>
      </c>
      <c r="AF17" s="33">
        <v>49387256</v>
      </c>
      <c r="AG17" s="27"/>
      <c r="AH17" s="33"/>
      <c r="AI17" s="27"/>
      <c r="AJ17" s="33"/>
      <c r="AK17" s="27"/>
      <c r="AL17" s="33"/>
      <c r="AM17" s="27"/>
      <c r="AN17" s="33"/>
      <c r="AO17" s="27"/>
      <c r="AP17" s="33"/>
      <c r="AQ17" s="30"/>
      <c r="AR17" s="31"/>
      <c r="AS17" s="42">
        <v>81500</v>
      </c>
      <c r="AT17" s="43">
        <v>578764</v>
      </c>
      <c r="AU17" s="42"/>
      <c r="AV17" s="42"/>
      <c r="AW17" s="44"/>
      <c r="AX17" s="43"/>
      <c r="AY17" s="44"/>
      <c r="AZ17" s="43"/>
      <c r="BA17" s="44"/>
      <c r="BB17" s="43"/>
      <c r="BC17" s="44"/>
      <c r="BD17" s="44"/>
      <c r="BE17" s="45"/>
      <c r="BF17" s="43"/>
      <c r="BG17" s="45"/>
      <c r="BH17" s="185"/>
      <c r="BI17" s="44"/>
      <c r="BJ17" s="43"/>
      <c r="BK17" s="45"/>
      <c r="BL17" s="205"/>
      <c r="BM17" s="44"/>
      <c r="BN17" s="43"/>
      <c r="BO17" s="44">
        <v>27297060</v>
      </c>
      <c r="BP17" s="43">
        <v>34362450</v>
      </c>
      <c r="BQ17" s="44"/>
      <c r="BR17" s="43"/>
      <c r="BS17" s="44"/>
      <c r="BT17" s="43"/>
      <c r="BU17" s="44">
        <v>301110</v>
      </c>
      <c r="BV17" s="43">
        <v>258400</v>
      </c>
      <c r="BW17" s="44"/>
      <c r="BX17" s="43"/>
      <c r="BY17" s="44"/>
      <c r="BZ17" s="43"/>
      <c r="CA17" s="44"/>
      <c r="CB17" s="43"/>
      <c r="CC17" s="44"/>
      <c r="CD17" s="43"/>
      <c r="CE17" s="44"/>
      <c r="CF17" s="43"/>
      <c r="CG17" s="44"/>
      <c r="CH17" s="43"/>
      <c r="CI17" s="44"/>
      <c r="CJ17" s="43"/>
      <c r="CK17" s="44"/>
      <c r="CL17" s="43"/>
      <c r="CM17" s="44"/>
      <c r="CN17" s="43"/>
      <c r="CO17" s="44"/>
      <c r="CP17" s="43"/>
      <c r="CQ17" s="44"/>
      <c r="CR17" s="43"/>
      <c r="CS17" s="44"/>
      <c r="CT17" s="43"/>
      <c r="CU17" s="44"/>
      <c r="CV17" s="43"/>
      <c r="CW17" s="44">
        <v>156165</v>
      </c>
      <c r="CX17" s="43">
        <v>156165</v>
      </c>
      <c r="CY17" s="44"/>
      <c r="CZ17" s="43"/>
    </row>
    <row r="18" spans="1:104" ht="15.75" thickBot="1" x14ac:dyDescent="0.3">
      <c r="A18" s="9"/>
      <c r="B18" s="41" t="s">
        <v>68</v>
      </c>
      <c r="C18" s="26" t="s">
        <v>69</v>
      </c>
      <c r="D18" s="14"/>
      <c r="E18" s="27">
        <v>11478</v>
      </c>
      <c r="F18" s="28">
        <v>11399</v>
      </c>
      <c r="G18" s="32"/>
      <c r="H18" s="28"/>
      <c r="I18" s="32"/>
      <c r="J18" s="33"/>
      <c r="K18" s="32">
        <v>337688</v>
      </c>
      <c r="L18" s="33">
        <v>337688</v>
      </c>
      <c r="M18" s="27">
        <v>390392</v>
      </c>
      <c r="N18" s="28">
        <v>137748</v>
      </c>
      <c r="O18" s="47">
        <v>441755</v>
      </c>
      <c r="P18" s="33">
        <v>441755</v>
      </c>
      <c r="Q18" s="27"/>
      <c r="R18" s="33"/>
      <c r="S18" s="27"/>
      <c r="T18" s="33"/>
      <c r="U18" s="27">
        <v>721</v>
      </c>
      <c r="V18" s="33"/>
      <c r="W18" s="27"/>
      <c r="X18" s="33">
        <v>129972755</v>
      </c>
      <c r="Y18" s="27"/>
      <c r="Z18" s="33">
        <v>160561</v>
      </c>
      <c r="AA18" s="27">
        <v>540</v>
      </c>
      <c r="AB18" s="28">
        <v>540</v>
      </c>
      <c r="AC18" s="27"/>
      <c r="AD18" s="33"/>
      <c r="AE18" s="27">
        <v>1218278</v>
      </c>
      <c r="AF18" s="33">
        <v>1210695</v>
      </c>
      <c r="AG18" s="27"/>
      <c r="AH18" s="33"/>
      <c r="AI18" s="47"/>
      <c r="AJ18" s="48"/>
      <c r="AK18" s="47"/>
      <c r="AL18" s="33"/>
      <c r="AM18" s="47"/>
      <c r="AN18" s="33"/>
      <c r="AO18" s="47"/>
      <c r="AP18" s="48"/>
      <c r="AQ18" s="49"/>
      <c r="AR18" s="31"/>
      <c r="AS18" s="42"/>
      <c r="AT18" s="43"/>
      <c r="AU18" s="50"/>
      <c r="AV18" s="50"/>
      <c r="AW18" s="44">
        <v>66699112</v>
      </c>
      <c r="AX18" s="43">
        <v>58988021</v>
      </c>
      <c r="AY18" s="44"/>
      <c r="AZ18" s="43"/>
      <c r="BA18" s="44">
        <v>3503595</v>
      </c>
      <c r="BB18" s="43">
        <v>3444649</v>
      </c>
      <c r="BC18" s="44"/>
      <c r="BD18" s="44"/>
      <c r="BE18" s="45"/>
      <c r="BF18" s="43"/>
      <c r="BG18" s="190"/>
      <c r="BH18" s="193"/>
      <c r="BI18" s="44">
        <v>12370</v>
      </c>
      <c r="BJ18" s="43">
        <v>7106</v>
      </c>
      <c r="BK18" s="45">
        <v>549000</v>
      </c>
      <c r="BL18" s="205"/>
      <c r="BM18" s="44"/>
      <c r="BN18" s="43"/>
      <c r="BO18" s="44">
        <v>40281680</v>
      </c>
      <c r="BP18" s="43">
        <v>108318120</v>
      </c>
      <c r="BQ18" s="44"/>
      <c r="BR18" s="43"/>
      <c r="BS18" s="44"/>
      <c r="BT18" s="43"/>
      <c r="BU18" s="44"/>
      <c r="BV18" s="43"/>
      <c r="BW18" s="44">
        <v>20370</v>
      </c>
      <c r="BX18" s="43">
        <v>18190</v>
      </c>
      <c r="BY18" s="44">
        <v>995300</v>
      </c>
      <c r="BZ18" s="43">
        <v>1225540</v>
      </c>
      <c r="CA18" s="44"/>
      <c r="CB18" s="43"/>
      <c r="CC18" s="44"/>
      <c r="CD18" s="43"/>
      <c r="CE18" s="44"/>
      <c r="CF18" s="43"/>
      <c r="CG18" s="44"/>
      <c r="CH18" s="43"/>
      <c r="CI18" s="44"/>
      <c r="CJ18" s="43"/>
      <c r="CK18" s="44">
        <v>6809</v>
      </c>
      <c r="CL18" s="43">
        <v>6320</v>
      </c>
      <c r="CM18" s="44">
        <v>51720</v>
      </c>
      <c r="CN18" s="43">
        <v>49504</v>
      </c>
      <c r="CO18" s="44"/>
      <c r="CP18" s="43"/>
      <c r="CQ18" s="44"/>
      <c r="CR18" s="43"/>
      <c r="CS18" s="44"/>
      <c r="CT18" s="43"/>
      <c r="CU18" s="44">
        <v>82525</v>
      </c>
      <c r="CV18" s="43">
        <v>103389</v>
      </c>
      <c r="CW18" s="44"/>
      <c r="CX18" s="43"/>
      <c r="CY18" s="44"/>
      <c r="CZ18" s="43"/>
    </row>
    <row r="19" spans="1:104" ht="15.75" thickBot="1" x14ac:dyDescent="0.3">
      <c r="A19" s="51"/>
      <c r="B19" s="52" t="s">
        <v>70</v>
      </c>
      <c r="C19" s="53" t="s">
        <v>71</v>
      </c>
      <c r="D19" s="54"/>
      <c r="E19" s="55">
        <f t="shared" ref="E19:CG19" si="0">SUM(E7:E18)</f>
        <v>130228516</v>
      </c>
      <c r="F19" s="56">
        <f t="shared" si="0"/>
        <v>127309429</v>
      </c>
      <c r="G19" s="56">
        <f t="shared" si="0"/>
        <v>300186323</v>
      </c>
      <c r="H19" s="56">
        <f t="shared" si="0"/>
        <v>282044001</v>
      </c>
      <c r="I19" s="56">
        <f t="shared" si="0"/>
        <v>3789476137</v>
      </c>
      <c r="J19" s="56">
        <f t="shared" si="0"/>
        <v>3897584394</v>
      </c>
      <c r="K19" s="56">
        <f t="shared" si="0"/>
        <v>59740230</v>
      </c>
      <c r="L19" s="56">
        <f t="shared" si="0"/>
        <v>56023390</v>
      </c>
      <c r="M19" s="56">
        <f t="shared" si="0"/>
        <v>1457897837</v>
      </c>
      <c r="N19" s="56">
        <f t="shared" si="0"/>
        <v>1438129065</v>
      </c>
      <c r="O19" s="56">
        <f t="shared" si="0"/>
        <v>11172123</v>
      </c>
      <c r="P19" s="56">
        <f t="shared" si="0"/>
        <v>10046289</v>
      </c>
      <c r="Q19" s="56">
        <f t="shared" si="0"/>
        <v>61722356</v>
      </c>
      <c r="R19" s="56">
        <f t="shared" si="0"/>
        <v>44930559</v>
      </c>
      <c r="S19" s="56">
        <f t="shared" si="0"/>
        <v>12788600</v>
      </c>
      <c r="T19" s="56">
        <f t="shared" si="0"/>
        <v>21003708</v>
      </c>
      <c r="U19" s="56">
        <f t="shared" si="0"/>
        <v>15286933</v>
      </c>
      <c r="V19" s="56">
        <f t="shared" si="0"/>
        <v>13699323</v>
      </c>
      <c r="W19" s="56">
        <f t="shared" si="0"/>
        <v>2177768001</v>
      </c>
      <c r="X19" s="56">
        <f t="shared" si="0"/>
        <v>3008551583</v>
      </c>
      <c r="Y19" s="56">
        <f t="shared" si="0"/>
        <v>8448910202</v>
      </c>
      <c r="Z19" s="56">
        <f t="shared" si="0"/>
        <v>8759331451</v>
      </c>
      <c r="AA19" s="56">
        <f t="shared" si="0"/>
        <v>145083382</v>
      </c>
      <c r="AB19" s="56">
        <f t="shared" si="0"/>
        <v>124291694</v>
      </c>
      <c r="AC19" s="56">
        <f t="shared" si="0"/>
        <v>14623893</v>
      </c>
      <c r="AD19" s="56">
        <f t="shared" si="0"/>
        <v>16688183</v>
      </c>
      <c r="AE19" s="56">
        <f t="shared" si="0"/>
        <v>1342210797</v>
      </c>
      <c r="AF19" s="56">
        <f t="shared" si="0"/>
        <v>1294095372</v>
      </c>
      <c r="AG19" s="56">
        <f t="shared" si="0"/>
        <v>10043938</v>
      </c>
      <c r="AH19" s="56">
        <f t="shared" si="0"/>
        <v>10216467</v>
      </c>
      <c r="AI19" s="56">
        <f t="shared" si="0"/>
        <v>48525716</v>
      </c>
      <c r="AJ19" s="56">
        <f t="shared" si="0"/>
        <v>47155930</v>
      </c>
      <c r="AK19" s="56">
        <f t="shared" si="0"/>
        <v>32616494</v>
      </c>
      <c r="AL19" s="56">
        <f t="shared" si="0"/>
        <v>38024828</v>
      </c>
      <c r="AM19" s="57">
        <f t="shared" si="0"/>
        <v>8752844</v>
      </c>
      <c r="AN19" s="56">
        <f t="shared" si="0"/>
        <v>8183109</v>
      </c>
      <c r="AO19" s="57">
        <f t="shared" si="0"/>
        <v>58981491</v>
      </c>
      <c r="AP19" s="56">
        <f t="shared" si="0"/>
        <v>42450984</v>
      </c>
      <c r="AQ19" s="58">
        <f t="shared" si="0"/>
        <v>7652161</v>
      </c>
      <c r="AR19" s="59">
        <f t="shared" si="0"/>
        <v>8590871</v>
      </c>
      <c r="AS19" s="60">
        <f t="shared" si="0"/>
        <v>25355215</v>
      </c>
      <c r="AT19" s="61">
        <f t="shared" si="0"/>
        <v>27515023</v>
      </c>
      <c r="AU19" s="62">
        <f t="shared" si="0"/>
        <v>36655414</v>
      </c>
      <c r="AV19" s="61">
        <f t="shared" si="0"/>
        <v>55297587</v>
      </c>
      <c r="AW19" s="62">
        <f t="shared" si="0"/>
        <v>433321765</v>
      </c>
      <c r="AX19" s="61">
        <f t="shared" si="0"/>
        <v>412732173</v>
      </c>
      <c r="AY19" s="62">
        <f t="shared" si="0"/>
        <v>94637435</v>
      </c>
      <c r="AZ19" s="61">
        <f t="shared" si="0"/>
        <v>104073331</v>
      </c>
      <c r="BA19" s="62">
        <f t="shared" si="0"/>
        <v>5009264697</v>
      </c>
      <c r="BB19" s="61">
        <f t="shared" si="0"/>
        <v>5023659841</v>
      </c>
      <c r="BC19" s="62">
        <f t="shared" si="0"/>
        <v>545078</v>
      </c>
      <c r="BD19" s="62">
        <f t="shared" si="0"/>
        <v>455021</v>
      </c>
      <c r="BE19" s="63">
        <f t="shared" si="0"/>
        <v>21913724</v>
      </c>
      <c r="BF19" s="61">
        <f t="shared" si="0"/>
        <v>25142887</v>
      </c>
      <c r="BG19" s="62">
        <f>SUM(BG7:BG18)</f>
        <v>28614840</v>
      </c>
      <c r="BH19" s="195">
        <f>SUM(BH7:BH18)</f>
        <v>34262236</v>
      </c>
      <c r="BI19" s="62">
        <f t="shared" si="0"/>
        <v>36262861</v>
      </c>
      <c r="BJ19" s="61">
        <f t="shared" si="0"/>
        <v>35736544</v>
      </c>
      <c r="BK19" s="63">
        <f>SUM(BK7:BK18)</f>
        <v>80823590</v>
      </c>
      <c r="BL19" s="219">
        <f t="shared" si="0"/>
        <v>77440990</v>
      </c>
      <c r="BM19" s="62">
        <f t="shared" si="0"/>
        <v>3278890</v>
      </c>
      <c r="BN19" s="61">
        <f t="shared" si="0"/>
        <v>2984320</v>
      </c>
      <c r="BO19" s="62">
        <f t="shared" si="0"/>
        <v>786542520</v>
      </c>
      <c r="BP19" s="61">
        <f t="shared" si="0"/>
        <v>819054340</v>
      </c>
      <c r="BQ19" s="62">
        <f t="shared" si="0"/>
        <v>45071890</v>
      </c>
      <c r="BR19" s="61">
        <f t="shared" si="0"/>
        <v>44905770</v>
      </c>
      <c r="BS19" s="62">
        <f t="shared" si="0"/>
        <v>520450</v>
      </c>
      <c r="BT19" s="61">
        <f t="shared" si="0"/>
        <v>511090</v>
      </c>
      <c r="BU19" s="62">
        <f t="shared" si="0"/>
        <v>32323760</v>
      </c>
      <c r="BV19" s="61">
        <f t="shared" si="0"/>
        <v>32181330</v>
      </c>
      <c r="BW19" s="62">
        <f t="shared" si="0"/>
        <v>26607160</v>
      </c>
      <c r="BX19" s="61">
        <f t="shared" si="0"/>
        <v>23916720</v>
      </c>
      <c r="BY19" s="62">
        <f t="shared" si="0"/>
        <v>26783500</v>
      </c>
      <c r="BZ19" s="61">
        <f t="shared" si="0"/>
        <v>30485360</v>
      </c>
      <c r="CA19" s="62">
        <f t="shared" si="0"/>
        <v>154370100</v>
      </c>
      <c r="CB19" s="61">
        <f t="shared" si="0"/>
        <v>153371170</v>
      </c>
      <c r="CC19" s="62">
        <f t="shared" si="0"/>
        <v>22711930</v>
      </c>
      <c r="CD19" s="61">
        <f t="shared" si="0"/>
        <v>22430150</v>
      </c>
      <c r="CE19" s="62">
        <f t="shared" si="0"/>
        <v>4418866</v>
      </c>
      <c r="CF19" s="61">
        <f t="shared" si="0"/>
        <v>4118149</v>
      </c>
      <c r="CG19" s="61">
        <f t="shared" si="0"/>
        <v>895723</v>
      </c>
      <c r="CH19" s="61">
        <f>SUM(CH7:CH18)</f>
        <v>498279</v>
      </c>
      <c r="CI19" s="61">
        <f>SUM(CI7:CI18)</f>
        <v>796299</v>
      </c>
      <c r="CJ19" s="61">
        <f>SUM(CJ7:CJ18)</f>
        <v>759769</v>
      </c>
      <c r="CK19" s="62">
        <f t="shared" ref="CK19:CZ19" si="1">SUM(CK7:CK18)</f>
        <v>125539</v>
      </c>
      <c r="CL19" s="61">
        <f t="shared" si="1"/>
        <v>131613</v>
      </c>
      <c r="CM19" s="61">
        <f t="shared" si="1"/>
        <v>2235974</v>
      </c>
      <c r="CN19" s="61">
        <f t="shared" si="1"/>
        <v>1502715</v>
      </c>
      <c r="CO19" s="61">
        <f t="shared" si="1"/>
        <v>578310</v>
      </c>
      <c r="CP19" s="61">
        <f t="shared" si="1"/>
        <v>548243</v>
      </c>
      <c r="CQ19" s="61">
        <f t="shared" si="1"/>
        <v>331028</v>
      </c>
      <c r="CR19" s="61">
        <f t="shared" si="1"/>
        <v>314241</v>
      </c>
      <c r="CS19" s="61">
        <f t="shared" si="1"/>
        <v>257214</v>
      </c>
      <c r="CT19" s="61">
        <f t="shared" si="1"/>
        <v>43629</v>
      </c>
      <c r="CU19" s="61">
        <f t="shared" si="1"/>
        <v>29965387</v>
      </c>
      <c r="CV19" s="61">
        <f t="shared" si="1"/>
        <v>34494155</v>
      </c>
      <c r="CW19" s="61">
        <f t="shared" si="1"/>
        <v>28844358</v>
      </c>
      <c r="CX19" s="61">
        <f t="shared" si="1"/>
        <v>28877399</v>
      </c>
      <c r="CY19" s="61">
        <f t="shared" si="1"/>
        <v>33045706</v>
      </c>
      <c r="CZ19" s="61">
        <f t="shared" si="1"/>
        <v>30778473</v>
      </c>
    </row>
    <row r="20" spans="1:104" ht="15.75" thickBot="1" x14ac:dyDescent="0.3">
      <c r="A20" s="9"/>
      <c r="B20" s="64"/>
      <c r="C20" s="26"/>
      <c r="D20" s="14"/>
      <c r="E20" s="65"/>
      <c r="F20" s="66"/>
      <c r="G20" s="29"/>
      <c r="H20" s="66"/>
      <c r="I20" s="29"/>
      <c r="J20" s="66"/>
      <c r="K20" s="67"/>
      <c r="L20" s="29"/>
      <c r="M20" s="29"/>
      <c r="N20" s="29"/>
      <c r="O20" s="29"/>
      <c r="P20" s="68"/>
      <c r="Q20" s="66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66"/>
      <c r="AN20" s="29"/>
      <c r="AO20" s="29"/>
      <c r="AP20" s="29"/>
      <c r="AQ20" s="69"/>
      <c r="AR20" s="69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180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</row>
    <row r="21" spans="1:104" ht="15.75" customHeight="1" thickBot="1" x14ac:dyDescent="0.3">
      <c r="A21" s="9"/>
      <c r="B21" s="70" t="s">
        <v>74</v>
      </c>
      <c r="C21" s="71" t="s">
        <v>75</v>
      </c>
      <c r="D21" s="14"/>
      <c r="E21" s="72"/>
      <c r="F21" s="73"/>
      <c r="G21" s="67"/>
      <c r="H21" s="73"/>
      <c r="I21" s="67"/>
      <c r="J21" s="74"/>
      <c r="K21" s="67"/>
      <c r="L21" s="74"/>
      <c r="M21" s="67"/>
      <c r="N21" s="73"/>
      <c r="O21" s="72"/>
      <c r="P21" s="74"/>
      <c r="Q21" s="72"/>
      <c r="R21" s="74"/>
      <c r="S21" s="72"/>
      <c r="T21" s="74"/>
      <c r="U21" s="72"/>
      <c r="V21" s="74"/>
      <c r="W21" s="67"/>
      <c r="X21" s="74"/>
      <c r="Y21" s="66"/>
      <c r="Z21" s="73"/>
      <c r="AA21" s="72"/>
      <c r="AB21" s="73"/>
      <c r="AC21" s="72"/>
      <c r="AD21" s="74"/>
      <c r="AE21" s="72"/>
      <c r="AF21" s="74"/>
      <c r="AG21" s="72"/>
      <c r="AH21" s="74"/>
      <c r="AI21" s="72"/>
      <c r="AJ21" s="66"/>
      <c r="AK21" s="72"/>
      <c r="AL21" s="74"/>
      <c r="AM21" s="72"/>
      <c r="AN21" s="74"/>
      <c r="AO21" s="66"/>
      <c r="AP21" s="73"/>
      <c r="AQ21" s="75"/>
      <c r="AR21" s="76"/>
      <c r="AS21" s="77"/>
      <c r="AT21" s="78"/>
      <c r="AU21" s="77"/>
      <c r="AV21" s="78"/>
      <c r="AW21" s="79"/>
      <c r="AX21" s="78"/>
      <c r="AY21" s="79"/>
      <c r="AZ21" s="78"/>
      <c r="BA21" s="79"/>
      <c r="BB21" s="78"/>
      <c r="BC21" s="79"/>
      <c r="BD21" s="78"/>
      <c r="BE21" s="79"/>
      <c r="BF21" s="78"/>
      <c r="BG21" s="79"/>
      <c r="BH21" s="196"/>
      <c r="BI21" s="79"/>
      <c r="BJ21" s="78"/>
      <c r="BK21" s="188"/>
      <c r="BL21" s="217"/>
      <c r="BM21" s="79"/>
      <c r="BN21" s="78"/>
      <c r="BO21" s="79"/>
      <c r="BP21" s="78"/>
      <c r="BQ21" s="79"/>
      <c r="BR21" s="78"/>
      <c r="BS21" s="79"/>
      <c r="BT21" s="78"/>
      <c r="BU21" s="79"/>
      <c r="BV21" s="78"/>
      <c r="BW21" s="79"/>
      <c r="BX21" s="78"/>
      <c r="BY21" s="79"/>
      <c r="BZ21" s="78"/>
      <c r="CA21" s="79"/>
      <c r="CB21" s="78"/>
      <c r="CC21" s="79"/>
      <c r="CD21" s="78"/>
      <c r="CE21" s="79"/>
      <c r="CF21" s="78"/>
      <c r="CG21" s="79"/>
      <c r="CH21" s="78"/>
      <c r="CI21" s="79"/>
      <c r="CJ21" s="78"/>
      <c r="CK21" s="79"/>
      <c r="CL21" s="78"/>
      <c r="CM21" s="79"/>
      <c r="CN21" s="78"/>
      <c r="CO21" s="79"/>
      <c r="CP21" s="78"/>
      <c r="CQ21" s="79"/>
      <c r="CR21" s="78"/>
      <c r="CS21" s="79"/>
      <c r="CT21" s="78"/>
      <c r="CU21" s="79"/>
      <c r="CV21" s="78"/>
      <c r="CW21" s="79"/>
      <c r="CX21" s="78"/>
      <c r="CY21" s="79"/>
      <c r="CZ21" s="78"/>
    </row>
    <row r="22" spans="1:104" ht="15.75" customHeight="1" x14ac:dyDescent="0.25">
      <c r="A22" s="9"/>
      <c r="B22" s="80" t="s">
        <v>76</v>
      </c>
      <c r="C22" s="64" t="s">
        <v>77</v>
      </c>
      <c r="D22" s="14"/>
      <c r="E22" s="27">
        <v>150647011</v>
      </c>
      <c r="F22" s="28">
        <v>137568196</v>
      </c>
      <c r="G22" s="32">
        <v>115436090</v>
      </c>
      <c r="H22" s="28">
        <v>76148871</v>
      </c>
      <c r="I22" s="32">
        <v>75609117</v>
      </c>
      <c r="J22" s="33">
        <v>140881708</v>
      </c>
      <c r="K22" s="32">
        <v>122813</v>
      </c>
      <c r="L22" s="33">
        <v>151885</v>
      </c>
      <c r="M22" s="32"/>
      <c r="N22" s="28"/>
      <c r="O22" s="27">
        <v>1257932</v>
      </c>
      <c r="P22" s="33">
        <v>703814</v>
      </c>
      <c r="Q22" s="27">
        <v>11907957</v>
      </c>
      <c r="R22" s="33">
        <v>14523128</v>
      </c>
      <c r="S22" s="27">
        <v>156809</v>
      </c>
      <c r="T22" s="33">
        <v>109618</v>
      </c>
      <c r="U22" s="27">
        <v>2103630</v>
      </c>
      <c r="V22" s="33">
        <v>1815818</v>
      </c>
      <c r="W22" s="32">
        <v>275576060</v>
      </c>
      <c r="X22" s="33">
        <v>255603304</v>
      </c>
      <c r="Y22" s="34">
        <v>252887</v>
      </c>
      <c r="Z22" s="33">
        <v>117529</v>
      </c>
      <c r="AA22" s="27">
        <v>642707</v>
      </c>
      <c r="AB22" s="28">
        <v>735803</v>
      </c>
      <c r="AC22" s="27">
        <v>158844</v>
      </c>
      <c r="AD22" s="33">
        <v>290130</v>
      </c>
      <c r="AE22" s="27">
        <v>38558490</v>
      </c>
      <c r="AF22" s="33">
        <v>32198244</v>
      </c>
      <c r="AG22" s="27">
        <v>346635</v>
      </c>
      <c r="AH22" s="33">
        <v>1634481</v>
      </c>
      <c r="AI22" s="27">
        <v>125026</v>
      </c>
      <c r="AJ22" s="81">
        <v>151139</v>
      </c>
      <c r="AK22" s="27">
        <v>11802718</v>
      </c>
      <c r="AL22" s="33">
        <v>11669110</v>
      </c>
      <c r="AM22" s="27">
        <v>77105</v>
      </c>
      <c r="AN22" s="33">
        <v>106105</v>
      </c>
      <c r="AO22" s="34">
        <v>1016618</v>
      </c>
      <c r="AP22" s="33">
        <v>750034</v>
      </c>
      <c r="AQ22" s="30">
        <v>103415</v>
      </c>
      <c r="AR22" s="31">
        <v>139300</v>
      </c>
      <c r="AS22" s="42">
        <v>1764166</v>
      </c>
      <c r="AT22" s="43">
        <v>2006826</v>
      </c>
      <c r="AU22" s="42">
        <v>21672630</v>
      </c>
      <c r="AV22" s="42">
        <v>16242735</v>
      </c>
      <c r="AW22" s="44">
        <v>44700052</v>
      </c>
      <c r="AX22" s="43">
        <v>35980300</v>
      </c>
      <c r="AY22" s="44">
        <v>4149935</v>
      </c>
      <c r="AZ22" s="43">
        <v>5376049</v>
      </c>
      <c r="BA22" s="44">
        <v>240615</v>
      </c>
      <c r="BB22" s="43">
        <v>131109</v>
      </c>
      <c r="BC22" s="44">
        <v>6130</v>
      </c>
      <c r="BD22" s="43">
        <v>6973</v>
      </c>
      <c r="BE22" s="44">
        <v>850884</v>
      </c>
      <c r="BF22" s="43">
        <v>316019</v>
      </c>
      <c r="BG22" s="40">
        <v>479933</v>
      </c>
      <c r="BH22" s="191">
        <v>470349</v>
      </c>
      <c r="BI22" s="44">
        <v>27038</v>
      </c>
      <c r="BJ22" s="43">
        <v>27372</v>
      </c>
      <c r="BK22" s="45">
        <v>1139390</v>
      </c>
      <c r="BL22" s="205">
        <v>1191670</v>
      </c>
      <c r="BM22" s="44">
        <v>109970</v>
      </c>
      <c r="BN22" s="43">
        <v>45210</v>
      </c>
      <c r="BO22" s="44">
        <v>35151560</v>
      </c>
      <c r="BP22" s="43">
        <v>38444480</v>
      </c>
      <c r="BQ22" s="44">
        <v>58080</v>
      </c>
      <c r="BR22" s="43">
        <v>62820</v>
      </c>
      <c r="BS22" s="44">
        <v>35530</v>
      </c>
      <c r="BT22" s="43">
        <v>30360</v>
      </c>
      <c r="BU22" s="44">
        <f>12042490+4530</f>
        <v>12047020</v>
      </c>
      <c r="BV22" s="43">
        <f>519200</f>
        <v>519200</v>
      </c>
      <c r="BW22" s="44">
        <v>11222250</v>
      </c>
      <c r="BX22" s="43">
        <v>8804000</v>
      </c>
      <c r="BY22" s="44">
        <v>14590</v>
      </c>
      <c r="BZ22" s="43">
        <v>15210</v>
      </c>
      <c r="CA22" s="44">
        <v>121420</v>
      </c>
      <c r="CB22" s="43">
        <v>114270</v>
      </c>
      <c r="CC22" s="44">
        <v>10630</v>
      </c>
      <c r="CD22" s="43">
        <v>8170</v>
      </c>
      <c r="CE22" s="44">
        <v>6371159</v>
      </c>
      <c r="CF22" s="43">
        <v>6201498</v>
      </c>
      <c r="CG22" s="44">
        <v>60239</v>
      </c>
      <c r="CH22" s="43">
        <v>101075</v>
      </c>
      <c r="CI22" s="44">
        <v>21520</v>
      </c>
      <c r="CJ22" s="43">
        <v>12967</v>
      </c>
      <c r="CK22" s="44">
        <v>31933</v>
      </c>
      <c r="CL22" s="43">
        <v>33563</v>
      </c>
      <c r="CM22" s="44">
        <v>174119</v>
      </c>
      <c r="CN22" s="43">
        <v>197813</v>
      </c>
      <c r="CO22" s="44">
        <v>3628</v>
      </c>
      <c r="CP22" s="43">
        <v>11034</v>
      </c>
      <c r="CQ22" s="44">
        <v>18441</v>
      </c>
      <c r="CR22" s="43"/>
      <c r="CS22" s="44">
        <v>40900</v>
      </c>
      <c r="CT22" s="43">
        <v>70435</v>
      </c>
      <c r="CU22" s="44">
        <v>835918</v>
      </c>
      <c r="CV22" s="43">
        <v>949636</v>
      </c>
      <c r="CW22" s="44">
        <v>38992</v>
      </c>
      <c r="CX22" s="43">
        <v>36579</v>
      </c>
      <c r="CY22" s="44">
        <v>6049842</v>
      </c>
      <c r="CZ22" s="43">
        <v>7356597</v>
      </c>
    </row>
    <row r="23" spans="1:104" ht="15.75" customHeight="1" x14ac:dyDescent="0.25">
      <c r="A23" s="9"/>
      <c r="B23" s="41" t="s">
        <v>78</v>
      </c>
      <c r="C23" s="64" t="s">
        <v>79</v>
      </c>
      <c r="D23" s="14"/>
      <c r="E23" s="27">
        <v>1733055</v>
      </c>
      <c r="F23" s="28">
        <v>1623231</v>
      </c>
      <c r="G23" s="32"/>
      <c r="H23" s="28"/>
      <c r="I23" s="32">
        <v>1414387</v>
      </c>
      <c r="J23" s="33">
        <v>30330</v>
      </c>
      <c r="K23" s="32">
        <v>12054</v>
      </c>
      <c r="L23" s="33">
        <v>12054</v>
      </c>
      <c r="M23" s="32"/>
      <c r="N23" s="28"/>
      <c r="O23" s="27">
        <v>237246</v>
      </c>
      <c r="P23" s="33">
        <v>234493</v>
      </c>
      <c r="Q23" s="27">
        <v>338046</v>
      </c>
      <c r="R23" s="33">
        <v>529450</v>
      </c>
      <c r="S23" s="27">
        <v>94491</v>
      </c>
      <c r="T23" s="33">
        <v>148465</v>
      </c>
      <c r="U23" s="27">
        <v>20752</v>
      </c>
      <c r="V23" s="33">
        <v>93895</v>
      </c>
      <c r="W23" s="32">
        <f>8098588+19700</f>
        <v>8118288</v>
      </c>
      <c r="X23" s="33">
        <f>11065717+19700</f>
        <v>11085417</v>
      </c>
      <c r="Y23" s="27">
        <v>382937</v>
      </c>
      <c r="Z23" s="33">
        <v>440848</v>
      </c>
      <c r="AA23" s="27">
        <v>17594</v>
      </c>
      <c r="AB23" s="28">
        <v>29361</v>
      </c>
      <c r="AC23" s="27">
        <v>82922</v>
      </c>
      <c r="AD23" s="33">
        <v>80678</v>
      </c>
      <c r="AE23" s="27">
        <v>2782239</v>
      </c>
      <c r="AF23" s="33">
        <v>3477854</v>
      </c>
      <c r="AG23" s="27">
        <v>597572</v>
      </c>
      <c r="AH23" s="33">
        <v>616265</v>
      </c>
      <c r="AI23" s="27">
        <f>45133+53446</f>
        <v>98579</v>
      </c>
      <c r="AJ23" s="33">
        <v>242434</v>
      </c>
      <c r="AK23" s="27">
        <v>3662904</v>
      </c>
      <c r="AL23" s="33">
        <v>3847897</v>
      </c>
      <c r="AM23" s="27">
        <v>212043</v>
      </c>
      <c r="AN23" s="33">
        <v>181677</v>
      </c>
      <c r="AO23" s="27">
        <v>722700</v>
      </c>
      <c r="AP23" s="33">
        <v>988880</v>
      </c>
      <c r="AQ23" s="30">
        <v>71996</v>
      </c>
      <c r="AR23" s="31">
        <v>137640</v>
      </c>
      <c r="AS23" s="42">
        <v>48401</v>
      </c>
      <c r="AT23" s="43">
        <v>109860</v>
      </c>
      <c r="AU23" s="42">
        <f>3724+52913</f>
        <v>56637</v>
      </c>
      <c r="AV23" s="42">
        <f>3724+159247</f>
        <v>162971</v>
      </c>
      <c r="AW23" s="44">
        <v>3812121</v>
      </c>
      <c r="AX23" s="43">
        <v>3050425</v>
      </c>
      <c r="AY23" s="44">
        <v>8045027</v>
      </c>
      <c r="AZ23" s="43">
        <v>9566417</v>
      </c>
      <c r="BA23" s="44">
        <v>339534</v>
      </c>
      <c r="BB23" s="43">
        <v>295893</v>
      </c>
      <c r="BC23" s="44">
        <v>6588</v>
      </c>
      <c r="BD23" s="43">
        <v>15486</v>
      </c>
      <c r="BE23" s="44">
        <v>349336</v>
      </c>
      <c r="BF23" s="43">
        <v>463997</v>
      </c>
      <c r="BG23" s="45">
        <v>319869</v>
      </c>
      <c r="BH23" s="185">
        <v>334259</v>
      </c>
      <c r="BI23" s="44">
        <v>49763</v>
      </c>
      <c r="BJ23" s="43">
        <v>93039</v>
      </c>
      <c r="BK23" s="45">
        <v>498110</v>
      </c>
      <c r="BL23" s="205">
        <v>177740</v>
      </c>
      <c r="BM23" s="44"/>
      <c r="BN23" s="43">
        <v>29410</v>
      </c>
      <c r="BO23" s="44">
        <v>1073080</v>
      </c>
      <c r="BP23" s="43">
        <v>1541290</v>
      </c>
      <c r="BQ23" s="44">
        <v>7150</v>
      </c>
      <c r="BR23" s="43">
        <v>19090</v>
      </c>
      <c r="BS23" s="44">
        <v>370</v>
      </c>
      <c r="BT23" s="43"/>
      <c r="BU23" s="44">
        <v>42380</v>
      </c>
      <c r="BV23" s="43">
        <v>63230</v>
      </c>
      <c r="BW23" s="44">
        <v>18030</v>
      </c>
      <c r="BX23" s="43">
        <v>75180</v>
      </c>
      <c r="BY23" s="44"/>
      <c r="BZ23" s="43">
        <v>79300</v>
      </c>
      <c r="CA23" s="44">
        <v>241720</v>
      </c>
      <c r="CB23" s="43">
        <v>189290</v>
      </c>
      <c r="CC23" s="44">
        <v>1700</v>
      </c>
      <c r="CD23" s="43">
        <v>14890</v>
      </c>
      <c r="CE23" s="44">
        <v>826087</v>
      </c>
      <c r="CF23" s="43">
        <v>671776</v>
      </c>
      <c r="CG23" s="44">
        <v>9943</v>
      </c>
      <c r="CH23" s="43">
        <v>21250</v>
      </c>
      <c r="CI23" s="44">
        <v>535</v>
      </c>
      <c r="CJ23" s="43">
        <v>650</v>
      </c>
      <c r="CK23" s="44">
        <v>11</v>
      </c>
      <c r="CL23" s="43">
        <v>4437</v>
      </c>
      <c r="CM23" s="44">
        <v>2082</v>
      </c>
      <c r="CN23" s="43">
        <v>8332</v>
      </c>
      <c r="CO23" s="44">
        <v>6062</v>
      </c>
      <c r="CP23" s="43">
        <v>8807</v>
      </c>
      <c r="CQ23" s="44"/>
      <c r="CR23" s="43"/>
      <c r="CS23" s="44"/>
      <c r="CT23" s="43"/>
      <c r="CU23" s="44">
        <v>161033</v>
      </c>
      <c r="CV23" s="43">
        <v>303103</v>
      </c>
      <c r="CW23" s="44">
        <v>7407</v>
      </c>
      <c r="CX23" s="43">
        <v>7407</v>
      </c>
      <c r="CY23" s="44">
        <v>74228</v>
      </c>
      <c r="CZ23" s="43">
        <v>93102</v>
      </c>
    </row>
    <row r="24" spans="1:104" ht="15.75" customHeight="1" x14ac:dyDescent="0.25">
      <c r="A24" s="9"/>
      <c r="B24" s="25" t="s">
        <v>80</v>
      </c>
      <c r="C24" s="64" t="s">
        <v>81</v>
      </c>
      <c r="D24" s="14"/>
      <c r="E24" s="27">
        <v>29093334</v>
      </c>
      <c r="F24" s="28">
        <v>17514763</v>
      </c>
      <c r="G24" s="32"/>
      <c r="H24" s="28"/>
      <c r="I24" s="32"/>
      <c r="J24" s="33"/>
      <c r="K24" s="32">
        <v>74706</v>
      </c>
      <c r="L24" s="33"/>
      <c r="M24" s="32"/>
      <c r="N24" s="28"/>
      <c r="O24" s="27">
        <v>4211190</v>
      </c>
      <c r="P24" s="33">
        <v>3161441</v>
      </c>
      <c r="Q24" s="27">
        <v>19348440</v>
      </c>
      <c r="R24" s="33">
        <v>21272644</v>
      </c>
      <c r="S24" s="27"/>
      <c r="T24" s="33"/>
      <c r="U24" s="27">
        <v>988181</v>
      </c>
      <c r="V24" s="33">
        <v>1086654</v>
      </c>
      <c r="W24" s="32">
        <v>992900</v>
      </c>
      <c r="X24" s="33">
        <v>875893</v>
      </c>
      <c r="Y24" s="27"/>
      <c r="Z24" s="33"/>
      <c r="AA24" s="27"/>
      <c r="AB24" s="28"/>
      <c r="AC24" s="27"/>
      <c r="AD24" s="33"/>
      <c r="AE24" s="27"/>
      <c r="AF24" s="33"/>
      <c r="AG24" s="27">
        <v>975084</v>
      </c>
      <c r="AH24" s="33">
        <v>137929</v>
      </c>
      <c r="AI24" s="27"/>
      <c r="AJ24" s="33"/>
      <c r="AK24" s="27">
        <v>3553</v>
      </c>
      <c r="AL24" s="33">
        <v>1158</v>
      </c>
      <c r="AM24" s="27"/>
      <c r="AN24" s="33"/>
      <c r="AO24" s="27"/>
      <c r="AP24" s="33"/>
      <c r="AQ24" s="30"/>
      <c r="AR24" s="31"/>
      <c r="AS24" s="42">
        <v>5509</v>
      </c>
      <c r="AT24" s="43">
        <v>1161000</v>
      </c>
      <c r="AU24" s="42">
        <v>105447</v>
      </c>
      <c r="AV24" s="42">
        <v>163115</v>
      </c>
      <c r="AW24" s="44">
        <v>153772</v>
      </c>
      <c r="AX24" s="43">
        <v>2569</v>
      </c>
      <c r="AY24" s="44">
        <v>1434730</v>
      </c>
      <c r="AZ24" s="43">
        <v>1522160</v>
      </c>
      <c r="BA24" s="44"/>
      <c r="BB24" s="43"/>
      <c r="BC24" s="44"/>
      <c r="BD24" s="43"/>
      <c r="BE24" s="44"/>
      <c r="BF24" s="43"/>
      <c r="BG24" s="45"/>
      <c r="BH24" s="185"/>
      <c r="BI24" s="44"/>
      <c r="BJ24" s="43"/>
      <c r="BK24" s="45">
        <v>560620</v>
      </c>
      <c r="BL24" s="205">
        <v>123030</v>
      </c>
      <c r="BM24" s="44"/>
      <c r="BN24" s="43"/>
      <c r="BO24" s="44"/>
      <c r="BP24" s="43"/>
      <c r="BQ24" s="44"/>
      <c r="BR24" s="43"/>
      <c r="BS24" s="44">
        <v>355640</v>
      </c>
      <c r="BT24" s="43"/>
      <c r="BU24" s="44">
        <v>72940</v>
      </c>
      <c r="BV24" s="43">
        <v>72900</v>
      </c>
      <c r="BW24" s="44">
        <v>4020120</v>
      </c>
      <c r="BX24" s="43">
        <v>3993140</v>
      </c>
      <c r="BY24" s="44"/>
      <c r="BZ24" s="43"/>
      <c r="CA24" s="44"/>
      <c r="CB24" s="43"/>
      <c r="CC24" s="44"/>
      <c r="CD24" s="43"/>
      <c r="CE24" s="44"/>
      <c r="CF24" s="43">
        <v>30921</v>
      </c>
      <c r="CG24" s="44"/>
      <c r="CH24" s="43"/>
      <c r="CI24" s="44">
        <v>53772</v>
      </c>
      <c r="CJ24" s="43">
        <v>4348</v>
      </c>
      <c r="CK24" s="44">
        <v>274009</v>
      </c>
      <c r="CL24" s="43">
        <v>132183</v>
      </c>
      <c r="CM24" s="44">
        <v>1379905</v>
      </c>
      <c r="CN24" s="43">
        <v>1347693</v>
      </c>
      <c r="CO24" s="44"/>
      <c r="CP24" s="43"/>
      <c r="CQ24" s="44">
        <v>136240</v>
      </c>
      <c r="CR24" s="43">
        <v>296240</v>
      </c>
      <c r="CS24" s="44">
        <v>332625</v>
      </c>
      <c r="CT24" s="43">
        <v>419682</v>
      </c>
      <c r="CU24" s="44"/>
      <c r="CV24" s="43"/>
      <c r="CW24" s="44"/>
      <c r="CX24" s="43"/>
      <c r="CY24" s="44">
        <v>2434840</v>
      </c>
      <c r="CZ24" s="43">
        <v>15150128</v>
      </c>
    </row>
    <row r="25" spans="1:104" ht="15.75" customHeight="1" x14ac:dyDescent="0.25">
      <c r="A25" s="9"/>
      <c r="B25" s="25" t="s">
        <v>82</v>
      </c>
      <c r="C25" s="64" t="s">
        <v>83</v>
      </c>
      <c r="D25" s="14"/>
      <c r="E25" s="27">
        <v>6441460</v>
      </c>
      <c r="F25" s="28">
        <v>9424276</v>
      </c>
      <c r="G25" s="32"/>
      <c r="H25" s="28"/>
      <c r="I25" s="32">
        <v>1128703</v>
      </c>
      <c r="J25" s="33">
        <v>1109971</v>
      </c>
      <c r="K25" s="32">
        <v>690</v>
      </c>
      <c r="L25" s="33">
        <v>690</v>
      </c>
      <c r="M25" s="32">
        <v>17654654</v>
      </c>
      <c r="N25" s="28">
        <v>20327005</v>
      </c>
      <c r="O25" s="27"/>
      <c r="P25" s="33"/>
      <c r="Q25" s="27">
        <v>115808718</v>
      </c>
      <c r="R25" s="33">
        <v>158930308</v>
      </c>
      <c r="S25" s="27"/>
      <c r="T25" s="33"/>
      <c r="U25" s="27">
        <v>2635323</v>
      </c>
      <c r="V25" s="33">
        <v>1713112</v>
      </c>
      <c r="W25" s="32">
        <v>2268658</v>
      </c>
      <c r="X25" s="33">
        <v>18866931</v>
      </c>
      <c r="Y25" s="27"/>
      <c r="Z25" s="33"/>
      <c r="AA25" s="27"/>
      <c r="AB25" s="28"/>
      <c r="AC25" s="27">
        <v>53930</v>
      </c>
      <c r="AD25" s="33">
        <v>49900</v>
      </c>
      <c r="AE25" s="27"/>
      <c r="AF25" s="33"/>
      <c r="AG25" s="27">
        <v>273720</v>
      </c>
      <c r="AH25" s="33">
        <v>109382</v>
      </c>
      <c r="AI25" s="27">
        <v>296346</v>
      </c>
      <c r="AJ25" s="33">
        <v>212439</v>
      </c>
      <c r="AK25" s="27">
        <v>1732</v>
      </c>
      <c r="AL25" s="33"/>
      <c r="AM25" s="27"/>
      <c r="AN25" s="33"/>
      <c r="AO25" s="27"/>
      <c r="AP25" s="33"/>
      <c r="AQ25" s="30"/>
      <c r="AR25" s="31"/>
      <c r="AS25" s="42"/>
      <c r="AT25" s="43"/>
      <c r="AU25" s="42">
        <v>269616</v>
      </c>
      <c r="AV25" s="42">
        <v>269616</v>
      </c>
      <c r="AW25" s="44">
        <v>8692</v>
      </c>
      <c r="AX25" s="43"/>
      <c r="AY25" s="44">
        <v>18561971</v>
      </c>
      <c r="AZ25" s="43">
        <v>17545137</v>
      </c>
      <c r="BA25" s="44">
        <v>55654140</v>
      </c>
      <c r="BB25" s="43">
        <v>58542407</v>
      </c>
      <c r="BC25" s="44"/>
      <c r="BD25" s="43"/>
      <c r="BE25" s="44"/>
      <c r="BF25" s="43"/>
      <c r="BG25" s="45"/>
      <c r="BH25" s="185">
        <v>506460</v>
      </c>
      <c r="BI25" s="44"/>
      <c r="BJ25" s="43"/>
      <c r="BK25" s="45"/>
      <c r="BL25" s="205"/>
      <c r="BM25" s="44"/>
      <c r="BN25" s="43"/>
      <c r="BO25" s="44"/>
      <c r="BP25" s="43"/>
      <c r="BQ25" s="44"/>
      <c r="BR25" s="43"/>
      <c r="BS25" s="44"/>
      <c r="BT25" s="43">
        <v>31420</v>
      </c>
      <c r="BU25" s="44">
        <v>93570</v>
      </c>
      <c r="BV25" s="43">
        <v>85640</v>
      </c>
      <c r="BW25" s="44">
        <v>27160</v>
      </c>
      <c r="BX25" s="43">
        <v>3263160</v>
      </c>
      <c r="BY25" s="44"/>
      <c r="BZ25" s="43"/>
      <c r="CA25" s="44">
        <v>58360</v>
      </c>
      <c r="CB25" s="43">
        <v>64610</v>
      </c>
      <c r="CC25" s="44"/>
      <c r="CD25" s="43"/>
      <c r="CE25" s="44"/>
      <c r="CF25" s="43"/>
      <c r="CG25" s="44"/>
      <c r="CH25" s="43"/>
      <c r="CI25" s="44"/>
      <c r="CJ25" s="43"/>
      <c r="CK25" s="44"/>
      <c r="CL25" s="43"/>
      <c r="CM25" s="44">
        <v>175</v>
      </c>
      <c r="CN25" s="43">
        <v>175</v>
      </c>
      <c r="CO25" s="44">
        <v>498</v>
      </c>
      <c r="CP25" s="43">
        <v>314</v>
      </c>
      <c r="CQ25" s="44"/>
      <c r="CR25" s="43"/>
      <c r="CS25" s="44"/>
      <c r="CT25" s="43"/>
      <c r="CU25" s="44"/>
      <c r="CV25" s="43"/>
      <c r="CW25" s="44"/>
      <c r="CX25" s="43"/>
      <c r="CY25" s="44"/>
      <c r="CZ25" s="43"/>
    </row>
    <row r="26" spans="1:104" ht="15.75" customHeight="1" x14ac:dyDescent="0.25">
      <c r="A26" s="9"/>
      <c r="B26" s="25" t="s">
        <v>84</v>
      </c>
      <c r="C26" s="64" t="s">
        <v>85</v>
      </c>
      <c r="D26" s="14"/>
      <c r="E26" s="27">
        <v>51075993</v>
      </c>
      <c r="F26" s="28">
        <v>95089711</v>
      </c>
      <c r="G26" s="32">
        <v>14046143</v>
      </c>
      <c r="H26" s="28">
        <v>14353910</v>
      </c>
      <c r="I26" s="32">
        <v>1013151383</v>
      </c>
      <c r="J26" s="33">
        <v>1026938681</v>
      </c>
      <c r="K26" s="32">
        <v>1308992</v>
      </c>
      <c r="L26" s="33">
        <v>1460882</v>
      </c>
      <c r="M26" s="32">
        <v>7473306</v>
      </c>
      <c r="N26" s="28">
        <v>7427730</v>
      </c>
      <c r="O26" s="27">
        <v>227172</v>
      </c>
      <c r="P26" s="33">
        <v>234002</v>
      </c>
      <c r="Q26" s="27">
        <v>2958610</v>
      </c>
      <c r="R26" s="33">
        <v>4814065</v>
      </c>
      <c r="S26" s="27">
        <v>887777</v>
      </c>
      <c r="T26" s="33">
        <v>686182</v>
      </c>
      <c r="U26" s="27">
        <v>22553</v>
      </c>
      <c r="V26" s="33">
        <v>104735</v>
      </c>
      <c r="W26" s="32">
        <v>39013665</v>
      </c>
      <c r="X26" s="33">
        <v>38582286</v>
      </c>
      <c r="Y26" s="27">
        <v>4512</v>
      </c>
      <c r="Z26" s="33">
        <v>277257</v>
      </c>
      <c r="AA26" s="27">
        <v>123138546</v>
      </c>
      <c r="AB26" s="28">
        <v>46674791</v>
      </c>
      <c r="AC26" s="27">
        <v>834616</v>
      </c>
      <c r="AD26" s="33">
        <v>1136435</v>
      </c>
      <c r="AE26" s="27">
        <v>75517573</v>
      </c>
      <c r="AF26" s="33">
        <v>74056005</v>
      </c>
      <c r="AG26" s="27">
        <v>1358422</v>
      </c>
      <c r="AH26" s="33">
        <v>2165061</v>
      </c>
      <c r="AI26" s="27">
        <v>3435937</v>
      </c>
      <c r="AJ26" s="33">
        <v>2498750</v>
      </c>
      <c r="AK26" s="27">
        <v>22133716</v>
      </c>
      <c r="AL26" s="33">
        <v>19859906</v>
      </c>
      <c r="AM26" s="27">
        <v>168523</v>
      </c>
      <c r="AN26" s="33">
        <v>430661</v>
      </c>
      <c r="AO26" s="27">
        <v>5510345</v>
      </c>
      <c r="AP26" s="33">
        <v>18979463</v>
      </c>
      <c r="AQ26" s="30">
        <v>2012</v>
      </c>
      <c r="AR26" s="31">
        <v>31126</v>
      </c>
      <c r="AS26" s="42">
        <v>297701</v>
      </c>
      <c r="AT26" s="43">
        <v>85877</v>
      </c>
      <c r="AU26" s="42">
        <v>104879328</v>
      </c>
      <c r="AV26" s="42">
        <v>66242599</v>
      </c>
      <c r="AW26" s="44">
        <v>46211904</v>
      </c>
      <c r="AX26" s="43">
        <v>25343950</v>
      </c>
      <c r="AY26" s="44">
        <v>72919828</v>
      </c>
      <c r="AZ26" s="43">
        <v>24806455</v>
      </c>
      <c r="BA26" s="44">
        <v>3325446313</v>
      </c>
      <c r="BB26" s="43">
        <v>3613488878</v>
      </c>
      <c r="BC26" s="44">
        <v>401101146</v>
      </c>
      <c r="BD26" s="43">
        <v>211679365</v>
      </c>
      <c r="BE26" s="44">
        <v>27393</v>
      </c>
      <c r="BF26" s="43">
        <v>12049</v>
      </c>
      <c r="BG26" s="45">
        <v>1631596</v>
      </c>
      <c r="BH26" s="185">
        <v>3456831</v>
      </c>
      <c r="BI26" s="44"/>
      <c r="BJ26" s="43"/>
      <c r="BK26" s="45">
        <v>927660</v>
      </c>
      <c r="BL26" s="205">
        <v>1157450</v>
      </c>
      <c r="BM26" s="44">
        <v>16950</v>
      </c>
      <c r="BN26" s="43">
        <v>23610</v>
      </c>
      <c r="BO26" s="44">
        <v>1755790</v>
      </c>
      <c r="BP26" s="43">
        <v>2140420</v>
      </c>
      <c r="BQ26" s="44"/>
      <c r="BR26" s="43"/>
      <c r="BS26" s="44">
        <v>137430</v>
      </c>
      <c r="BT26" s="43">
        <v>197790</v>
      </c>
      <c r="BU26" s="44">
        <v>2917390</v>
      </c>
      <c r="BV26" s="43">
        <v>340520</v>
      </c>
      <c r="BW26" s="44">
        <v>11033550</v>
      </c>
      <c r="BX26" s="43">
        <v>13297900</v>
      </c>
      <c r="BY26" s="44">
        <v>1458780</v>
      </c>
      <c r="BZ26" s="43">
        <v>1424180</v>
      </c>
      <c r="CA26" s="44">
        <v>222540</v>
      </c>
      <c r="CB26" s="43">
        <v>249530</v>
      </c>
      <c r="CC26" s="44"/>
      <c r="CD26" s="43">
        <v>306290</v>
      </c>
      <c r="CE26" s="44">
        <v>131459</v>
      </c>
      <c r="CF26" s="43">
        <v>147231</v>
      </c>
      <c r="CG26" s="44">
        <v>67449</v>
      </c>
      <c r="CH26" s="43">
        <v>16120</v>
      </c>
      <c r="CI26" s="44">
        <v>95854</v>
      </c>
      <c r="CJ26" s="43">
        <v>87837</v>
      </c>
      <c r="CK26" s="44">
        <v>450600</v>
      </c>
      <c r="CL26" s="43">
        <v>450591</v>
      </c>
      <c r="CM26" s="44">
        <v>189268</v>
      </c>
      <c r="CN26" s="43">
        <v>281958</v>
      </c>
      <c r="CO26" s="44"/>
      <c r="CP26" s="43"/>
      <c r="CQ26" s="44">
        <v>237070</v>
      </c>
      <c r="CR26" s="43">
        <v>110141</v>
      </c>
      <c r="CS26" s="44"/>
      <c r="CT26" s="43">
        <v>10891</v>
      </c>
      <c r="CU26" s="44">
        <v>603520</v>
      </c>
      <c r="CV26" s="43">
        <v>837649</v>
      </c>
      <c r="CW26" s="44"/>
      <c r="CX26" s="43"/>
      <c r="CY26" s="44">
        <v>9450958</v>
      </c>
      <c r="CZ26" s="43">
        <v>2891459</v>
      </c>
    </row>
    <row r="27" spans="1:104" ht="15.75" customHeight="1" x14ac:dyDescent="0.25">
      <c r="A27" s="9"/>
      <c r="B27" s="25" t="s">
        <v>86</v>
      </c>
      <c r="C27" s="64" t="s">
        <v>87</v>
      </c>
      <c r="D27" s="14"/>
      <c r="E27" s="27"/>
      <c r="F27" s="28"/>
      <c r="G27" s="32"/>
      <c r="H27" s="28"/>
      <c r="I27" s="32"/>
      <c r="J27" s="33"/>
      <c r="K27" s="32"/>
      <c r="L27" s="33"/>
      <c r="M27" s="32"/>
      <c r="N27" s="28"/>
      <c r="O27" s="27"/>
      <c r="P27" s="33"/>
      <c r="Q27" s="27"/>
      <c r="R27" s="33"/>
      <c r="S27" s="27"/>
      <c r="T27" s="33"/>
      <c r="U27" s="27"/>
      <c r="V27" s="33"/>
      <c r="W27" s="32"/>
      <c r="X27" s="33"/>
      <c r="Y27" s="27">
        <v>16934157</v>
      </c>
      <c r="Z27" s="33">
        <v>9681168</v>
      </c>
      <c r="AA27" s="27"/>
      <c r="AB27" s="28"/>
      <c r="AC27" s="27">
        <v>9999</v>
      </c>
      <c r="AD27" s="33">
        <v>9999</v>
      </c>
      <c r="AE27" s="27"/>
      <c r="AF27" s="33"/>
      <c r="AG27" s="27"/>
      <c r="AH27" s="33"/>
      <c r="AI27" s="27"/>
      <c r="AJ27" s="33"/>
      <c r="AK27" s="27"/>
      <c r="AL27" s="33"/>
      <c r="AM27" s="27"/>
      <c r="AN27" s="33"/>
      <c r="AO27" s="27"/>
      <c r="AP27" s="33"/>
      <c r="AQ27" s="30"/>
      <c r="AR27" s="31"/>
      <c r="AS27" s="42">
        <v>3453045</v>
      </c>
      <c r="AT27" s="43">
        <v>5868425</v>
      </c>
      <c r="AU27" s="42"/>
      <c r="AV27" s="42"/>
      <c r="AW27" s="44"/>
      <c r="AX27" s="43"/>
      <c r="AY27" s="44"/>
      <c r="AZ27" s="43"/>
      <c r="BA27" s="44">
        <v>2257533400</v>
      </c>
      <c r="BB27" s="43">
        <v>2124093259</v>
      </c>
      <c r="BC27" s="44"/>
      <c r="BD27" s="43"/>
      <c r="BE27" s="44"/>
      <c r="BF27" s="43"/>
      <c r="BG27" s="45"/>
      <c r="BH27" s="185">
        <v>8924</v>
      </c>
      <c r="BI27" s="44"/>
      <c r="BJ27" s="43"/>
      <c r="BK27" s="45"/>
      <c r="BL27" s="205"/>
      <c r="BM27" s="44"/>
      <c r="BN27" s="43"/>
      <c r="BO27" s="44">
        <v>70237750</v>
      </c>
      <c r="BP27" s="43">
        <v>70096510</v>
      </c>
      <c r="BQ27" s="44"/>
      <c r="BR27" s="43"/>
      <c r="BS27" s="44"/>
      <c r="BT27" s="43"/>
      <c r="BU27" s="44">
        <v>817100</v>
      </c>
      <c r="BV27" s="43">
        <v>861690</v>
      </c>
      <c r="BW27" s="44"/>
      <c r="BX27" s="43"/>
      <c r="BY27" s="44"/>
      <c r="BZ27" s="43"/>
      <c r="CA27" s="44">
        <v>88580</v>
      </c>
      <c r="CB27" s="43"/>
      <c r="CC27" s="44"/>
      <c r="CD27" s="43"/>
      <c r="CE27" s="44"/>
      <c r="CF27" s="43"/>
      <c r="CG27" s="44"/>
      <c r="CH27" s="43"/>
      <c r="CI27" s="44"/>
      <c r="CJ27" s="43"/>
      <c r="CK27" s="44"/>
      <c r="CL27" s="43"/>
      <c r="CM27" s="44"/>
      <c r="CN27" s="43"/>
      <c r="CO27" s="44">
        <v>228508</v>
      </c>
      <c r="CP27" s="43">
        <v>332674</v>
      </c>
      <c r="CQ27" s="44"/>
      <c r="CR27" s="43"/>
      <c r="CS27" s="44"/>
      <c r="CT27" s="43"/>
      <c r="CU27" s="44"/>
      <c r="CV27" s="43"/>
      <c r="CW27" s="44"/>
      <c r="CX27" s="43"/>
      <c r="CY27" s="44"/>
      <c r="CZ27" s="43"/>
    </row>
    <row r="28" spans="1:104" ht="15.75" customHeight="1" x14ac:dyDescent="0.25">
      <c r="A28" s="9"/>
      <c r="B28" s="25" t="s">
        <v>90</v>
      </c>
      <c r="C28" s="64" t="s">
        <v>91</v>
      </c>
      <c r="D28" s="14"/>
      <c r="E28" s="27">
        <v>177341</v>
      </c>
      <c r="F28" s="28">
        <v>187315</v>
      </c>
      <c r="G28" s="32"/>
      <c r="H28" s="28"/>
      <c r="I28" s="32">
        <v>11277910</v>
      </c>
      <c r="J28" s="33">
        <v>4560669</v>
      </c>
      <c r="K28" s="32">
        <v>244277</v>
      </c>
      <c r="L28" s="33">
        <v>111146</v>
      </c>
      <c r="M28" s="32"/>
      <c r="N28" s="28"/>
      <c r="O28" s="27">
        <v>14922</v>
      </c>
      <c r="P28" s="33">
        <v>18696</v>
      </c>
      <c r="Q28" s="27">
        <v>1040361</v>
      </c>
      <c r="R28" s="33">
        <v>107607</v>
      </c>
      <c r="S28" s="27">
        <v>13527</v>
      </c>
      <c r="T28" s="33">
        <v>6749</v>
      </c>
      <c r="U28" s="27">
        <v>293126</v>
      </c>
      <c r="V28" s="33">
        <v>142482</v>
      </c>
      <c r="W28" s="32">
        <v>26130447</v>
      </c>
      <c r="X28" s="33">
        <v>29092857</v>
      </c>
      <c r="Y28" s="27">
        <v>48851</v>
      </c>
      <c r="Z28" s="33">
        <v>65576</v>
      </c>
      <c r="AA28" s="27">
        <v>798587</v>
      </c>
      <c r="AB28" s="28">
        <v>2452472</v>
      </c>
      <c r="AC28" s="27">
        <v>1127148</v>
      </c>
      <c r="AD28" s="33">
        <v>1138090</v>
      </c>
      <c r="AE28" s="27">
        <v>1153280</v>
      </c>
      <c r="AF28" s="33">
        <v>3622308</v>
      </c>
      <c r="AG28" s="27">
        <v>38371</v>
      </c>
      <c r="AH28" s="33">
        <v>180173</v>
      </c>
      <c r="AI28" s="27">
        <v>213325</v>
      </c>
      <c r="AJ28" s="33">
        <v>193650</v>
      </c>
      <c r="AK28" s="27">
        <v>1071387</v>
      </c>
      <c r="AL28" s="33">
        <v>462861</v>
      </c>
      <c r="AM28" s="27">
        <v>224358</v>
      </c>
      <c r="AN28" s="33">
        <v>188445</v>
      </c>
      <c r="AO28" s="27">
        <v>576482</v>
      </c>
      <c r="AP28" s="33">
        <v>155466</v>
      </c>
      <c r="AQ28" s="30">
        <v>14667</v>
      </c>
      <c r="AR28" s="31">
        <v>32341</v>
      </c>
      <c r="AS28" s="42">
        <v>549327</v>
      </c>
      <c r="AT28" s="43">
        <v>348905</v>
      </c>
      <c r="AU28" s="42">
        <v>9346087</v>
      </c>
      <c r="AV28" s="42">
        <v>22432578</v>
      </c>
      <c r="AW28" s="44">
        <v>2464896</v>
      </c>
      <c r="AX28" s="43">
        <v>200261</v>
      </c>
      <c r="AY28" s="44">
        <v>1672727</v>
      </c>
      <c r="AZ28" s="43">
        <v>2063254</v>
      </c>
      <c r="BA28" s="44">
        <v>169240147</v>
      </c>
      <c r="BB28" s="43">
        <v>102218619</v>
      </c>
      <c r="BC28" s="44">
        <v>18096</v>
      </c>
      <c r="BD28" s="43">
        <v>8392</v>
      </c>
      <c r="BE28" s="44">
        <v>1705638</v>
      </c>
      <c r="BF28" s="43">
        <v>1413090</v>
      </c>
      <c r="BG28" s="45"/>
      <c r="BH28" s="185">
        <v>401638</v>
      </c>
      <c r="BI28" s="44">
        <v>9735</v>
      </c>
      <c r="BJ28" s="43">
        <v>4413</v>
      </c>
      <c r="BK28" s="45">
        <v>198780</v>
      </c>
      <c r="BL28" s="205">
        <v>83810</v>
      </c>
      <c r="BM28" s="44"/>
      <c r="BN28" s="43"/>
      <c r="BO28" s="44">
        <v>43887140</v>
      </c>
      <c r="BP28" s="43">
        <v>7586730</v>
      </c>
      <c r="BQ28" s="44"/>
      <c r="BR28" s="43"/>
      <c r="BS28" s="44">
        <v>143460</v>
      </c>
      <c r="BT28" s="43">
        <v>8270</v>
      </c>
      <c r="BU28" s="44">
        <v>9020</v>
      </c>
      <c r="BV28" s="43">
        <v>2560</v>
      </c>
      <c r="BW28" s="44">
        <v>64230</v>
      </c>
      <c r="BX28" s="43">
        <v>106460</v>
      </c>
      <c r="BY28" s="44">
        <v>29310</v>
      </c>
      <c r="BZ28" s="43">
        <v>5613920</v>
      </c>
      <c r="CA28" s="44"/>
      <c r="CB28" s="43"/>
      <c r="CC28" s="44">
        <v>13000</v>
      </c>
      <c r="CD28" s="43"/>
      <c r="CE28" s="44">
        <v>71670</v>
      </c>
      <c r="CF28" s="43">
        <v>89235</v>
      </c>
      <c r="CG28" s="44">
        <v>41040</v>
      </c>
      <c r="CH28" s="43">
        <v>24028</v>
      </c>
      <c r="CI28" s="44"/>
      <c r="CJ28" s="43"/>
      <c r="CK28" s="44">
        <v>2594</v>
      </c>
      <c r="CL28" s="43">
        <v>22624</v>
      </c>
      <c r="CM28" s="44">
        <v>112050</v>
      </c>
      <c r="CN28" s="43">
        <v>1126</v>
      </c>
      <c r="CO28" s="44">
        <v>1948</v>
      </c>
      <c r="CP28" s="43">
        <v>51190</v>
      </c>
      <c r="CQ28" s="44"/>
      <c r="CR28" s="43"/>
      <c r="CS28" s="44">
        <v>5450</v>
      </c>
      <c r="CT28" s="43">
        <v>829</v>
      </c>
      <c r="CU28" s="44">
        <v>404692</v>
      </c>
      <c r="CV28" s="43">
        <v>1009742</v>
      </c>
      <c r="CW28" s="44"/>
      <c r="CX28" s="43"/>
      <c r="CY28" s="44">
        <v>362616</v>
      </c>
      <c r="CZ28" s="43">
        <v>323774</v>
      </c>
    </row>
    <row r="29" spans="1:104" ht="15.75" customHeight="1" x14ac:dyDescent="0.25">
      <c r="A29" s="9"/>
      <c r="B29" s="25" t="s">
        <v>92</v>
      </c>
      <c r="C29" s="64" t="s">
        <v>93</v>
      </c>
      <c r="D29" s="14"/>
      <c r="E29" s="27">
        <v>141317</v>
      </c>
      <c r="F29" s="28">
        <v>123492</v>
      </c>
      <c r="G29" s="32"/>
      <c r="H29" s="28"/>
      <c r="I29" s="32">
        <v>52118688</v>
      </c>
      <c r="J29" s="33">
        <v>14835771</v>
      </c>
      <c r="K29" s="32">
        <v>490055</v>
      </c>
      <c r="L29" s="33">
        <v>32648</v>
      </c>
      <c r="M29" s="32"/>
      <c r="N29" s="28"/>
      <c r="O29" s="27">
        <v>1460</v>
      </c>
      <c r="P29" s="33">
        <v>11942</v>
      </c>
      <c r="Q29" s="27">
        <v>139710</v>
      </c>
      <c r="R29" s="33">
        <v>49697</v>
      </c>
      <c r="S29" s="27">
        <v>51009</v>
      </c>
      <c r="T29" s="33">
        <v>112760</v>
      </c>
      <c r="U29" s="27">
        <v>1896827</v>
      </c>
      <c r="V29" s="33">
        <v>1512720</v>
      </c>
      <c r="W29" s="32">
        <v>13679595</v>
      </c>
      <c r="X29" s="33">
        <v>24439848</v>
      </c>
      <c r="Y29" s="27">
        <v>14017</v>
      </c>
      <c r="Z29" s="33">
        <v>462945</v>
      </c>
      <c r="AA29" s="27">
        <v>3898732</v>
      </c>
      <c r="AB29" s="28">
        <v>3614835</v>
      </c>
      <c r="AC29" s="27">
        <v>168466</v>
      </c>
      <c r="AD29" s="33">
        <v>187280</v>
      </c>
      <c r="AE29" s="27">
        <v>1612764</v>
      </c>
      <c r="AF29" s="33">
        <v>681234</v>
      </c>
      <c r="AG29" s="27">
        <v>9860</v>
      </c>
      <c r="AH29" s="33">
        <v>1290681</v>
      </c>
      <c r="AI29" s="27">
        <v>61459</v>
      </c>
      <c r="AJ29" s="33">
        <v>493008</v>
      </c>
      <c r="AK29" s="27">
        <v>1383273</v>
      </c>
      <c r="AL29" s="33">
        <v>1867967</v>
      </c>
      <c r="AM29" s="27">
        <v>799724</v>
      </c>
      <c r="AN29" s="33">
        <v>739806</v>
      </c>
      <c r="AO29" s="27">
        <v>395707</v>
      </c>
      <c r="AP29" s="33">
        <v>75783</v>
      </c>
      <c r="AQ29" s="30">
        <v>147381</v>
      </c>
      <c r="AR29" s="31">
        <v>69866</v>
      </c>
      <c r="AS29" s="42">
        <v>40263</v>
      </c>
      <c r="AT29" s="43">
        <v>309462</v>
      </c>
      <c r="AU29" s="42">
        <v>138376230</v>
      </c>
      <c r="AV29" s="42">
        <v>141524765</v>
      </c>
      <c r="AW29" s="44">
        <v>2492854</v>
      </c>
      <c r="AX29" s="43">
        <v>319371</v>
      </c>
      <c r="AY29" s="44">
        <v>950498</v>
      </c>
      <c r="AZ29" s="43">
        <v>160196</v>
      </c>
      <c r="BA29" s="44">
        <v>307815419</v>
      </c>
      <c r="BB29" s="43">
        <v>339632944</v>
      </c>
      <c r="BC29" s="44">
        <v>3763350</v>
      </c>
      <c r="BD29" s="43">
        <v>4105114</v>
      </c>
      <c r="BE29" s="44">
        <v>405015</v>
      </c>
      <c r="BF29" s="43">
        <v>20029</v>
      </c>
      <c r="BG29" s="45">
        <v>145357</v>
      </c>
      <c r="BH29" s="185">
        <v>177338</v>
      </c>
      <c r="BI29" s="44">
        <v>226597</v>
      </c>
      <c r="BJ29" s="43">
        <v>198012</v>
      </c>
      <c r="BK29" s="45">
        <v>2704090</v>
      </c>
      <c r="BL29" s="205">
        <v>2217220</v>
      </c>
      <c r="BM29" s="44">
        <v>52050</v>
      </c>
      <c r="BN29" s="43">
        <v>27430</v>
      </c>
      <c r="BO29" s="44">
        <v>8900130</v>
      </c>
      <c r="BP29" s="43">
        <v>7884790</v>
      </c>
      <c r="BQ29" s="44">
        <v>131260</v>
      </c>
      <c r="BR29" s="43">
        <v>389140</v>
      </c>
      <c r="BS29" s="44">
        <v>156970</v>
      </c>
      <c r="BT29" s="43">
        <v>2840</v>
      </c>
      <c r="BU29" s="44">
        <v>8670</v>
      </c>
      <c r="BV29" s="43">
        <v>8900</v>
      </c>
      <c r="BW29" s="44">
        <v>62710</v>
      </c>
      <c r="BX29" s="43">
        <v>60290</v>
      </c>
      <c r="BY29" s="44">
        <v>750</v>
      </c>
      <c r="BZ29" s="43">
        <v>698380</v>
      </c>
      <c r="CA29" s="44"/>
      <c r="CB29" s="43"/>
      <c r="CC29" s="44">
        <v>574830</v>
      </c>
      <c r="CD29" s="43">
        <v>43200</v>
      </c>
      <c r="CE29" s="44">
        <v>1656799</v>
      </c>
      <c r="CF29" s="43">
        <v>1915456</v>
      </c>
      <c r="CG29" s="44">
        <v>39679</v>
      </c>
      <c r="CH29" s="43">
        <v>45232</v>
      </c>
      <c r="CI29" s="44">
        <v>14224</v>
      </c>
      <c r="CJ29" s="43">
        <v>15066</v>
      </c>
      <c r="CK29" s="44">
        <v>499</v>
      </c>
      <c r="CL29" s="43">
        <v>145</v>
      </c>
      <c r="CM29" s="44">
        <v>64822</v>
      </c>
      <c r="CN29" s="43">
        <v>3034</v>
      </c>
      <c r="CO29" s="44">
        <v>12235</v>
      </c>
      <c r="CP29" s="43"/>
      <c r="CQ29" s="44">
        <v>572</v>
      </c>
      <c r="CR29" s="43">
        <v>2955</v>
      </c>
      <c r="CS29" s="44"/>
      <c r="CT29" s="43"/>
      <c r="CU29" s="44">
        <v>710397</v>
      </c>
      <c r="CV29" s="43">
        <v>762746</v>
      </c>
      <c r="CW29" s="44">
        <v>2879</v>
      </c>
      <c r="CX29" s="43">
        <v>1230</v>
      </c>
      <c r="CY29" s="44">
        <v>90791</v>
      </c>
      <c r="CZ29" s="43">
        <v>61299</v>
      </c>
    </row>
    <row r="30" spans="1:104" ht="15.75" customHeight="1" x14ac:dyDescent="0.25">
      <c r="A30" s="9"/>
      <c r="B30" s="25" t="s">
        <v>94</v>
      </c>
      <c r="C30" s="64" t="s">
        <v>95</v>
      </c>
      <c r="D30" s="14"/>
      <c r="E30" s="27">
        <v>151338</v>
      </c>
      <c r="F30" s="28">
        <v>8351</v>
      </c>
      <c r="G30" s="32"/>
      <c r="H30" s="28"/>
      <c r="I30" s="32">
        <v>471800</v>
      </c>
      <c r="J30" s="33">
        <v>1321813</v>
      </c>
      <c r="K30" s="32">
        <v>24868</v>
      </c>
      <c r="L30" s="33">
        <v>13284</v>
      </c>
      <c r="M30" s="32"/>
      <c r="N30" s="28"/>
      <c r="O30" s="27">
        <v>6038</v>
      </c>
      <c r="P30" s="33">
        <v>22362</v>
      </c>
      <c r="Q30" s="27">
        <v>110229</v>
      </c>
      <c r="R30" s="33">
        <v>99761</v>
      </c>
      <c r="S30" s="27"/>
      <c r="T30" s="33"/>
      <c r="U30" s="27">
        <v>18268</v>
      </c>
      <c r="V30" s="33">
        <v>15685</v>
      </c>
      <c r="W30" s="32">
        <v>9206253</v>
      </c>
      <c r="X30" s="33">
        <v>10819427</v>
      </c>
      <c r="Y30" s="27">
        <v>117838</v>
      </c>
      <c r="Z30" s="33">
        <v>1335</v>
      </c>
      <c r="AA30" s="27">
        <v>215870</v>
      </c>
      <c r="AB30" s="28">
        <v>198949</v>
      </c>
      <c r="AC30" s="27">
        <v>26817</v>
      </c>
      <c r="AD30" s="33">
        <v>21659</v>
      </c>
      <c r="AE30" s="27">
        <v>692501</v>
      </c>
      <c r="AF30" s="33">
        <v>774318</v>
      </c>
      <c r="AG30" s="27">
        <v>20600</v>
      </c>
      <c r="AH30" s="33">
        <v>13328</v>
      </c>
      <c r="AI30" s="27">
        <v>202021</v>
      </c>
      <c r="AJ30" s="33">
        <v>285084</v>
      </c>
      <c r="AK30" s="27">
        <v>1806886</v>
      </c>
      <c r="AL30" s="33">
        <v>1557111</v>
      </c>
      <c r="AM30" s="27">
        <v>68802</v>
      </c>
      <c r="AN30" s="33">
        <v>50066</v>
      </c>
      <c r="AO30" s="27">
        <v>49972</v>
      </c>
      <c r="AP30" s="33">
        <v>42534</v>
      </c>
      <c r="AQ30" s="30">
        <v>206543</v>
      </c>
      <c r="AR30" s="31">
        <v>240390</v>
      </c>
      <c r="AS30" s="42">
        <v>64667</v>
      </c>
      <c r="AT30" s="43">
        <v>57203</v>
      </c>
      <c r="AU30" s="42">
        <v>163</v>
      </c>
      <c r="AV30" s="42">
        <v>163</v>
      </c>
      <c r="AW30" s="44">
        <v>157965</v>
      </c>
      <c r="AX30" s="43">
        <v>125011</v>
      </c>
      <c r="AY30" s="44">
        <v>908239</v>
      </c>
      <c r="AZ30" s="43">
        <v>1124746</v>
      </c>
      <c r="BA30" s="44">
        <v>152556</v>
      </c>
      <c r="BB30" s="43">
        <v>220807</v>
      </c>
      <c r="BC30" s="44"/>
      <c r="BD30" s="43"/>
      <c r="BE30" s="44">
        <v>62045</v>
      </c>
      <c r="BF30" s="43">
        <v>1206920</v>
      </c>
      <c r="BG30" s="45">
        <v>179517</v>
      </c>
      <c r="BH30" s="185">
        <v>141315</v>
      </c>
      <c r="BI30" s="44">
        <v>4864</v>
      </c>
      <c r="BJ30" s="43">
        <v>882</v>
      </c>
      <c r="BK30" s="45">
        <v>359250</v>
      </c>
      <c r="BL30" s="205">
        <v>430890</v>
      </c>
      <c r="BM30" s="44">
        <v>108860</v>
      </c>
      <c r="BN30" s="43">
        <v>42360</v>
      </c>
      <c r="BO30" s="44">
        <v>838510</v>
      </c>
      <c r="BP30" s="43">
        <v>2911810</v>
      </c>
      <c r="BQ30" s="44"/>
      <c r="BR30" s="43"/>
      <c r="BS30" s="44"/>
      <c r="BT30" s="43"/>
      <c r="BU30" s="44">
        <v>379360</v>
      </c>
      <c r="BV30" s="43">
        <v>378010</v>
      </c>
      <c r="BW30" s="44">
        <v>40</v>
      </c>
      <c r="BX30" s="43"/>
      <c r="BY30" s="44"/>
      <c r="BZ30" s="43"/>
      <c r="CA30" s="44"/>
      <c r="CB30" s="43"/>
      <c r="CC30" s="44">
        <v>244560</v>
      </c>
      <c r="CD30" s="43">
        <v>21320</v>
      </c>
      <c r="CE30" s="44">
        <v>16548</v>
      </c>
      <c r="CF30" s="43">
        <v>13205</v>
      </c>
      <c r="CG30" s="44"/>
      <c r="CH30" s="43"/>
      <c r="CI30" s="44">
        <v>17386</v>
      </c>
      <c r="CJ30" s="43">
        <v>25362</v>
      </c>
      <c r="CK30" s="44"/>
      <c r="CL30" s="43"/>
      <c r="CM30" s="44">
        <v>4846</v>
      </c>
      <c r="CN30" s="43">
        <v>4715</v>
      </c>
      <c r="CO30" s="44">
        <v>14131</v>
      </c>
      <c r="CP30" s="43">
        <v>16574</v>
      </c>
      <c r="CQ30" s="44"/>
      <c r="CR30" s="43"/>
      <c r="CS30" s="44">
        <v>10266</v>
      </c>
      <c r="CT30" s="43">
        <v>10258</v>
      </c>
      <c r="CU30" s="44">
        <v>89303</v>
      </c>
      <c r="CV30" s="43">
        <v>92429</v>
      </c>
      <c r="CW30" s="44">
        <v>2656</v>
      </c>
      <c r="CX30" s="43">
        <v>8262</v>
      </c>
      <c r="CY30" s="44">
        <v>165435</v>
      </c>
      <c r="CZ30" s="43">
        <v>298864</v>
      </c>
    </row>
    <row r="31" spans="1:104" ht="15.75" customHeight="1" x14ac:dyDescent="0.25">
      <c r="A31" s="9"/>
      <c r="B31" s="25" t="s">
        <v>96</v>
      </c>
      <c r="C31" s="64" t="s">
        <v>97</v>
      </c>
      <c r="D31" s="14"/>
      <c r="E31" s="27">
        <v>11220074</v>
      </c>
      <c r="F31" s="28">
        <v>9974967</v>
      </c>
      <c r="G31" s="32"/>
      <c r="H31" s="28"/>
      <c r="I31" s="32">
        <v>14952561</v>
      </c>
      <c r="J31" s="33">
        <v>92087279</v>
      </c>
      <c r="K31" s="32">
        <v>954408</v>
      </c>
      <c r="L31" s="33">
        <v>659507</v>
      </c>
      <c r="M31" s="32"/>
      <c r="N31" s="28"/>
      <c r="O31" s="27">
        <v>4657</v>
      </c>
      <c r="P31" s="33">
        <v>8264</v>
      </c>
      <c r="Q31" s="27">
        <v>33773444</v>
      </c>
      <c r="R31" s="33">
        <v>35356229</v>
      </c>
      <c r="S31" s="27">
        <v>1257</v>
      </c>
      <c r="T31" s="33">
        <v>1415</v>
      </c>
      <c r="U31" s="27">
        <v>7432</v>
      </c>
      <c r="V31" s="33"/>
      <c r="W31" s="32">
        <v>51949212</v>
      </c>
      <c r="X31" s="33">
        <v>49426684</v>
      </c>
      <c r="Y31" s="27">
        <v>847496</v>
      </c>
      <c r="Z31" s="33">
        <v>2275308</v>
      </c>
      <c r="AA31" s="27">
        <v>3465217</v>
      </c>
      <c r="AB31" s="28">
        <v>9332349</v>
      </c>
      <c r="AC31" s="27">
        <v>6205</v>
      </c>
      <c r="AD31" s="33">
        <v>304316</v>
      </c>
      <c r="AE31" s="27">
        <v>73669</v>
      </c>
      <c r="AF31" s="33">
        <v>132789</v>
      </c>
      <c r="AG31" s="27">
        <v>115799</v>
      </c>
      <c r="AH31" s="33">
        <v>116609</v>
      </c>
      <c r="AI31" s="27">
        <v>649242</v>
      </c>
      <c r="AJ31" s="33">
        <v>1084712</v>
      </c>
      <c r="AK31" s="27">
        <v>1000017</v>
      </c>
      <c r="AL31" s="33">
        <v>1069558</v>
      </c>
      <c r="AM31" s="27">
        <v>62146</v>
      </c>
      <c r="AN31" s="33">
        <v>91737</v>
      </c>
      <c r="AO31" s="27">
        <v>13317</v>
      </c>
      <c r="AP31" s="33">
        <v>15747</v>
      </c>
      <c r="AQ31" s="30">
        <v>184063</v>
      </c>
      <c r="AR31" s="31">
        <v>197733</v>
      </c>
      <c r="AS31" s="42">
        <v>75918</v>
      </c>
      <c r="AT31" s="43">
        <v>100167</v>
      </c>
      <c r="AU31" s="42">
        <v>84912</v>
      </c>
      <c r="AV31" s="42">
        <v>341408</v>
      </c>
      <c r="AW31" s="44">
        <v>2866881</v>
      </c>
      <c r="AX31" s="43">
        <v>6712263</v>
      </c>
      <c r="AY31" s="44">
        <v>24495588</v>
      </c>
      <c r="AZ31" s="43">
        <v>22384857</v>
      </c>
      <c r="BA31" s="44">
        <v>523492692</v>
      </c>
      <c r="BB31" s="43">
        <v>545020343</v>
      </c>
      <c r="BC31" s="44"/>
      <c r="BD31" s="43"/>
      <c r="BE31" s="44">
        <v>3681998</v>
      </c>
      <c r="BF31" s="43">
        <v>5618221</v>
      </c>
      <c r="BG31" s="45">
        <v>589263</v>
      </c>
      <c r="BH31" s="185"/>
      <c r="BI31" s="44">
        <v>778645</v>
      </c>
      <c r="BJ31" s="43">
        <v>751529</v>
      </c>
      <c r="BK31" s="45">
        <v>525820</v>
      </c>
      <c r="BL31" s="205">
        <v>487810</v>
      </c>
      <c r="BM31" s="44">
        <v>1431450</v>
      </c>
      <c r="BN31" s="43">
        <v>1382010</v>
      </c>
      <c r="BO31" s="44">
        <v>35527520</v>
      </c>
      <c r="BP31" s="43">
        <v>82841470</v>
      </c>
      <c r="BQ31" s="44">
        <v>92460</v>
      </c>
      <c r="BR31" s="43">
        <v>61740</v>
      </c>
      <c r="BS31" s="44">
        <v>150</v>
      </c>
      <c r="BT31" s="43">
        <v>100</v>
      </c>
      <c r="BU31" s="44">
        <v>339730</v>
      </c>
      <c r="BV31" s="43">
        <v>2377380</v>
      </c>
      <c r="BW31" s="44">
        <v>4095260</v>
      </c>
      <c r="BX31" s="43">
        <v>704500</v>
      </c>
      <c r="BY31" s="44">
        <v>15280</v>
      </c>
      <c r="BZ31" s="43">
        <v>225490</v>
      </c>
      <c r="CA31" s="44"/>
      <c r="CB31" s="43"/>
      <c r="CC31" s="44"/>
      <c r="CD31" s="43">
        <v>21250</v>
      </c>
      <c r="CE31" s="44">
        <v>73367</v>
      </c>
      <c r="CF31" s="43">
        <v>73706</v>
      </c>
      <c r="CG31" s="44">
        <v>2606</v>
      </c>
      <c r="CH31" s="43">
        <v>4095</v>
      </c>
      <c r="CI31" s="44">
        <v>882158</v>
      </c>
      <c r="CJ31" s="43">
        <v>1093786</v>
      </c>
      <c r="CK31" s="44"/>
      <c r="CL31" s="43">
        <v>60700</v>
      </c>
      <c r="CM31" s="44">
        <v>546</v>
      </c>
      <c r="CN31" s="43">
        <v>12544</v>
      </c>
      <c r="CO31" s="44"/>
      <c r="CP31" s="43"/>
      <c r="CQ31" s="44"/>
      <c r="CR31" s="43"/>
      <c r="CS31" s="44">
        <v>11094</v>
      </c>
      <c r="CT31" s="43"/>
      <c r="CU31" s="44">
        <v>495364</v>
      </c>
      <c r="CV31" s="43">
        <v>152804</v>
      </c>
      <c r="CW31" s="44">
        <v>130753</v>
      </c>
      <c r="CX31" s="43">
        <v>127200</v>
      </c>
      <c r="CY31" s="44">
        <v>91991</v>
      </c>
      <c r="CZ31" s="43">
        <v>1137017</v>
      </c>
    </row>
    <row r="32" spans="1:104" ht="15.75" customHeight="1" x14ac:dyDescent="0.25">
      <c r="A32" s="9"/>
      <c r="B32" s="25" t="s">
        <v>98</v>
      </c>
      <c r="C32" s="26" t="s">
        <v>99</v>
      </c>
      <c r="D32" s="14"/>
      <c r="E32" s="27">
        <v>2376777</v>
      </c>
      <c r="F32" s="28">
        <v>4188257</v>
      </c>
      <c r="G32" s="32">
        <v>15358134</v>
      </c>
      <c r="H32" s="28">
        <v>23556373</v>
      </c>
      <c r="I32" s="32">
        <f>61957214+704914</f>
        <v>62662128</v>
      </c>
      <c r="J32" s="33">
        <f>39412129+3795479</f>
        <v>43207608</v>
      </c>
      <c r="K32" s="32">
        <v>600842</v>
      </c>
      <c r="L32" s="33">
        <v>3153097</v>
      </c>
      <c r="M32" s="32">
        <v>28980</v>
      </c>
      <c r="N32" s="28">
        <v>20522</v>
      </c>
      <c r="O32" s="27">
        <v>20251</v>
      </c>
      <c r="P32" s="33">
        <v>18143</v>
      </c>
      <c r="Q32" s="27">
        <f>9284961+6224358</f>
        <v>15509319</v>
      </c>
      <c r="R32" s="33">
        <f>8854311+2307517</f>
        <v>11161828</v>
      </c>
      <c r="S32" s="27">
        <v>113515</v>
      </c>
      <c r="T32" s="33">
        <v>873445</v>
      </c>
      <c r="U32" s="27">
        <v>2844431</v>
      </c>
      <c r="V32" s="33">
        <v>2812026</v>
      </c>
      <c r="W32" s="32">
        <f>25197518+822035</f>
        <v>26019553</v>
      </c>
      <c r="X32" s="33">
        <f>14819113+913784</f>
        <v>15732897</v>
      </c>
      <c r="Y32" s="27">
        <v>245029008</v>
      </c>
      <c r="Z32" s="33">
        <v>246979019</v>
      </c>
      <c r="AA32" s="27">
        <v>2528223</v>
      </c>
      <c r="AB32" s="28">
        <v>37166090</v>
      </c>
      <c r="AC32" s="27">
        <v>4675469</v>
      </c>
      <c r="AD32" s="33">
        <v>4479151</v>
      </c>
      <c r="AE32" s="27">
        <f>21326445+1646</f>
        <v>21328091</v>
      </c>
      <c r="AF32" s="33">
        <f>60194855+3514</f>
        <v>60198369</v>
      </c>
      <c r="AG32" s="27">
        <v>6193096</v>
      </c>
      <c r="AH32" s="33">
        <v>4224562</v>
      </c>
      <c r="AI32" s="27">
        <v>1286909</v>
      </c>
      <c r="AJ32" s="33">
        <v>4224282</v>
      </c>
      <c r="AK32" s="27">
        <v>15308369</v>
      </c>
      <c r="AL32" s="33">
        <v>14316413</v>
      </c>
      <c r="AM32" s="27">
        <v>1509828</v>
      </c>
      <c r="AN32" s="33">
        <v>2329269</v>
      </c>
      <c r="AO32" s="27">
        <v>3133155</v>
      </c>
      <c r="AP32" s="33">
        <v>5928312</v>
      </c>
      <c r="AQ32" s="30">
        <f>21903+2055755</f>
        <v>2077658</v>
      </c>
      <c r="AR32" s="31">
        <f>23221+5725333</f>
        <v>5748554</v>
      </c>
      <c r="AS32" s="42">
        <v>2987165</v>
      </c>
      <c r="AT32" s="43">
        <v>2332399</v>
      </c>
      <c r="AU32" s="42">
        <v>14725821</v>
      </c>
      <c r="AV32" s="42">
        <v>28868445</v>
      </c>
      <c r="AW32" s="44">
        <f>2858962+1396</f>
        <v>2860358</v>
      </c>
      <c r="AX32" s="43">
        <f>565469+316</f>
        <v>565785</v>
      </c>
      <c r="AY32" s="44">
        <f>133933598+170397</f>
        <v>134103995</v>
      </c>
      <c r="AZ32" s="43">
        <f>119639092+904944</f>
        <v>120544036</v>
      </c>
      <c r="BA32" s="44">
        <f>171847513+5477</f>
        <v>171852990</v>
      </c>
      <c r="BB32" s="43">
        <f>219378190+41075</f>
        <v>219419265</v>
      </c>
      <c r="BC32" s="44">
        <f>53401982+90</f>
        <v>53402072</v>
      </c>
      <c r="BD32" s="43">
        <f>226703540+90</f>
        <v>226703630</v>
      </c>
      <c r="BE32" s="44">
        <f>8290083+894651</f>
        <v>9184734</v>
      </c>
      <c r="BF32" s="43">
        <f>7646635+1935479</f>
        <v>9582114</v>
      </c>
      <c r="BG32" s="45">
        <f>337227+18000</f>
        <v>355227</v>
      </c>
      <c r="BH32" s="185">
        <v>790146</v>
      </c>
      <c r="BI32" s="44">
        <f>97635+394314</f>
        <v>491949</v>
      </c>
      <c r="BJ32" s="43">
        <f>40287+881360</f>
        <v>921647</v>
      </c>
      <c r="BK32" s="45">
        <f>29122700+183980</f>
        <v>29306680</v>
      </c>
      <c r="BL32" s="205">
        <f>30986410+204410</f>
        <v>31190820</v>
      </c>
      <c r="BM32" s="44">
        <v>2325860</v>
      </c>
      <c r="BN32" s="43">
        <v>1904770</v>
      </c>
      <c r="BO32" s="44">
        <f>2936960+3611510</f>
        <v>6548470</v>
      </c>
      <c r="BP32" s="43">
        <f>2461240+6610</f>
        <v>2467850</v>
      </c>
      <c r="BQ32" s="44">
        <v>1803660</v>
      </c>
      <c r="BR32" s="43">
        <v>4221350</v>
      </c>
      <c r="BS32" s="44">
        <v>2360680</v>
      </c>
      <c r="BT32" s="43">
        <v>2479230</v>
      </c>
      <c r="BU32" s="44">
        <f>883520+85780</f>
        <v>969300</v>
      </c>
      <c r="BV32" s="43">
        <f>738400+44000</f>
        <v>782400</v>
      </c>
      <c r="BW32" s="44">
        <f>7516710+340</f>
        <v>7517050</v>
      </c>
      <c r="BX32" s="43">
        <f>12923380+270</f>
        <v>12923650</v>
      </c>
      <c r="BY32" s="44">
        <v>4051850</v>
      </c>
      <c r="BZ32" s="43">
        <v>29356730</v>
      </c>
      <c r="CA32" s="44">
        <v>2287590</v>
      </c>
      <c r="CB32" s="43">
        <v>2500340</v>
      </c>
      <c r="CC32" s="44">
        <v>64990</v>
      </c>
      <c r="CD32" s="43">
        <v>14080</v>
      </c>
      <c r="CE32" s="44">
        <v>1256181</v>
      </c>
      <c r="CF32" s="43">
        <v>1024868</v>
      </c>
      <c r="CG32" s="44">
        <v>1098677</v>
      </c>
      <c r="CH32" s="43">
        <v>758890</v>
      </c>
      <c r="CI32" s="44">
        <v>8176</v>
      </c>
      <c r="CJ32" s="43">
        <v>159</v>
      </c>
      <c r="CK32" s="44">
        <v>68564</v>
      </c>
      <c r="CL32" s="43">
        <v>4226</v>
      </c>
      <c r="CM32" s="44">
        <v>138532</v>
      </c>
      <c r="CN32" s="43">
        <v>164586</v>
      </c>
      <c r="CO32" s="44">
        <v>44135</v>
      </c>
      <c r="CP32" s="43">
        <v>1045</v>
      </c>
      <c r="CQ32" s="44">
        <v>6432</v>
      </c>
      <c r="CR32" s="43">
        <v>157</v>
      </c>
      <c r="CS32" s="44">
        <v>5105</v>
      </c>
      <c r="CT32" s="43">
        <v>82372</v>
      </c>
      <c r="CU32" s="44">
        <v>3839257</v>
      </c>
      <c r="CV32" s="43">
        <v>3374129</v>
      </c>
      <c r="CW32" s="44">
        <v>4655</v>
      </c>
      <c r="CX32" s="43">
        <v>105</v>
      </c>
      <c r="CY32" s="44">
        <f>2421595+246938</f>
        <v>2668533</v>
      </c>
      <c r="CZ32" s="43">
        <f>2771690+220765</f>
        <v>2992455</v>
      </c>
    </row>
    <row r="33" spans="1:104" ht="28.5" customHeight="1" x14ac:dyDescent="0.25">
      <c r="A33" s="9"/>
      <c r="B33" s="25" t="s">
        <v>100</v>
      </c>
      <c r="C33" s="26" t="s">
        <v>101</v>
      </c>
      <c r="D33" s="14"/>
      <c r="E33" s="27"/>
      <c r="F33" s="28"/>
      <c r="G33" s="32"/>
      <c r="H33" s="28"/>
      <c r="I33" s="32">
        <v>2097168</v>
      </c>
      <c r="J33" s="33">
        <v>1468258</v>
      </c>
      <c r="K33" s="32">
        <v>5000000</v>
      </c>
      <c r="L33" s="33"/>
      <c r="M33" s="32">
        <v>28182</v>
      </c>
      <c r="N33" s="28">
        <v>286398</v>
      </c>
      <c r="O33" s="32"/>
      <c r="P33" s="33"/>
      <c r="Q33" s="27"/>
      <c r="R33" s="33">
        <v>800000</v>
      </c>
      <c r="S33" s="27">
        <v>9300000</v>
      </c>
      <c r="T33" s="33">
        <v>11250000</v>
      </c>
      <c r="U33" s="27"/>
      <c r="V33" s="33"/>
      <c r="W33" s="32"/>
      <c r="X33" s="33"/>
      <c r="Y33" s="27"/>
      <c r="Z33" s="33"/>
      <c r="AA33" s="27"/>
      <c r="AB33" s="28"/>
      <c r="AC33" s="27"/>
      <c r="AD33" s="33"/>
      <c r="AE33" s="27"/>
      <c r="AF33" s="33"/>
      <c r="AG33" s="27"/>
      <c r="AH33" s="33"/>
      <c r="AI33" s="27"/>
      <c r="AJ33" s="33"/>
      <c r="AK33" s="27"/>
      <c r="AL33" s="33"/>
      <c r="AM33" s="27"/>
      <c r="AN33" s="33"/>
      <c r="AO33" s="27"/>
      <c r="AP33" s="33"/>
      <c r="AQ33" s="30">
        <v>2500000</v>
      </c>
      <c r="AR33" s="31"/>
      <c r="AS33" s="42"/>
      <c r="AT33" s="43"/>
      <c r="AU33" s="42"/>
      <c r="AV33" s="42"/>
      <c r="AW33" s="44"/>
      <c r="AX33" s="43"/>
      <c r="AY33" s="44"/>
      <c r="AZ33" s="43"/>
      <c r="BA33" s="1">
        <v>3018899</v>
      </c>
      <c r="BB33" s="43">
        <v>3018899</v>
      </c>
      <c r="BC33" s="44"/>
      <c r="BD33" s="43"/>
      <c r="BE33" s="44"/>
      <c r="BF33" s="43"/>
      <c r="BG33" s="45">
        <v>60</v>
      </c>
      <c r="BH33" s="185"/>
      <c r="BI33" s="44"/>
      <c r="BJ33" s="43"/>
      <c r="BK33" s="45">
        <v>17000000</v>
      </c>
      <c r="BL33" s="205">
        <v>17000000</v>
      </c>
      <c r="BM33" s="44"/>
      <c r="BN33" s="43">
        <v>11010</v>
      </c>
      <c r="BO33" s="44">
        <v>2625390</v>
      </c>
      <c r="BP33" s="43"/>
      <c r="BQ33" s="44"/>
      <c r="BR33" s="43"/>
      <c r="BS33" s="44"/>
      <c r="BT33" s="43"/>
      <c r="BU33" s="44">
        <f>63680+19990</f>
        <v>83670</v>
      </c>
      <c r="BV33" s="43">
        <f>12000+16000</f>
        <v>28000</v>
      </c>
      <c r="BW33" s="44"/>
      <c r="BX33" s="43"/>
      <c r="BY33" s="44">
        <v>58274020</v>
      </c>
      <c r="BZ33" s="43">
        <v>39929450</v>
      </c>
      <c r="CA33" s="44"/>
      <c r="CB33" s="43"/>
      <c r="CC33" s="44"/>
      <c r="CD33" s="43"/>
      <c r="CE33" s="44"/>
      <c r="CF33" s="43"/>
      <c r="CG33" s="44">
        <v>300000</v>
      </c>
      <c r="CH33" s="43">
        <v>800000</v>
      </c>
      <c r="CI33" s="44"/>
      <c r="CJ33" s="43"/>
      <c r="CK33" s="44"/>
      <c r="CL33" s="43"/>
      <c r="CM33" s="44"/>
      <c r="CN33" s="43"/>
      <c r="CO33" s="44"/>
      <c r="CP33" s="43"/>
      <c r="CQ33" s="44"/>
      <c r="CR33" s="43"/>
      <c r="CS33" s="44"/>
      <c r="CT33" s="43"/>
      <c r="CU33" s="44"/>
      <c r="CV33" s="43"/>
      <c r="CW33" s="44">
        <v>53600</v>
      </c>
      <c r="CX33" s="43"/>
      <c r="CY33" s="44"/>
      <c r="CZ33" s="43"/>
    </row>
    <row r="34" spans="1:104" ht="15.75" customHeight="1" thickBot="1" x14ac:dyDescent="0.3">
      <c r="A34" s="9"/>
      <c r="B34" s="25" t="s">
        <v>104</v>
      </c>
      <c r="C34" s="26" t="s">
        <v>105</v>
      </c>
      <c r="D34" s="14"/>
      <c r="E34" s="27">
        <v>190967</v>
      </c>
      <c r="F34" s="28">
        <v>201418</v>
      </c>
      <c r="G34" s="32">
        <v>372370</v>
      </c>
      <c r="H34" s="28">
        <v>442532</v>
      </c>
      <c r="I34" s="32">
        <v>9892247</v>
      </c>
      <c r="J34" s="33">
        <v>21830565</v>
      </c>
      <c r="K34" s="32">
        <v>355034</v>
      </c>
      <c r="L34" s="33">
        <v>296130</v>
      </c>
      <c r="M34" s="32">
        <v>617371</v>
      </c>
      <c r="N34" s="28">
        <v>276995</v>
      </c>
      <c r="O34" s="32">
        <v>6132</v>
      </c>
      <c r="P34" s="33">
        <v>4856</v>
      </c>
      <c r="Q34" s="27">
        <v>1923251</v>
      </c>
      <c r="R34" s="33">
        <v>6940920</v>
      </c>
      <c r="S34" s="27">
        <v>29960</v>
      </c>
      <c r="T34" s="33">
        <v>30151</v>
      </c>
      <c r="U34" s="27">
        <v>17863</v>
      </c>
      <c r="V34" s="33">
        <v>24284</v>
      </c>
      <c r="W34" s="32">
        <v>136133042</v>
      </c>
      <c r="X34" s="33">
        <v>20231989</v>
      </c>
      <c r="Y34" s="27">
        <v>229373</v>
      </c>
      <c r="Z34" s="33">
        <v>187265</v>
      </c>
      <c r="AA34" s="27">
        <v>3860567</v>
      </c>
      <c r="AB34" s="28">
        <v>3490273</v>
      </c>
      <c r="AC34" s="27">
        <v>79069</v>
      </c>
      <c r="AD34" s="33">
        <v>74716</v>
      </c>
      <c r="AE34" s="27">
        <v>141255</v>
      </c>
      <c r="AF34" s="33">
        <v>191814</v>
      </c>
      <c r="AG34" s="27">
        <v>969386</v>
      </c>
      <c r="AH34" s="33">
        <v>1627236</v>
      </c>
      <c r="AI34" s="27">
        <v>115729</v>
      </c>
      <c r="AJ34" s="33">
        <v>96707</v>
      </c>
      <c r="AK34" s="47">
        <v>1037831</v>
      </c>
      <c r="AL34" s="33">
        <v>905588</v>
      </c>
      <c r="AM34" s="47">
        <v>36070</v>
      </c>
      <c r="AN34" s="33">
        <v>48773</v>
      </c>
      <c r="AO34" s="29">
        <v>818851</v>
      </c>
      <c r="AP34" s="82">
        <v>1513636</v>
      </c>
      <c r="AQ34" s="30">
        <v>59274</v>
      </c>
      <c r="AR34" s="31">
        <v>126931</v>
      </c>
      <c r="AS34" s="42">
        <v>568119</v>
      </c>
      <c r="AT34" s="43">
        <v>573052</v>
      </c>
      <c r="AU34" s="42">
        <v>379002</v>
      </c>
      <c r="AV34" s="42">
        <v>415806</v>
      </c>
      <c r="AW34" s="44">
        <v>633260</v>
      </c>
      <c r="AX34" s="83">
        <v>5120239</v>
      </c>
      <c r="AY34" s="44">
        <v>4642368</v>
      </c>
      <c r="AZ34" s="83">
        <v>5927375</v>
      </c>
      <c r="BA34" s="44">
        <v>301526</v>
      </c>
      <c r="BB34" s="83">
        <v>339082</v>
      </c>
      <c r="BC34" s="44">
        <v>94322</v>
      </c>
      <c r="BD34" s="43">
        <v>39018</v>
      </c>
      <c r="BE34" s="44">
        <v>112795</v>
      </c>
      <c r="BF34" s="43">
        <v>140298</v>
      </c>
      <c r="BG34" s="192">
        <v>49527</v>
      </c>
      <c r="BH34" s="193">
        <v>102807</v>
      </c>
      <c r="BI34" s="44">
        <v>21626</v>
      </c>
      <c r="BJ34" s="43">
        <v>20685</v>
      </c>
      <c r="BK34" s="190">
        <v>440950</v>
      </c>
      <c r="BL34" s="205">
        <v>633510</v>
      </c>
      <c r="BM34" s="44">
        <v>22610</v>
      </c>
      <c r="BN34" s="43"/>
      <c r="BO34" s="44">
        <v>75431040</v>
      </c>
      <c r="BP34" s="43">
        <v>66288710</v>
      </c>
      <c r="BQ34" s="44">
        <v>3610</v>
      </c>
      <c r="BR34" s="83">
        <v>88950</v>
      </c>
      <c r="BS34" s="44">
        <v>10270</v>
      </c>
      <c r="BT34" s="43">
        <v>13750</v>
      </c>
      <c r="BU34" s="44">
        <v>217140</v>
      </c>
      <c r="BV34" s="43">
        <v>462550</v>
      </c>
      <c r="BW34" s="44">
        <v>10230</v>
      </c>
      <c r="BX34" s="83">
        <v>7420</v>
      </c>
      <c r="BY34" s="44">
        <v>789150</v>
      </c>
      <c r="BZ34" s="43">
        <v>736350</v>
      </c>
      <c r="CA34" s="44"/>
      <c r="CB34" s="43"/>
      <c r="CC34" s="44">
        <v>621080</v>
      </c>
      <c r="CD34" s="83">
        <v>45860</v>
      </c>
      <c r="CE34" s="44">
        <v>9939</v>
      </c>
      <c r="CF34" s="43">
        <v>15267</v>
      </c>
      <c r="CG34" s="44">
        <v>23700</v>
      </c>
      <c r="CH34" s="43">
        <v>38395</v>
      </c>
      <c r="CI34" s="44">
        <v>4604</v>
      </c>
      <c r="CJ34" s="83">
        <v>3144</v>
      </c>
      <c r="CK34" s="44">
        <v>1883</v>
      </c>
      <c r="CL34" s="43">
        <v>1513</v>
      </c>
      <c r="CM34" s="44">
        <v>13349</v>
      </c>
      <c r="CN34" s="43">
        <v>7447</v>
      </c>
      <c r="CO34" s="44">
        <v>3220</v>
      </c>
      <c r="CP34" s="83">
        <v>11226</v>
      </c>
      <c r="CQ34" s="44">
        <v>2942</v>
      </c>
      <c r="CR34" s="43">
        <v>230</v>
      </c>
      <c r="CS34" s="44">
        <v>374</v>
      </c>
      <c r="CT34" s="43">
        <v>374</v>
      </c>
      <c r="CU34" s="44">
        <v>370639</v>
      </c>
      <c r="CV34" s="83">
        <v>183785</v>
      </c>
      <c r="CW34" s="44"/>
      <c r="CX34" s="43"/>
      <c r="CY34" s="44">
        <v>753961</v>
      </c>
      <c r="CZ34" s="43">
        <v>864658</v>
      </c>
    </row>
    <row r="35" spans="1:104" ht="15.75" customHeight="1" thickBot="1" x14ac:dyDescent="0.3">
      <c r="A35" s="51"/>
      <c r="B35" s="84" t="s">
        <v>106</v>
      </c>
      <c r="C35" s="85" t="s">
        <v>107</v>
      </c>
      <c r="D35" s="54"/>
      <c r="E35" s="55">
        <f t="shared" ref="E35:CG35" si="2">SUM(E22:E34)</f>
        <v>253248667</v>
      </c>
      <c r="F35" s="56">
        <f t="shared" si="2"/>
        <v>275903977</v>
      </c>
      <c r="G35" s="56">
        <f t="shared" si="2"/>
        <v>145212737</v>
      </c>
      <c r="H35" s="56">
        <f t="shared" si="2"/>
        <v>114501686</v>
      </c>
      <c r="I35" s="56">
        <f t="shared" si="2"/>
        <v>1244776092</v>
      </c>
      <c r="J35" s="56">
        <f t="shared" si="2"/>
        <v>1348272653</v>
      </c>
      <c r="K35" s="86">
        <f t="shared" si="2"/>
        <v>9188739</v>
      </c>
      <c r="L35" s="57">
        <f t="shared" si="2"/>
        <v>5891323</v>
      </c>
      <c r="M35" s="57">
        <f t="shared" si="2"/>
        <v>25802493</v>
      </c>
      <c r="N35" s="57">
        <f t="shared" si="2"/>
        <v>28338650</v>
      </c>
      <c r="O35" s="57">
        <f t="shared" si="2"/>
        <v>5987000</v>
      </c>
      <c r="P35" s="57">
        <f t="shared" si="2"/>
        <v>4418013</v>
      </c>
      <c r="Q35" s="57">
        <f t="shared" si="2"/>
        <v>202858085</v>
      </c>
      <c r="R35" s="57">
        <f t="shared" si="2"/>
        <v>254585637</v>
      </c>
      <c r="S35" s="57">
        <f t="shared" si="2"/>
        <v>10648345</v>
      </c>
      <c r="T35" s="57">
        <f t="shared" si="2"/>
        <v>13218785</v>
      </c>
      <c r="U35" s="57">
        <f t="shared" si="2"/>
        <v>10848386</v>
      </c>
      <c r="V35" s="57">
        <f t="shared" si="2"/>
        <v>9321411</v>
      </c>
      <c r="W35" s="57">
        <f t="shared" si="2"/>
        <v>589087673</v>
      </c>
      <c r="X35" s="57">
        <f t="shared" si="2"/>
        <v>474757533</v>
      </c>
      <c r="Y35" s="57">
        <f t="shared" si="2"/>
        <v>263861076</v>
      </c>
      <c r="Z35" s="57">
        <f t="shared" si="2"/>
        <v>260488250</v>
      </c>
      <c r="AA35" s="57">
        <f t="shared" si="2"/>
        <v>138566043</v>
      </c>
      <c r="AB35" s="57">
        <f t="shared" si="2"/>
        <v>103694923</v>
      </c>
      <c r="AC35" s="57">
        <f t="shared" si="2"/>
        <v>7223485</v>
      </c>
      <c r="AD35" s="57">
        <f t="shared" si="2"/>
        <v>7772354</v>
      </c>
      <c r="AE35" s="57">
        <f t="shared" si="2"/>
        <v>141859862</v>
      </c>
      <c r="AF35" s="57">
        <f t="shared" si="2"/>
        <v>175332935</v>
      </c>
      <c r="AG35" s="57">
        <f t="shared" si="2"/>
        <v>10898545</v>
      </c>
      <c r="AH35" s="57">
        <f t="shared" si="2"/>
        <v>12115707</v>
      </c>
      <c r="AI35" s="87">
        <f t="shared" si="2"/>
        <v>6484573</v>
      </c>
      <c r="AJ35" s="88">
        <f t="shared" si="2"/>
        <v>9482205</v>
      </c>
      <c r="AK35" s="57">
        <f t="shared" si="2"/>
        <v>59212386</v>
      </c>
      <c r="AL35" s="57">
        <f t="shared" si="2"/>
        <v>55557569</v>
      </c>
      <c r="AM35" s="57">
        <f t="shared" si="2"/>
        <v>3158599</v>
      </c>
      <c r="AN35" s="57">
        <f t="shared" si="2"/>
        <v>4166539</v>
      </c>
      <c r="AO35" s="57">
        <f t="shared" si="2"/>
        <v>12237147</v>
      </c>
      <c r="AP35" s="57">
        <f t="shared" si="2"/>
        <v>28449855</v>
      </c>
      <c r="AQ35" s="58">
        <f t="shared" si="2"/>
        <v>5367009</v>
      </c>
      <c r="AR35" s="59">
        <f t="shared" si="2"/>
        <v>6723881</v>
      </c>
      <c r="AS35" s="60">
        <f t="shared" si="2"/>
        <v>9854281</v>
      </c>
      <c r="AT35" s="61">
        <f t="shared" si="2"/>
        <v>12953176</v>
      </c>
      <c r="AU35" s="60">
        <f t="shared" si="2"/>
        <v>289895873</v>
      </c>
      <c r="AV35" s="61">
        <f t="shared" si="2"/>
        <v>276664201</v>
      </c>
      <c r="AW35" s="62">
        <f t="shared" si="2"/>
        <v>106362755</v>
      </c>
      <c r="AX35" s="61">
        <f t="shared" si="2"/>
        <v>77420174</v>
      </c>
      <c r="AY35" s="62">
        <f t="shared" si="2"/>
        <v>271884906</v>
      </c>
      <c r="AZ35" s="61">
        <f t="shared" si="2"/>
        <v>211020682</v>
      </c>
      <c r="BA35" s="62">
        <f t="shared" si="2"/>
        <v>6815088231</v>
      </c>
      <c r="BB35" s="61">
        <f t="shared" si="2"/>
        <v>7006421505</v>
      </c>
      <c r="BC35" s="62">
        <f t="shared" si="2"/>
        <v>458391704</v>
      </c>
      <c r="BD35" s="61">
        <f t="shared" si="2"/>
        <v>442557978</v>
      </c>
      <c r="BE35" s="62">
        <f t="shared" si="2"/>
        <v>16379838</v>
      </c>
      <c r="BF35" s="61">
        <f t="shared" si="2"/>
        <v>18772737</v>
      </c>
      <c r="BG35" s="62">
        <f>SUM(BG22:BG34)</f>
        <v>3750349</v>
      </c>
      <c r="BH35" s="195">
        <f>SUM(BH22:BH34)</f>
        <v>6390067</v>
      </c>
      <c r="BI35" s="62">
        <f t="shared" si="2"/>
        <v>1610217</v>
      </c>
      <c r="BJ35" s="61">
        <f t="shared" si="2"/>
        <v>2017579</v>
      </c>
      <c r="BK35" s="63">
        <f>SUM(BK22:BK34)</f>
        <v>53661350</v>
      </c>
      <c r="BL35" s="214">
        <f t="shared" si="2"/>
        <v>54693950</v>
      </c>
      <c r="BM35" s="62">
        <f t="shared" si="2"/>
        <v>4067750</v>
      </c>
      <c r="BN35" s="61">
        <f t="shared" si="2"/>
        <v>3465810</v>
      </c>
      <c r="BO35" s="62">
        <f t="shared" si="2"/>
        <v>281976380</v>
      </c>
      <c r="BP35" s="61">
        <f t="shared" si="2"/>
        <v>282204060</v>
      </c>
      <c r="BQ35" s="62">
        <f t="shared" si="2"/>
        <v>2096220</v>
      </c>
      <c r="BR35" s="61">
        <f t="shared" si="2"/>
        <v>4843090</v>
      </c>
      <c r="BS35" s="62">
        <f t="shared" si="2"/>
        <v>3200500</v>
      </c>
      <c r="BT35" s="61">
        <f t="shared" si="2"/>
        <v>2763760</v>
      </c>
      <c r="BU35" s="62">
        <f t="shared" si="2"/>
        <v>17997290</v>
      </c>
      <c r="BV35" s="61">
        <f t="shared" si="2"/>
        <v>5982980</v>
      </c>
      <c r="BW35" s="62">
        <f t="shared" si="2"/>
        <v>38070630</v>
      </c>
      <c r="BX35" s="61">
        <f t="shared" si="2"/>
        <v>43235700</v>
      </c>
      <c r="BY35" s="62">
        <f t="shared" si="2"/>
        <v>64633730</v>
      </c>
      <c r="BZ35" s="61">
        <f t="shared" si="2"/>
        <v>78079010</v>
      </c>
      <c r="CA35" s="62">
        <f t="shared" si="2"/>
        <v>3020210</v>
      </c>
      <c r="CB35" s="61">
        <f t="shared" si="2"/>
        <v>3118040</v>
      </c>
      <c r="CC35" s="62">
        <f t="shared" si="2"/>
        <v>1530790</v>
      </c>
      <c r="CD35" s="61">
        <f t="shared" si="2"/>
        <v>475060</v>
      </c>
      <c r="CE35" s="62">
        <f t="shared" si="2"/>
        <v>10413209</v>
      </c>
      <c r="CF35" s="61">
        <f t="shared" si="2"/>
        <v>10183163</v>
      </c>
      <c r="CG35" s="61">
        <f t="shared" si="2"/>
        <v>1643333</v>
      </c>
      <c r="CH35" s="61">
        <f>SUM(CH22:CH34)</f>
        <v>1809085</v>
      </c>
      <c r="CI35" s="61">
        <f>SUM(CI22:CI34)</f>
        <v>1098229</v>
      </c>
      <c r="CJ35" s="61">
        <f>SUM(CJ22:CJ34)</f>
        <v>1243319</v>
      </c>
      <c r="CK35" s="62">
        <f t="shared" ref="CK35:CZ35" si="3">SUM(CK22:CK34)</f>
        <v>830093</v>
      </c>
      <c r="CL35" s="61">
        <f t="shared" si="3"/>
        <v>709982</v>
      </c>
      <c r="CM35" s="61">
        <f t="shared" si="3"/>
        <v>2079694</v>
      </c>
      <c r="CN35" s="61">
        <f t="shared" si="3"/>
        <v>2029423</v>
      </c>
      <c r="CO35" s="61">
        <f t="shared" si="3"/>
        <v>314365</v>
      </c>
      <c r="CP35" s="61">
        <f t="shared" si="3"/>
        <v>432864</v>
      </c>
      <c r="CQ35" s="61">
        <f t="shared" si="3"/>
        <v>401697</v>
      </c>
      <c r="CR35" s="61">
        <f t="shared" si="3"/>
        <v>409723</v>
      </c>
      <c r="CS35" s="61">
        <f t="shared" si="3"/>
        <v>405814</v>
      </c>
      <c r="CT35" s="61">
        <f t="shared" si="3"/>
        <v>594841</v>
      </c>
      <c r="CU35" s="61">
        <f t="shared" si="3"/>
        <v>7510123</v>
      </c>
      <c r="CV35" s="61">
        <f t="shared" si="3"/>
        <v>7666023</v>
      </c>
      <c r="CW35" s="61">
        <f t="shared" si="3"/>
        <v>240942</v>
      </c>
      <c r="CX35" s="61">
        <f t="shared" si="3"/>
        <v>180783</v>
      </c>
      <c r="CY35" s="61">
        <f t="shared" si="3"/>
        <v>22143195</v>
      </c>
      <c r="CZ35" s="61">
        <f t="shared" si="3"/>
        <v>31169353</v>
      </c>
    </row>
    <row r="36" spans="1:104" ht="15.75" customHeight="1" thickBot="1" x14ac:dyDescent="0.3">
      <c r="A36" s="51"/>
      <c r="B36" s="89" t="s">
        <v>108</v>
      </c>
      <c r="C36" s="90" t="s">
        <v>109</v>
      </c>
      <c r="D36" s="91"/>
      <c r="E36" s="92">
        <f t="shared" ref="E36:CG36" si="4">SUM(E19,E35)</f>
        <v>383477183</v>
      </c>
      <c r="F36" s="92">
        <f t="shared" si="4"/>
        <v>403213406</v>
      </c>
      <c r="G36" s="92">
        <f t="shared" si="4"/>
        <v>445399060</v>
      </c>
      <c r="H36" s="92">
        <f t="shared" si="4"/>
        <v>396545687</v>
      </c>
      <c r="I36" s="92">
        <f t="shared" si="4"/>
        <v>5034252229</v>
      </c>
      <c r="J36" s="92">
        <f t="shared" si="4"/>
        <v>5245857047</v>
      </c>
      <c r="K36" s="92">
        <f t="shared" si="4"/>
        <v>68928969</v>
      </c>
      <c r="L36" s="92">
        <f t="shared" si="4"/>
        <v>61914713</v>
      </c>
      <c r="M36" s="92">
        <f t="shared" si="4"/>
        <v>1483700330</v>
      </c>
      <c r="N36" s="92">
        <f t="shared" si="4"/>
        <v>1466467715</v>
      </c>
      <c r="O36" s="92">
        <f t="shared" si="4"/>
        <v>17159123</v>
      </c>
      <c r="P36" s="92">
        <f t="shared" si="4"/>
        <v>14464302</v>
      </c>
      <c r="Q36" s="92">
        <f t="shared" si="4"/>
        <v>264580441</v>
      </c>
      <c r="R36" s="92">
        <f t="shared" si="4"/>
        <v>299516196</v>
      </c>
      <c r="S36" s="92">
        <f t="shared" si="4"/>
        <v>23436945</v>
      </c>
      <c r="T36" s="92">
        <f t="shared" si="4"/>
        <v>34222493</v>
      </c>
      <c r="U36" s="92">
        <f t="shared" si="4"/>
        <v>26135319</v>
      </c>
      <c r="V36" s="92">
        <f t="shared" si="4"/>
        <v>23020734</v>
      </c>
      <c r="W36" s="92">
        <f t="shared" si="4"/>
        <v>2766855674</v>
      </c>
      <c r="X36" s="92">
        <f t="shared" si="4"/>
        <v>3483309116</v>
      </c>
      <c r="Y36" s="92">
        <f t="shared" si="4"/>
        <v>8712771278</v>
      </c>
      <c r="Z36" s="92">
        <f t="shared" si="4"/>
        <v>9019819701</v>
      </c>
      <c r="AA36" s="92">
        <f t="shared" si="4"/>
        <v>283649425</v>
      </c>
      <c r="AB36" s="92">
        <f t="shared" si="4"/>
        <v>227986617</v>
      </c>
      <c r="AC36" s="92">
        <f t="shared" si="4"/>
        <v>21847378</v>
      </c>
      <c r="AD36" s="92">
        <f t="shared" si="4"/>
        <v>24460537</v>
      </c>
      <c r="AE36" s="92">
        <f t="shared" si="4"/>
        <v>1484070659</v>
      </c>
      <c r="AF36" s="92">
        <f t="shared" si="4"/>
        <v>1469428307</v>
      </c>
      <c r="AG36" s="92">
        <f t="shared" si="4"/>
        <v>20942483</v>
      </c>
      <c r="AH36" s="92">
        <f t="shared" si="4"/>
        <v>22332174</v>
      </c>
      <c r="AI36" s="93">
        <f t="shared" si="4"/>
        <v>55010289</v>
      </c>
      <c r="AJ36" s="94">
        <f t="shared" si="4"/>
        <v>56638135</v>
      </c>
      <c r="AK36" s="95">
        <f t="shared" si="4"/>
        <v>91828880</v>
      </c>
      <c r="AL36" s="93">
        <f t="shared" si="4"/>
        <v>93582397</v>
      </c>
      <c r="AM36" s="95">
        <f t="shared" si="4"/>
        <v>11911443</v>
      </c>
      <c r="AN36" s="93">
        <f t="shared" si="4"/>
        <v>12349648</v>
      </c>
      <c r="AO36" s="95">
        <f t="shared" si="4"/>
        <v>71218638</v>
      </c>
      <c r="AP36" s="93">
        <f t="shared" si="4"/>
        <v>70900839</v>
      </c>
      <c r="AQ36" s="96">
        <f t="shared" si="4"/>
        <v>13019170</v>
      </c>
      <c r="AR36" s="97">
        <f t="shared" si="4"/>
        <v>15314752</v>
      </c>
      <c r="AS36" s="98">
        <f t="shared" si="4"/>
        <v>35209496</v>
      </c>
      <c r="AT36" s="99">
        <f t="shared" si="4"/>
        <v>40468199</v>
      </c>
      <c r="AU36" s="98">
        <f t="shared" si="4"/>
        <v>326551287</v>
      </c>
      <c r="AV36" s="99">
        <f t="shared" si="4"/>
        <v>331961788</v>
      </c>
      <c r="AW36" s="100">
        <f t="shared" si="4"/>
        <v>539684520</v>
      </c>
      <c r="AX36" s="99">
        <f t="shared" si="4"/>
        <v>490152347</v>
      </c>
      <c r="AY36" s="100">
        <f t="shared" si="4"/>
        <v>366522341</v>
      </c>
      <c r="AZ36" s="99">
        <f t="shared" si="4"/>
        <v>315094013</v>
      </c>
      <c r="BA36" s="100">
        <f t="shared" si="4"/>
        <v>11824352928</v>
      </c>
      <c r="BB36" s="99">
        <f t="shared" si="4"/>
        <v>12030081346</v>
      </c>
      <c r="BC36" s="100">
        <f t="shared" si="4"/>
        <v>458936782</v>
      </c>
      <c r="BD36" s="99">
        <f t="shared" si="4"/>
        <v>443012999</v>
      </c>
      <c r="BE36" s="100">
        <f t="shared" si="4"/>
        <v>38293562</v>
      </c>
      <c r="BF36" s="101">
        <f t="shared" si="4"/>
        <v>43915624</v>
      </c>
      <c r="BG36" s="100">
        <f>SUM(BG19,BG35)</f>
        <v>32365189</v>
      </c>
      <c r="BH36" s="197">
        <f>SUM(BH19,BH35)</f>
        <v>40652303</v>
      </c>
      <c r="BI36" s="100">
        <f t="shared" si="4"/>
        <v>37873078</v>
      </c>
      <c r="BJ36" s="99">
        <f t="shared" si="4"/>
        <v>37754123</v>
      </c>
      <c r="BK36" s="216">
        <f>SUM(BK19,BK35)</f>
        <v>134484940</v>
      </c>
      <c r="BL36" s="215">
        <f t="shared" si="4"/>
        <v>132134940</v>
      </c>
      <c r="BM36" s="100">
        <f t="shared" si="4"/>
        <v>7346640</v>
      </c>
      <c r="BN36" s="99">
        <f t="shared" si="4"/>
        <v>6450130</v>
      </c>
      <c r="BO36" s="100">
        <f t="shared" si="4"/>
        <v>1068518900</v>
      </c>
      <c r="BP36" s="99">
        <f t="shared" si="4"/>
        <v>1101258400</v>
      </c>
      <c r="BQ36" s="100">
        <f t="shared" si="4"/>
        <v>47168110</v>
      </c>
      <c r="BR36" s="99">
        <f t="shared" si="4"/>
        <v>49748860</v>
      </c>
      <c r="BS36" s="100">
        <f t="shared" si="4"/>
        <v>3720950</v>
      </c>
      <c r="BT36" s="99">
        <f t="shared" si="4"/>
        <v>3274850</v>
      </c>
      <c r="BU36" s="100">
        <f t="shared" si="4"/>
        <v>50321050</v>
      </c>
      <c r="BV36" s="99">
        <f t="shared" si="4"/>
        <v>38164310</v>
      </c>
      <c r="BW36" s="100">
        <f t="shared" si="4"/>
        <v>64677790</v>
      </c>
      <c r="BX36" s="99">
        <f t="shared" si="4"/>
        <v>67152420</v>
      </c>
      <c r="BY36" s="100">
        <f t="shared" si="4"/>
        <v>91417230</v>
      </c>
      <c r="BZ36" s="99">
        <f t="shared" si="4"/>
        <v>108564370</v>
      </c>
      <c r="CA36" s="100">
        <f t="shared" si="4"/>
        <v>157390310</v>
      </c>
      <c r="CB36" s="99">
        <f t="shared" si="4"/>
        <v>156489210</v>
      </c>
      <c r="CC36" s="100">
        <f t="shared" si="4"/>
        <v>24242720</v>
      </c>
      <c r="CD36" s="99">
        <f t="shared" si="4"/>
        <v>22905210</v>
      </c>
      <c r="CE36" s="100">
        <f t="shared" si="4"/>
        <v>14832075</v>
      </c>
      <c r="CF36" s="99">
        <f t="shared" si="4"/>
        <v>14301312</v>
      </c>
      <c r="CG36" s="99">
        <f t="shared" si="4"/>
        <v>2539056</v>
      </c>
      <c r="CH36" s="99">
        <f>SUM(CH19,CH35)</f>
        <v>2307364</v>
      </c>
      <c r="CI36" s="99">
        <f>SUM(CI19,CI35)</f>
        <v>1894528</v>
      </c>
      <c r="CJ36" s="99">
        <f>SUM(CJ19,CJ35)</f>
        <v>2003088</v>
      </c>
      <c r="CK36" s="100">
        <f t="shared" ref="CK36:CZ36" si="5">SUM(CK19,CK35)</f>
        <v>955632</v>
      </c>
      <c r="CL36" s="99">
        <f t="shared" si="5"/>
        <v>841595</v>
      </c>
      <c r="CM36" s="99">
        <f t="shared" si="5"/>
        <v>4315668</v>
      </c>
      <c r="CN36" s="99">
        <f t="shared" si="5"/>
        <v>3532138</v>
      </c>
      <c r="CO36" s="99">
        <f t="shared" si="5"/>
        <v>892675</v>
      </c>
      <c r="CP36" s="99">
        <f t="shared" si="5"/>
        <v>981107</v>
      </c>
      <c r="CQ36" s="99">
        <f t="shared" si="5"/>
        <v>732725</v>
      </c>
      <c r="CR36" s="99">
        <f t="shared" si="5"/>
        <v>723964</v>
      </c>
      <c r="CS36" s="99">
        <f t="shared" si="5"/>
        <v>663028</v>
      </c>
      <c r="CT36" s="99">
        <f t="shared" si="5"/>
        <v>638470</v>
      </c>
      <c r="CU36" s="99">
        <f t="shared" si="5"/>
        <v>37475510</v>
      </c>
      <c r="CV36" s="99">
        <f t="shared" si="5"/>
        <v>42160178</v>
      </c>
      <c r="CW36" s="99">
        <f t="shared" si="5"/>
        <v>29085300</v>
      </c>
      <c r="CX36" s="99">
        <f t="shared" si="5"/>
        <v>29058182</v>
      </c>
      <c r="CY36" s="99">
        <f t="shared" si="5"/>
        <v>55188901</v>
      </c>
      <c r="CZ36" s="99">
        <f t="shared" si="5"/>
        <v>61947826</v>
      </c>
    </row>
    <row r="37" spans="1:104" ht="15.75" customHeight="1" x14ac:dyDescent="0.25">
      <c r="A37" s="9"/>
      <c r="B37" s="103"/>
      <c r="C37" s="104"/>
      <c r="D37" s="14"/>
      <c r="E37" s="27"/>
      <c r="F37" s="28"/>
      <c r="G37" s="32"/>
      <c r="H37" s="28"/>
      <c r="I37" s="32"/>
      <c r="J37" s="33"/>
      <c r="K37" s="34"/>
      <c r="L37" s="81"/>
      <c r="M37" s="32"/>
      <c r="N37" s="81"/>
      <c r="O37" s="32"/>
      <c r="P37" s="33"/>
      <c r="Q37" s="27"/>
      <c r="R37" s="33"/>
      <c r="S37" s="27"/>
      <c r="T37" s="33"/>
      <c r="U37" s="27"/>
      <c r="V37" s="33"/>
      <c r="W37" s="32"/>
      <c r="X37" s="33"/>
      <c r="Y37" s="27"/>
      <c r="Z37" s="33"/>
      <c r="AA37" s="27"/>
      <c r="AB37" s="28"/>
      <c r="AC37" s="27"/>
      <c r="AD37" s="33"/>
      <c r="AE37" s="27"/>
      <c r="AF37" s="33"/>
      <c r="AG37" s="27"/>
      <c r="AH37" s="33"/>
      <c r="AI37" s="27"/>
      <c r="AJ37" s="33"/>
      <c r="AK37" s="34"/>
      <c r="AL37" s="33"/>
      <c r="AM37" s="34"/>
      <c r="AN37" s="33"/>
      <c r="AO37" s="34"/>
      <c r="AP37" s="33"/>
      <c r="AQ37" s="30"/>
      <c r="AR37" s="31"/>
      <c r="AS37" s="37"/>
      <c r="AT37" s="43"/>
      <c r="AU37" s="42"/>
      <c r="AV37" s="43"/>
      <c r="AW37" s="44"/>
      <c r="AX37" s="43"/>
      <c r="AY37" s="44"/>
      <c r="AZ37" s="43"/>
      <c r="BA37" s="44"/>
      <c r="BB37" s="43"/>
      <c r="BC37" s="44"/>
      <c r="BD37" s="43"/>
      <c r="BE37" s="44"/>
      <c r="BF37" s="43"/>
      <c r="BG37" s="40"/>
      <c r="BH37" s="184"/>
      <c r="BI37" s="44"/>
      <c r="BJ37" s="43"/>
      <c r="BK37" s="45"/>
      <c r="BL37" s="208"/>
      <c r="BM37" s="44"/>
      <c r="BN37" s="43"/>
      <c r="BO37" s="44"/>
      <c r="BP37" s="43"/>
      <c r="BQ37" s="44"/>
      <c r="BR37" s="43"/>
      <c r="BS37" s="44"/>
      <c r="BT37" s="43"/>
      <c r="BU37" s="44"/>
      <c r="BV37" s="43"/>
      <c r="BW37" s="44"/>
      <c r="BX37" s="43"/>
      <c r="BY37" s="44"/>
      <c r="BZ37" s="43"/>
      <c r="CA37" s="44"/>
      <c r="CB37" s="43"/>
      <c r="CC37" s="44"/>
      <c r="CD37" s="43"/>
      <c r="CE37" s="44"/>
      <c r="CF37" s="43"/>
      <c r="CG37" s="44"/>
      <c r="CH37" s="43"/>
      <c r="CI37" s="44"/>
      <c r="CJ37" s="43"/>
      <c r="CK37" s="44"/>
      <c r="CL37" s="43"/>
      <c r="CM37" s="44"/>
      <c r="CN37" s="43"/>
      <c r="CO37" s="44"/>
      <c r="CP37" s="43"/>
      <c r="CQ37" s="44"/>
      <c r="CR37" s="43"/>
      <c r="CS37" s="44"/>
      <c r="CT37" s="43"/>
      <c r="CU37" s="44"/>
      <c r="CV37" s="43"/>
      <c r="CW37" s="44"/>
      <c r="CX37" s="43"/>
      <c r="CY37" s="44"/>
      <c r="CZ37" s="43"/>
    </row>
    <row r="38" spans="1:104" ht="15.75" customHeight="1" x14ac:dyDescent="0.25">
      <c r="A38" s="9"/>
      <c r="B38" s="25" t="s">
        <v>110</v>
      </c>
      <c r="C38" s="64" t="s">
        <v>111</v>
      </c>
      <c r="D38" s="14"/>
      <c r="E38" s="27"/>
      <c r="F38" s="28"/>
      <c r="G38" s="32">
        <v>81753781</v>
      </c>
      <c r="H38" s="28">
        <v>37000797</v>
      </c>
      <c r="I38" s="32"/>
      <c r="J38" s="33"/>
      <c r="K38" s="27"/>
      <c r="L38" s="33"/>
      <c r="M38" s="32"/>
      <c r="N38" s="33"/>
      <c r="O38" s="32"/>
      <c r="P38" s="33"/>
      <c r="Q38" s="27"/>
      <c r="R38" s="33"/>
      <c r="S38" s="27"/>
      <c r="T38" s="33"/>
      <c r="U38" s="27"/>
      <c r="V38" s="33"/>
      <c r="W38" s="32"/>
      <c r="X38" s="33"/>
      <c r="Y38" s="27"/>
      <c r="Z38" s="33"/>
      <c r="AA38" s="27"/>
      <c r="AB38" s="28"/>
      <c r="AC38" s="27"/>
      <c r="AD38" s="33"/>
      <c r="AE38" s="27"/>
      <c r="AF38" s="33"/>
      <c r="AG38" s="27"/>
      <c r="AH38" s="33"/>
      <c r="AI38" s="27"/>
      <c r="AJ38" s="33"/>
      <c r="AK38" s="27"/>
      <c r="AL38" s="33"/>
      <c r="AM38" s="27"/>
      <c r="AN38" s="33"/>
      <c r="AO38" s="27"/>
      <c r="AP38" s="33"/>
      <c r="AQ38" s="30"/>
      <c r="AR38" s="31"/>
      <c r="AS38" s="42"/>
      <c r="AT38" s="43"/>
      <c r="AU38" s="42"/>
      <c r="AV38" s="43"/>
      <c r="AW38" s="44"/>
      <c r="AX38" s="43"/>
      <c r="AY38" s="44"/>
      <c r="AZ38" s="43"/>
      <c r="BA38" s="44"/>
      <c r="BB38" s="43"/>
      <c r="BC38" s="44"/>
      <c r="BD38" s="43"/>
      <c r="BE38" s="44"/>
      <c r="BF38" s="43"/>
      <c r="BG38" s="45"/>
      <c r="BH38" s="185"/>
      <c r="BI38" s="44"/>
      <c r="BJ38" s="43"/>
      <c r="BK38" s="45"/>
      <c r="BL38" s="205"/>
      <c r="BM38" s="44"/>
      <c r="BN38" s="43"/>
      <c r="BO38" s="44">
        <v>240649430</v>
      </c>
      <c r="BP38" s="43">
        <v>283433010</v>
      </c>
      <c r="BQ38" s="44"/>
      <c r="BR38" s="43"/>
      <c r="BS38" s="44"/>
      <c r="BT38" s="43"/>
      <c r="BU38" s="44"/>
      <c r="BV38" s="43"/>
      <c r="BW38" s="44"/>
      <c r="BX38" s="43"/>
      <c r="BY38" s="44"/>
      <c r="BZ38" s="43"/>
      <c r="CA38" s="44"/>
      <c r="CB38" s="43"/>
      <c r="CC38" s="44"/>
      <c r="CD38" s="43"/>
      <c r="CE38" s="44"/>
      <c r="CF38" s="43"/>
      <c r="CG38" s="44"/>
      <c r="CH38" s="43"/>
      <c r="CI38" s="44"/>
      <c r="CJ38" s="43"/>
      <c r="CK38" s="44"/>
      <c r="CL38" s="43"/>
      <c r="CM38" s="44"/>
      <c r="CN38" s="43"/>
      <c r="CO38" s="44"/>
      <c r="CP38" s="43"/>
      <c r="CQ38" s="44"/>
      <c r="CR38" s="43"/>
      <c r="CS38" s="44"/>
      <c r="CT38" s="43"/>
      <c r="CU38" s="44"/>
      <c r="CV38" s="43"/>
      <c r="CW38" s="44"/>
      <c r="CX38" s="43"/>
      <c r="CY38" s="44"/>
      <c r="CZ38" s="43"/>
    </row>
    <row r="39" spans="1:104" ht="15.75" customHeight="1" x14ac:dyDescent="0.25">
      <c r="A39" s="9"/>
      <c r="B39" s="25" t="s">
        <v>112</v>
      </c>
      <c r="C39" s="64" t="s">
        <v>113</v>
      </c>
      <c r="D39" s="14"/>
      <c r="E39" s="27"/>
      <c r="F39" s="28"/>
      <c r="G39" s="32">
        <v>5696826</v>
      </c>
      <c r="H39" s="28">
        <v>5717602</v>
      </c>
      <c r="I39" s="32">
        <v>53826577</v>
      </c>
      <c r="J39" s="33"/>
      <c r="K39" s="27"/>
      <c r="L39" s="33"/>
      <c r="M39" s="32"/>
      <c r="N39" s="33"/>
      <c r="O39" s="32"/>
      <c r="P39" s="33"/>
      <c r="Q39" s="27"/>
      <c r="R39" s="33"/>
      <c r="S39" s="27"/>
      <c r="T39" s="33"/>
      <c r="U39" s="27"/>
      <c r="V39" s="33"/>
      <c r="W39" s="32">
        <v>128738361</v>
      </c>
      <c r="X39" s="33">
        <v>83432412</v>
      </c>
      <c r="Y39" s="27"/>
      <c r="Z39" s="33"/>
      <c r="AA39" s="27"/>
      <c r="AB39" s="28"/>
      <c r="AC39" s="27"/>
      <c r="AD39" s="33"/>
      <c r="AE39" s="27"/>
      <c r="AF39" s="33"/>
      <c r="AG39" s="27"/>
      <c r="AH39" s="33"/>
      <c r="AI39" s="27"/>
      <c r="AJ39" s="33"/>
      <c r="AK39" s="27"/>
      <c r="AL39" s="33"/>
      <c r="AM39" s="27"/>
      <c r="AN39" s="33"/>
      <c r="AO39" s="27"/>
      <c r="AP39" s="33"/>
      <c r="AQ39" s="30"/>
      <c r="AR39" s="31"/>
      <c r="AS39" s="42"/>
      <c r="AT39" s="43"/>
      <c r="AU39" s="42"/>
      <c r="AV39" s="43"/>
      <c r="AW39" s="44">
        <v>15992000</v>
      </c>
      <c r="AX39" s="43">
        <v>13328000</v>
      </c>
      <c r="AY39" s="44"/>
      <c r="AZ39" s="43"/>
      <c r="BA39" s="44"/>
      <c r="BB39" s="43"/>
      <c r="BC39" s="44"/>
      <c r="BD39" s="43"/>
      <c r="BE39" s="44"/>
      <c r="BF39" s="43"/>
      <c r="BG39" s="45"/>
      <c r="BH39" s="185"/>
      <c r="BI39" s="44"/>
      <c r="BJ39" s="43"/>
      <c r="BK39" s="45"/>
      <c r="BL39" s="205"/>
      <c r="BM39" s="44"/>
      <c r="BN39" s="43"/>
      <c r="BO39" s="44"/>
      <c r="BP39" s="43"/>
      <c r="BQ39" s="44"/>
      <c r="BR39" s="43"/>
      <c r="BS39" s="44"/>
      <c r="BT39" s="43"/>
      <c r="BU39" s="44"/>
      <c r="BV39" s="43"/>
      <c r="BW39" s="44"/>
      <c r="BX39" s="43"/>
      <c r="BY39" s="44"/>
      <c r="BZ39" s="43"/>
      <c r="CA39" s="44"/>
      <c r="CB39" s="43"/>
      <c r="CC39" s="44"/>
      <c r="CD39" s="43"/>
      <c r="CE39" s="44"/>
      <c r="CF39" s="43"/>
      <c r="CG39" s="44"/>
      <c r="CH39" s="43"/>
      <c r="CI39" s="44"/>
      <c r="CJ39" s="43"/>
      <c r="CK39" s="44"/>
      <c r="CL39" s="43"/>
      <c r="CM39" s="44">
        <v>15000</v>
      </c>
      <c r="CN39" s="43"/>
      <c r="CO39" s="44"/>
      <c r="CP39" s="43"/>
      <c r="CQ39" s="44"/>
      <c r="CR39" s="43"/>
      <c r="CS39" s="44"/>
      <c r="CT39" s="43"/>
      <c r="CU39" s="44"/>
      <c r="CV39" s="43"/>
      <c r="CW39" s="44"/>
      <c r="CX39" s="43"/>
      <c r="CY39" s="44"/>
      <c r="CZ39" s="43"/>
    </row>
    <row r="40" spans="1:104" ht="15.75" customHeight="1" x14ac:dyDescent="0.25">
      <c r="A40" s="9"/>
      <c r="B40" s="25" t="s">
        <v>114</v>
      </c>
      <c r="C40" s="64" t="s">
        <v>115</v>
      </c>
      <c r="D40" s="14"/>
      <c r="E40" s="27"/>
      <c r="F40" s="28"/>
      <c r="G40" s="32"/>
      <c r="H40" s="28"/>
      <c r="I40" s="32">
        <v>37366480</v>
      </c>
      <c r="J40" s="33">
        <v>326097604</v>
      </c>
      <c r="K40" s="27"/>
      <c r="L40" s="33"/>
      <c r="M40" s="32"/>
      <c r="N40" s="33"/>
      <c r="O40" s="32"/>
      <c r="P40" s="33"/>
      <c r="Q40" s="27"/>
      <c r="R40" s="33"/>
      <c r="S40" s="27"/>
      <c r="T40" s="33"/>
      <c r="U40" s="27"/>
      <c r="V40" s="33"/>
      <c r="W40" s="32"/>
      <c r="X40" s="33"/>
      <c r="Y40" s="27"/>
      <c r="Z40" s="33"/>
      <c r="AA40" s="27"/>
      <c r="AB40" s="28"/>
      <c r="AC40" s="27"/>
      <c r="AD40" s="33"/>
      <c r="AE40" s="27">
        <v>266177153</v>
      </c>
      <c r="AF40" s="33">
        <v>255177058</v>
      </c>
      <c r="AG40" s="27"/>
      <c r="AH40" s="33"/>
      <c r="AI40" s="27"/>
      <c r="AJ40" s="33"/>
      <c r="AK40" s="27"/>
      <c r="AL40" s="33"/>
      <c r="AM40" s="27"/>
      <c r="AN40" s="33"/>
      <c r="AO40" s="27"/>
      <c r="AP40" s="33"/>
      <c r="AQ40" s="30"/>
      <c r="AR40" s="31"/>
      <c r="AS40" s="42"/>
      <c r="AT40" s="43"/>
      <c r="AU40" s="42"/>
      <c r="AV40" s="43"/>
      <c r="AW40" s="44"/>
      <c r="AX40" s="43"/>
      <c r="AY40" s="44"/>
      <c r="AZ40" s="43"/>
      <c r="BA40" s="44"/>
      <c r="BB40" s="43"/>
      <c r="BC40" s="44"/>
      <c r="BD40" s="43"/>
      <c r="BE40" s="44"/>
      <c r="BF40" s="43"/>
      <c r="BG40" s="45"/>
      <c r="BH40" s="185"/>
      <c r="BI40" s="44"/>
      <c r="BJ40" s="43"/>
      <c r="BK40" s="45"/>
      <c r="BL40" s="205"/>
      <c r="BM40" s="44"/>
      <c r="BN40" s="43"/>
      <c r="BO40" s="44"/>
      <c r="BP40" s="43"/>
      <c r="BQ40" s="44"/>
      <c r="BR40" s="43"/>
      <c r="BS40" s="44"/>
      <c r="BT40" s="43"/>
      <c r="BU40" s="44"/>
      <c r="BV40" s="43"/>
      <c r="BW40" s="44"/>
      <c r="BX40" s="43"/>
      <c r="BY40" s="44"/>
      <c r="BZ40" s="43"/>
      <c r="CA40" s="44"/>
      <c r="CB40" s="43"/>
      <c r="CC40" s="44"/>
      <c r="CD40" s="43"/>
      <c r="CE40" s="44"/>
      <c r="CF40" s="43"/>
      <c r="CG40" s="44"/>
      <c r="CH40" s="43"/>
      <c r="CI40" s="44"/>
      <c r="CJ40" s="43"/>
      <c r="CK40" s="44"/>
      <c r="CL40" s="43"/>
      <c r="CM40" s="44"/>
      <c r="CN40" s="43"/>
      <c r="CO40" s="44"/>
      <c r="CP40" s="43"/>
      <c r="CQ40" s="44"/>
      <c r="CR40" s="43"/>
      <c r="CS40" s="44"/>
      <c r="CT40" s="43"/>
      <c r="CU40" s="44"/>
      <c r="CV40" s="43"/>
      <c r="CW40" s="44"/>
      <c r="CX40" s="43"/>
      <c r="CY40" s="44"/>
      <c r="CZ40" s="43"/>
    </row>
    <row r="41" spans="1:104" ht="15.75" customHeight="1" x14ac:dyDescent="0.25">
      <c r="A41" s="9"/>
      <c r="B41" s="25" t="s">
        <v>118</v>
      </c>
      <c r="C41" s="26" t="s">
        <v>119</v>
      </c>
      <c r="D41" s="14"/>
      <c r="E41" s="27"/>
      <c r="F41" s="28"/>
      <c r="G41" s="32"/>
      <c r="H41" s="28"/>
      <c r="I41" s="32"/>
      <c r="J41" s="33"/>
      <c r="K41" s="27"/>
      <c r="L41" s="33"/>
      <c r="M41" s="32"/>
      <c r="N41" s="33"/>
      <c r="O41" s="32"/>
      <c r="P41" s="33"/>
      <c r="Q41" s="27"/>
      <c r="R41" s="33"/>
      <c r="S41" s="27"/>
      <c r="T41" s="33"/>
      <c r="U41" s="27"/>
      <c r="V41" s="33"/>
      <c r="W41" s="32">
        <v>102714</v>
      </c>
      <c r="X41" s="33">
        <v>42350</v>
      </c>
      <c r="Y41" s="27"/>
      <c r="Z41" s="33"/>
      <c r="AA41" s="27"/>
      <c r="AB41" s="28"/>
      <c r="AC41" s="27"/>
      <c r="AD41" s="33"/>
      <c r="AE41" s="27"/>
      <c r="AF41" s="33"/>
      <c r="AG41" s="27"/>
      <c r="AH41" s="33"/>
      <c r="AI41" s="27"/>
      <c r="AJ41" s="33"/>
      <c r="AK41" s="27"/>
      <c r="AL41" s="33"/>
      <c r="AM41" s="27"/>
      <c r="AN41" s="33"/>
      <c r="AO41" s="27"/>
      <c r="AP41" s="33"/>
      <c r="AQ41" s="30"/>
      <c r="AR41" s="31"/>
      <c r="AS41" s="42">
        <v>300</v>
      </c>
      <c r="AT41" s="43">
        <v>300</v>
      </c>
      <c r="AU41" s="42"/>
      <c r="AV41" s="43"/>
      <c r="AW41" s="44"/>
      <c r="AX41" s="43"/>
      <c r="AY41" s="44"/>
      <c r="AZ41" s="43"/>
      <c r="BA41" s="44"/>
      <c r="BB41" s="43"/>
      <c r="BC41" s="44"/>
      <c r="BD41" s="43"/>
      <c r="BE41" s="44"/>
      <c r="BF41" s="43"/>
      <c r="BG41" s="45"/>
      <c r="BH41" s="185"/>
      <c r="BI41" s="44"/>
      <c r="BJ41" s="43"/>
      <c r="BK41" s="45"/>
      <c r="BL41" s="205"/>
      <c r="BM41" s="44"/>
      <c r="BN41" s="43"/>
      <c r="BO41" s="44"/>
      <c r="BP41" s="43"/>
      <c r="BQ41" s="44"/>
      <c r="BR41" s="43"/>
      <c r="BS41" s="44"/>
      <c r="BT41" s="43"/>
      <c r="BU41" s="44"/>
      <c r="BV41" s="43"/>
      <c r="BW41" s="44"/>
      <c r="BX41" s="43"/>
      <c r="BY41" s="44"/>
      <c r="BZ41" s="43"/>
      <c r="CA41" s="44"/>
      <c r="CB41" s="43"/>
      <c r="CC41" s="44"/>
      <c r="CD41" s="43"/>
      <c r="CE41" s="44"/>
      <c r="CF41" s="44"/>
      <c r="CG41" s="44"/>
      <c r="CH41" s="43"/>
      <c r="CI41" s="44"/>
      <c r="CJ41" s="43"/>
      <c r="CK41" s="44"/>
      <c r="CL41" s="44"/>
      <c r="CM41" s="44">
        <v>81836</v>
      </c>
      <c r="CN41" s="43"/>
      <c r="CO41" s="44"/>
      <c r="CP41" s="43"/>
      <c r="CQ41" s="44"/>
      <c r="CR41" s="44"/>
      <c r="CS41" s="44"/>
      <c r="CT41" s="43"/>
      <c r="CU41" s="44"/>
      <c r="CV41" s="43"/>
      <c r="CW41" s="44"/>
      <c r="CX41" s="44"/>
      <c r="CY41" s="44"/>
      <c r="CZ41" s="44"/>
    </row>
    <row r="42" spans="1:104" ht="15.75" customHeight="1" thickBot="1" x14ac:dyDescent="0.3">
      <c r="A42" s="9"/>
      <c r="B42" s="25" t="s">
        <v>120</v>
      </c>
      <c r="C42" s="64" t="s">
        <v>121</v>
      </c>
      <c r="D42" s="14"/>
      <c r="E42" s="27"/>
      <c r="F42" s="28"/>
      <c r="G42" s="32"/>
      <c r="H42" s="28"/>
      <c r="I42" s="32">
        <v>1771025334</v>
      </c>
      <c r="J42" s="33">
        <v>3034373289</v>
      </c>
      <c r="K42" s="27"/>
      <c r="L42" s="33"/>
      <c r="M42" s="32"/>
      <c r="N42" s="33"/>
      <c r="O42" s="32"/>
      <c r="P42" s="33"/>
      <c r="Q42" s="27">
        <v>220447738</v>
      </c>
      <c r="R42" s="33">
        <v>249307874</v>
      </c>
      <c r="S42" s="27">
        <v>103699</v>
      </c>
      <c r="T42" s="33"/>
      <c r="U42" s="47">
        <v>19613</v>
      </c>
      <c r="V42" s="33"/>
      <c r="W42" s="32">
        <v>21029099</v>
      </c>
      <c r="X42" s="33">
        <v>20965650</v>
      </c>
      <c r="Y42" s="27">
        <v>2512136330</v>
      </c>
      <c r="Z42" s="33">
        <v>1884570250</v>
      </c>
      <c r="AA42" s="27">
        <v>86630</v>
      </c>
      <c r="AB42" s="28"/>
      <c r="AC42" s="27"/>
      <c r="AD42" s="33"/>
      <c r="AE42" s="27">
        <v>440656</v>
      </c>
      <c r="AF42" s="33">
        <v>418029</v>
      </c>
      <c r="AG42" s="27"/>
      <c r="AH42" s="33"/>
      <c r="AI42" s="47"/>
      <c r="AJ42" s="33"/>
      <c r="AK42" s="29">
        <v>21205</v>
      </c>
      <c r="AL42" s="82">
        <v>21205</v>
      </c>
      <c r="AM42" s="47">
        <v>116972</v>
      </c>
      <c r="AN42" s="33"/>
      <c r="AO42" s="47">
        <v>597418</v>
      </c>
      <c r="AP42" s="33">
        <v>597418</v>
      </c>
      <c r="AQ42" s="49"/>
      <c r="AR42" s="31"/>
      <c r="AS42" s="42">
        <v>36900</v>
      </c>
      <c r="AT42" s="43">
        <v>22669</v>
      </c>
      <c r="AU42" s="42"/>
      <c r="AV42" s="43"/>
      <c r="AW42" s="44"/>
      <c r="AX42" s="43"/>
      <c r="AY42" s="44">
        <v>14005139</v>
      </c>
      <c r="AZ42" s="43">
        <v>14081204</v>
      </c>
      <c r="BA42" s="44"/>
      <c r="BB42" s="43"/>
      <c r="BC42" s="44"/>
      <c r="BD42" s="43"/>
      <c r="BE42" s="44">
        <v>6450</v>
      </c>
      <c r="BF42" s="43">
        <v>6450</v>
      </c>
      <c r="BG42" s="190"/>
      <c r="BH42" s="187">
        <v>7972193</v>
      </c>
      <c r="BI42" s="44"/>
      <c r="BJ42" s="43"/>
      <c r="BK42" s="45"/>
      <c r="BL42" s="205"/>
      <c r="BM42" s="44">
        <v>12500</v>
      </c>
      <c r="BN42" s="43">
        <v>12500</v>
      </c>
      <c r="BO42" s="44"/>
      <c r="BP42" s="43">
        <v>43306430</v>
      </c>
      <c r="BQ42" s="44">
        <v>41099460</v>
      </c>
      <c r="BR42" s="43">
        <v>41099460</v>
      </c>
      <c r="BS42" s="44"/>
      <c r="BT42" s="43"/>
      <c r="BU42" s="44"/>
      <c r="BV42" s="43"/>
      <c r="BW42" s="44"/>
      <c r="BX42" s="43"/>
      <c r="BY42" s="44"/>
      <c r="BZ42" s="43"/>
      <c r="CA42" s="44"/>
      <c r="CB42" s="43"/>
      <c r="CC42" s="44"/>
      <c r="CD42" s="43">
        <v>158210</v>
      </c>
      <c r="CE42" s="44">
        <v>339301</v>
      </c>
      <c r="CF42" s="43">
        <v>246507</v>
      </c>
      <c r="CG42" s="44"/>
      <c r="CH42" s="43"/>
      <c r="CI42" s="44"/>
      <c r="CJ42" s="43"/>
      <c r="CK42" s="44">
        <v>735</v>
      </c>
      <c r="CL42" s="43">
        <v>735</v>
      </c>
      <c r="CM42" s="44">
        <v>33310</v>
      </c>
      <c r="CN42" s="43">
        <v>11058</v>
      </c>
      <c r="CO42" s="44">
        <v>11485</v>
      </c>
      <c r="CP42" s="43">
        <v>11485</v>
      </c>
      <c r="CQ42" s="44">
        <v>3685</v>
      </c>
      <c r="CR42" s="43"/>
      <c r="CS42" s="44"/>
      <c r="CT42" s="43"/>
      <c r="CU42" s="44">
        <v>13868523</v>
      </c>
      <c r="CV42" s="43">
        <v>17050785</v>
      </c>
      <c r="CW42" s="44">
        <v>160480</v>
      </c>
      <c r="CX42" s="43">
        <v>160480</v>
      </c>
      <c r="CY42" s="44"/>
      <c r="CZ42" s="43"/>
    </row>
    <row r="43" spans="1:104" ht="15.75" customHeight="1" thickBot="1" x14ac:dyDescent="0.3">
      <c r="A43" s="51"/>
      <c r="B43" s="84" t="s">
        <v>122</v>
      </c>
      <c r="C43" s="85" t="s">
        <v>123</v>
      </c>
      <c r="D43" s="54"/>
      <c r="E43" s="55"/>
      <c r="F43" s="56"/>
      <c r="G43" s="86">
        <f t="shared" ref="G43:CG43" si="6">SUM(G37:G42)</f>
        <v>87450607</v>
      </c>
      <c r="H43" s="86">
        <f t="shared" si="6"/>
        <v>42718399</v>
      </c>
      <c r="I43" s="86">
        <f t="shared" si="6"/>
        <v>1862218391</v>
      </c>
      <c r="J43" s="86">
        <f t="shared" si="6"/>
        <v>3360470893</v>
      </c>
      <c r="K43" s="86">
        <f t="shared" si="6"/>
        <v>0</v>
      </c>
      <c r="L43" s="86">
        <f t="shared" si="6"/>
        <v>0</v>
      </c>
      <c r="M43" s="86">
        <f t="shared" si="6"/>
        <v>0</v>
      </c>
      <c r="N43" s="86">
        <f t="shared" si="6"/>
        <v>0</v>
      </c>
      <c r="O43" s="86">
        <f t="shared" si="6"/>
        <v>0</v>
      </c>
      <c r="P43" s="86">
        <f t="shared" si="6"/>
        <v>0</v>
      </c>
      <c r="Q43" s="86">
        <f t="shared" si="6"/>
        <v>220447738</v>
      </c>
      <c r="R43" s="86">
        <f t="shared" si="6"/>
        <v>249307874</v>
      </c>
      <c r="S43" s="86">
        <f t="shared" si="6"/>
        <v>103699</v>
      </c>
      <c r="T43" s="86">
        <f t="shared" si="6"/>
        <v>0</v>
      </c>
      <c r="U43" s="86">
        <f t="shared" si="6"/>
        <v>19613</v>
      </c>
      <c r="V43" s="86">
        <f t="shared" si="6"/>
        <v>0</v>
      </c>
      <c r="W43" s="86">
        <f t="shared" si="6"/>
        <v>149870174</v>
      </c>
      <c r="X43" s="57">
        <f t="shared" si="6"/>
        <v>104440412</v>
      </c>
      <c r="Y43" s="57">
        <f t="shared" si="6"/>
        <v>2512136330</v>
      </c>
      <c r="Z43" s="57">
        <f t="shared" si="6"/>
        <v>1884570250</v>
      </c>
      <c r="AA43" s="57">
        <f t="shared" si="6"/>
        <v>86630</v>
      </c>
      <c r="AB43" s="57">
        <f t="shared" si="6"/>
        <v>0</v>
      </c>
      <c r="AC43" s="57">
        <f t="shared" si="6"/>
        <v>0</v>
      </c>
      <c r="AD43" s="57">
        <f t="shared" si="6"/>
        <v>0</v>
      </c>
      <c r="AE43" s="57">
        <f t="shared" si="6"/>
        <v>266617809</v>
      </c>
      <c r="AF43" s="57">
        <f t="shared" si="6"/>
        <v>255595087</v>
      </c>
      <c r="AG43" s="57">
        <f t="shared" si="6"/>
        <v>0</v>
      </c>
      <c r="AH43" s="57">
        <f t="shared" si="6"/>
        <v>0</v>
      </c>
      <c r="AI43" s="57">
        <f t="shared" si="6"/>
        <v>0</v>
      </c>
      <c r="AJ43" s="57">
        <f t="shared" si="6"/>
        <v>0</v>
      </c>
      <c r="AK43" s="57">
        <f t="shared" si="6"/>
        <v>21205</v>
      </c>
      <c r="AL43" s="57">
        <f t="shared" si="6"/>
        <v>21205</v>
      </c>
      <c r="AM43" s="57">
        <f t="shared" si="6"/>
        <v>116972</v>
      </c>
      <c r="AN43" s="57">
        <f t="shared" si="6"/>
        <v>0</v>
      </c>
      <c r="AO43" s="57">
        <f t="shared" si="6"/>
        <v>597418</v>
      </c>
      <c r="AP43" s="57">
        <f t="shared" si="6"/>
        <v>597418</v>
      </c>
      <c r="AQ43" s="105">
        <f t="shared" si="6"/>
        <v>0</v>
      </c>
      <c r="AR43" s="59">
        <f t="shared" si="6"/>
        <v>0</v>
      </c>
      <c r="AS43" s="60">
        <f t="shared" si="6"/>
        <v>37200</v>
      </c>
      <c r="AT43" s="61">
        <f t="shared" si="6"/>
        <v>22969</v>
      </c>
      <c r="AU43" s="60">
        <f t="shared" si="6"/>
        <v>0</v>
      </c>
      <c r="AV43" s="61">
        <f t="shared" si="6"/>
        <v>0</v>
      </c>
      <c r="AW43" s="62">
        <f t="shared" si="6"/>
        <v>15992000</v>
      </c>
      <c r="AX43" s="61">
        <f t="shared" si="6"/>
        <v>13328000</v>
      </c>
      <c r="AY43" s="62">
        <f t="shared" si="6"/>
        <v>14005139</v>
      </c>
      <c r="AZ43" s="61">
        <f t="shared" si="6"/>
        <v>14081204</v>
      </c>
      <c r="BA43" s="62">
        <f t="shared" si="6"/>
        <v>0</v>
      </c>
      <c r="BB43" s="61">
        <f t="shared" si="6"/>
        <v>0</v>
      </c>
      <c r="BC43" s="62">
        <f t="shared" si="6"/>
        <v>0</v>
      </c>
      <c r="BD43" s="61">
        <f t="shared" si="6"/>
        <v>0</v>
      </c>
      <c r="BE43" s="62">
        <f t="shared" si="6"/>
        <v>6450</v>
      </c>
      <c r="BF43" s="61">
        <f t="shared" si="6"/>
        <v>6450</v>
      </c>
      <c r="BG43" s="63">
        <f>SUM(BG37:BG42)</f>
        <v>0</v>
      </c>
      <c r="BH43" s="61">
        <f>SUM(BH37:BH42)</f>
        <v>7972193</v>
      </c>
      <c r="BI43" s="62">
        <f t="shared" si="6"/>
        <v>0</v>
      </c>
      <c r="BJ43" s="61">
        <f t="shared" si="6"/>
        <v>0</v>
      </c>
      <c r="BK43" s="63">
        <f>SUM(BK37:BK42)</f>
        <v>0</v>
      </c>
      <c r="BL43" s="214">
        <f t="shared" si="6"/>
        <v>0</v>
      </c>
      <c r="BM43" s="62">
        <f t="shared" si="6"/>
        <v>12500</v>
      </c>
      <c r="BN43" s="61">
        <f t="shared" si="6"/>
        <v>12500</v>
      </c>
      <c r="BO43" s="62">
        <f t="shared" si="6"/>
        <v>240649430</v>
      </c>
      <c r="BP43" s="61">
        <f t="shared" si="6"/>
        <v>326739440</v>
      </c>
      <c r="BQ43" s="62">
        <f t="shared" si="6"/>
        <v>41099460</v>
      </c>
      <c r="BR43" s="61">
        <f t="shared" si="6"/>
        <v>41099460</v>
      </c>
      <c r="BS43" s="62">
        <f t="shared" si="6"/>
        <v>0</v>
      </c>
      <c r="BT43" s="61">
        <f t="shared" si="6"/>
        <v>0</v>
      </c>
      <c r="BU43" s="62">
        <f t="shared" si="6"/>
        <v>0</v>
      </c>
      <c r="BV43" s="61">
        <f t="shared" si="6"/>
        <v>0</v>
      </c>
      <c r="BW43" s="62">
        <f t="shared" si="6"/>
        <v>0</v>
      </c>
      <c r="BX43" s="61">
        <f t="shared" si="6"/>
        <v>0</v>
      </c>
      <c r="BY43" s="62">
        <f t="shared" si="6"/>
        <v>0</v>
      </c>
      <c r="BZ43" s="61">
        <f t="shared" si="6"/>
        <v>0</v>
      </c>
      <c r="CA43" s="62">
        <f t="shared" si="6"/>
        <v>0</v>
      </c>
      <c r="CB43" s="61">
        <f t="shared" si="6"/>
        <v>0</v>
      </c>
      <c r="CC43" s="62">
        <f t="shared" si="6"/>
        <v>0</v>
      </c>
      <c r="CD43" s="61">
        <f t="shared" si="6"/>
        <v>158210</v>
      </c>
      <c r="CE43" s="62">
        <f t="shared" si="6"/>
        <v>339301</v>
      </c>
      <c r="CF43" s="61">
        <f t="shared" si="6"/>
        <v>246507</v>
      </c>
      <c r="CG43" s="61">
        <f t="shared" si="6"/>
        <v>0</v>
      </c>
      <c r="CH43" s="61">
        <f>SUM(CH37:CH42)</f>
        <v>0</v>
      </c>
      <c r="CI43" s="61">
        <f>SUM(CI37:CI42)</f>
        <v>0</v>
      </c>
      <c r="CJ43" s="61">
        <f>SUM(CJ37:CJ42)</f>
        <v>0</v>
      </c>
      <c r="CK43" s="62">
        <f t="shared" ref="CK43:CZ43" si="7">SUM(CK37:CK42)</f>
        <v>735</v>
      </c>
      <c r="CL43" s="61">
        <f t="shared" si="7"/>
        <v>735</v>
      </c>
      <c r="CM43" s="61">
        <f t="shared" si="7"/>
        <v>130146</v>
      </c>
      <c r="CN43" s="61">
        <f t="shared" si="7"/>
        <v>11058</v>
      </c>
      <c r="CO43" s="61">
        <f t="shared" si="7"/>
        <v>11485</v>
      </c>
      <c r="CP43" s="61">
        <f t="shared" si="7"/>
        <v>11485</v>
      </c>
      <c r="CQ43" s="61">
        <f t="shared" si="7"/>
        <v>3685</v>
      </c>
      <c r="CR43" s="61">
        <f t="shared" si="7"/>
        <v>0</v>
      </c>
      <c r="CS43" s="61">
        <f t="shared" si="7"/>
        <v>0</v>
      </c>
      <c r="CT43" s="61">
        <f t="shared" si="7"/>
        <v>0</v>
      </c>
      <c r="CU43" s="61">
        <f t="shared" si="7"/>
        <v>13868523</v>
      </c>
      <c r="CV43" s="61">
        <f t="shared" si="7"/>
        <v>17050785</v>
      </c>
      <c r="CW43" s="61">
        <f t="shared" si="7"/>
        <v>160480</v>
      </c>
      <c r="CX43" s="61">
        <f t="shared" si="7"/>
        <v>160480</v>
      </c>
      <c r="CY43" s="61">
        <f t="shared" si="7"/>
        <v>0</v>
      </c>
      <c r="CZ43" s="61">
        <f t="shared" si="7"/>
        <v>0</v>
      </c>
    </row>
    <row r="44" spans="1:104" ht="15.75" customHeight="1" x14ac:dyDescent="0.25">
      <c r="A44" s="9"/>
      <c r="B44" s="1"/>
      <c r="C44" s="1"/>
      <c r="D44" s="14"/>
      <c r="E44" s="106"/>
      <c r="F44" s="33"/>
      <c r="G44" s="29"/>
      <c r="H44" s="81"/>
      <c r="I44" s="106"/>
      <c r="J44" s="33"/>
      <c r="K44" s="29"/>
      <c r="L44" s="33"/>
      <c r="M44" s="29"/>
      <c r="N44" s="33"/>
      <c r="O44" s="27"/>
      <c r="P44" s="33"/>
      <c r="Q44" s="27"/>
      <c r="R44" s="33"/>
      <c r="S44" s="34"/>
      <c r="T44" s="33"/>
      <c r="U44" s="27"/>
      <c r="V44" s="33"/>
      <c r="W44" s="32"/>
      <c r="X44" s="33"/>
      <c r="Y44" s="27"/>
      <c r="Z44" s="33"/>
      <c r="AA44" s="27"/>
      <c r="AB44" s="28"/>
      <c r="AC44" s="27"/>
      <c r="AD44" s="33"/>
      <c r="AE44" s="27"/>
      <c r="AF44" s="33"/>
      <c r="AG44" s="27"/>
      <c r="AH44" s="33"/>
      <c r="AI44" s="34"/>
      <c r="AJ44" s="33"/>
      <c r="AK44" s="34"/>
      <c r="AL44" s="33"/>
      <c r="AM44" s="34"/>
      <c r="AN44" s="33"/>
      <c r="AO44" s="34"/>
      <c r="AP44" s="33"/>
      <c r="AQ44" s="35"/>
      <c r="AR44" s="31"/>
      <c r="AS44" s="42"/>
      <c r="AT44" s="43"/>
      <c r="AU44" s="42"/>
      <c r="AV44" s="42"/>
      <c r="AW44" s="44"/>
      <c r="AX44" s="43"/>
      <c r="AY44" s="44"/>
      <c r="AZ44" s="43"/>
      <c r="BA44" s="44"/>
      <c r="BB44" s="43"/>
      <c r="BC44" s="44"/>
      <c r="BD44" s="43"/>
      <c r="BE44" s="44"/>
      <c r="BF44" s="43"/>
      <c r="BG44" s="40"/>
      <c r="BH44" s="184"/>
      <c r="BI44" s="44"/>
      <c r="BJ44" s="43"/>
      <c r="BK44" s="45"/>
      <c r="BL44" s="205"/>
      <c r="BM44" s="44"/>
      <c r="BN44" s="43"/>
      <c r="BO44" s="44"/>
      <c r="BP44" s="43"/>
      <c r="BQ44" s="44"/>
      <c r="BR44" s="43"/>
      <c r="BS44" s="44"/>
      <c r="BT44" s="43"/>
      <c r="BU44" s="44"/>
      <c r="BV44" s="43"/>
      <c r="BW44" s="44"/>
      <c r="BX44" s="43"/>
      <c r="BY44" s="44"/>
      <c r="BZ44" s="43"/>
      <c r="CA44" s="44"/>
      <c r="CB44" s="43"/>
      <c r="CC44" s="44"/>
      <c r="CD44" s="43"/>
      <c r="CE44" s="44"/>
      <c r="CF44" s="43"/>
      <c r="CG44" s="44"/>
      <c r="CH44" s="43"/>
      <c r="CI44" s="44"/>
      <c r="CJ44" s="43"/>
      <c r="CK44" s="44"/>
      <c r="CL44" s="43"/>
      <c r="CM44" s="44"/>
      <c r="CN44" s="43"/>
      <c r="CO44" s="44"/>
      <c r="CP44" s="43"/>
      <c r="CQ44" s="44"/>
      <c r="CR44" s="43"/>
      <c r="CS44" s="44"/>
      <c r="CT44" s="43"/>
      <c r="CU44" s="44"/>
      <c r="CV44" s="43"/>
      <c r="CW44" s="44"/>
      <c r="CX44" s="43"/>
      <c r="CY44" s="44"/>
      <c r="CZ44" s="43"/>
    </row>
    <row r="45" spans="1:104" ht="15.75" customHeight="1" x14ac:dyDescent="0.25">
      <c r="A45" s="9"/>
      <c r="B45" s="25" t="s">
        <v>124</v>
      </c>
      <c r="C45" s="1" t="s">
        <v>125</v>
      </c>
      <c r="D45" s="14"/>
      <c r="E45" s="27"/>
      <c r="F45" s="28"/>
      <c r="G45" s="32"/>
      <c r="H45" s="28"/>
      <c r="I45" s="32"/>
      <c r="J45" s="33"/>
      <c r="K45" s="27"/>
      <c r="L45" s="33"/>
      <c r="M45" s="32">
        <v>153871673</v>
      </c>
      <c r="N45" s="33">
        <v>349758513</v>
      </c>
      <c r="O45" s="27"/>
      <c r="P45" s="33"/>
      <c r="Q45" s="27"/>
      <c r="R45" s="33"/>
      <c r="S45" s="27"/>
      <c r="T45" s="33"/>
      <c r="U45" s="27"/>
      <c r="V45" s="33"/>
      <c r="W45" s="32"/>
      <c r="X45" s="33"/>
      <c r="Y45" s="27"/>
      <c r="Z45" s="33"/>
      <c r="AA45" s="27"/>
      <c r="AB45" s="28"/>
      <c r="AC45" s="27"/>
      <c r="AD45" s="33"/>
      <c r="AE45" s="27"/>
      <c r="AF45" s="33"/>
      <c r="AG45" s="27"/>
      <c r="AH45" s="33"/>
      <c r="AI45" s="27"/>
      <c r="AJ45" s="33"/>
      <c r="AK45" s="27"/>
      <c r="AL45" s="33"/>
      <c r="AM45" s="27"/>
      <c r="AN45" s="33"/>
      <c r="AO45" s="27"/>
      <c r="AP45" s="33"/>
      <c r="AQ45" s="30"/>
      <c r="AR45" s="31"/>
      <c r="AS45" s="42"/>
      <c r="AT45" s="43"/>
      <c r="AU45" s="42"/>
      <c r="AV45" s="42"/>
      <c r="AW45" s="44"/>
      <c r="AX45" s="43"/>
      <c r="AY45" s="44"/>
      <c r="AZ45" s="43"/>
      <c r="BA45" s="44"/>
      <c r="BB45" s="43"/>
      <c r="BC45" s="44"/>
      <c r="BD45" s="43"/>
      <c r="BE45" s="44"/>
      <c r="BF45" s="43"/>
      <c r="BG45" s="45"/>
      <c r="BH45" s="185"/>
      <c r="BI45" s="44"/>
      <c r="BJ45" s="43"/>
      <c r="BK45" s="45"/>
      <c r="BL45" s="205"/>
      <c r="BM45" s="44"/>
      <c r="BN45" s="43"/>
      <c r="BO45" s="44">
        <v>36538280</v>
      </c>
      <c r="BP45" s="43">
        <v>85387590</v>
      </c>
      <c r="BQ45" s="44"/>
      <c r="BR45" s="43"/>
      <c r="BS45" s="44"/>
      <c r="BT45" s="43"/>
      <c r="BU45" s="44"/>
      <c r="BV45" s="43"/>
      <c r="BW45" s="44"/>
      <c r="BX45" s="43"/>
      <c r="BY45" s="44"/>
      <c r="BZ45" s="43"/>
      <c r="CA45" s="44"/>
      <c r="CB45" s="43"/>
      <c r="CC45" s="44"/>
      <c r="CD45" s="43"/>
      <c r="CE45" s="44"/>
      <c r="CF45" s="43"/>
      <c r="CG45" s="44"/>
      <c r="CH45" s="43"/>
      <c r="CI45" s="44"/>
      <c r="CJ45" s="43"/>
      <c r="CK45" s="44"/>
      <c r="CL45" s="43"/>
      <c r="CM45" s="44"/>
      <c r="CN45" s="43"/>
      <c r="CO45" s="44"/>
      <c r="CP45" s="43"/>
      <c r="CQ45" s="44"/>
      <c r="CR45" s="43"/>
      <c r="CS45" s="44"/>
      <c r="CT45" s="43"/>
      <c r="CU45" s="44"/>
      <c r="CV45" s="43"/>
      <c r="CW45" s="44"/>
      <c r="CX45" s="43"/>
      <c r="CY45" s="44"/>
      <c r="CZ45" s="43"/>
    </row>
    <row r="46" spans="1:104" ht="15.75" customHeight="1" x14ac:dyDescent="0.25">
      <c r="A46" s="9"/>
      <c r="B46" s="25" t="s">
        <v>126</v>
      </c>
      <c r="C46" s="1" t="s">
        <v>127</v>
      </c>
      <c r="D46" s="14"/>
      <c r="E46" s="27"/>
      <c r="F46" s="28"/>
      <c r="G46" s="32">
        <v>20284136</v>
      </c>
      <c r="H46" s="28">
        <v>26559598</v>
      </c>
      <c r="I46" s="32">
        <v>80889</v>
      </c>
      <c r="J46" s="33"/>
      <c r="K46" s="27">
        <v>4500000</v>
      </c>
      <c r="L46" s="33"/>
      <c r="M46" s="32"/>
      <c r="N46" s="33"/>
      <c r="O46" s="27">
        <v>650000</v>
      </c>
      <c r="P46" s="33">
        <v>302623</v>
      </c>
      <c r="Q46" s="27"/>
      <c r="R46" s="33"/>
      <c r="S46" s="27"/>
      <c r="T46" s="33"/>
      <c r="U46" s="27"/>
      <c r="V46" s="33"/>
      <c r="W46" s="27">
        <v>107997778</v>
      </c>
      <c r="X46" s="33">
        <v>105165077</v>
      </c>
      <c r="Y46" s="27"/>
      <c r="Z46" s="33"/>
      <c r="AA46" s="27"/>
      <c r="AB46" s="28"/>
      <c r="AC46" s="27"/>
      <c r="AD46" s="33"/>
      <c r="AE46" s="27"/>
      <c r="AF46" s="33"/>
      <c r="AG46" s="27"/>
      <c r="AH46" s="33"/>
      <c r="AI46" s="27"/>
      <c r="AJ46" s="33"/>
      <c r="AK46" s="27"/>
      <c r="AL46" s="33"/>
      <c r="AM46" s="27"/>
      <c r="AN46" s="33"/>
      <c r="AO46" s="27"/>
      <c r="AP46" s="33"/>
      <c r="AQ46" s="30"/>
      <c r="AR46" s="31"/>
      <c r="AS46" s="42"/>
      <c r="AT46" s="43"/>
      <c r="AU46" s="42"/>
      <c r="AV46" s="42"/>
      <c r="AW46" s="44">
        <v>16008000</v>
      </c>
      <c r="AX46" s="43">
        <v>20004000</v>
      </c>
      <c r="AY46" s="44"/>
      <c r="AZ46" s="43"/>
      <c r="BA46" s="44"/>
      <c r="BB46" s="43"/>
      <c r="BC46" s="44"/>
      <c r="BD46" s="43"/>
      <c r="BE46" s="44"/>
      <c r="BF46" s="43"/>
      <c r="BG46" s="45"/>
      <c r="BH46" s="185"/>
      <c r="BI46" s="44">
        <v>2610214</v>
      </c>
      <c r="BJ46" s="43">
        <v>2970435</v>
      </c>
      <c r="BK46" s="45"/>
      <c r="BL46" s="205"/>
      <c r="BM46" s="44"/>
      <c r="BN46" s="43"/>
      <c r="BO46" s="44"/>
      <c r="BP46" s="43"/>
      <c r="BQ46" s="44"/>
      <c r="BR46" s="43"/>
      <c r="BS46" s="44"/>
      <c r="BT46" s="43"/>
      <c r="BU46" s="44"/>
      <c r="BV46" s="43"/>
      <c r="BW46" s="44"/>
      <c r="BX46" s="43"/>
      <c r="BY46" s="44"/>
      <c r="BZ46" s="43"/>
      <c r="CA46" s="44"/>
      <c r="CB46" s="43"/>
      <c r="CC46" s="44"/>
      <c r="CD46" s="43"/>
      <c r="CE46" s="44"/>
      <c r="CF46" s="43"/>
      <c r="CG46" s="44"/>
      <c r="CH46" s="43"/>
      <c r="CI46" s="44"/>
      <c r="CJ46" s="43"/>
      <c r="CK46" s="44"/>
      <c r="CL46" s="43"/>
      <c r="CM46" s="44"/>
      <c r="CN46" s="43"/>
      <c r="CO46" s="44"/>
      <c r="CP46" s="43"/>
      <c r="CQ46" s="44"/>
      <c r="CR46" s="43"/>
      <c r="CS46" s="44"/>
      <c r="CT46" s="43"/>
      <c r="CU46" s="44"/>
      <c r="CV46" s="43"/>
      <c r="CW46" s="44"/>
      <c r="CX46" s="43"/>
      <c r="CY46" s="44"/>
      <c r="CZ46" s="43"/>
    </row>
    <row r="47" spans="1:104" ht="15.75" customHeight="1" x14ac:dyDescent="0.25">
      <c r="A47" s="9"/>
      <c r="B47" s="25" t="s">
        <v>128</v>
      </c>
      <c r="C47" s="1" t="s">
        <v>129</v>
      </c>
      <c r="D47" s="14"/>
      <c r="E47" s="27"/>
      <c r="F47" s="28"/>
      <c r="G47" s="32">
        <v>18091887</v>
      </c>
      <c r="H47" s="28">
        <v>24691042</v>
      </c>
      <c r="I47" s="32"/>
      <c r="J47" s="33"/>
      <c r="K47" s="27"/>
      <c r="L47" s="33"/>
      <c r="M47" s="32"/>
      <c r="N47" s="33"/>
      <c r="O47" s="27"/>
      <c r="P47" s="33"/>
      <c r="Q47" s="27"/>
      <c r="R47" s="33"/>
      <c r="S47" s="27"/>
      <c r="T47" s="33"/>
      <c r="U47" s="27"/>
      <c r="V47" s="33"/>
      <c r="W47" s="27"/>
      <c r="X47" s="33"/>
      <c r="Y47" s="27"/>
      <c r="Z47" s="33"/>
      <c r="AA47" s="27">
        <v>20006301</v>
      </c>
      <c r="AB47" s="28"/>
      <c r="AC47" s="27"/>
      <c r="AD47" s="33"/>
      <c r="AE47" s="27">
        <v>35152679</v>
      </c>
      <c r="AF47" s="33">
        <v>37642532</v>
      </c>
      <c r="AG47" s="27"/>
      <c r="AH47" s="33"/>
      <c r="AI47" s="27"/>
      <c r="AJ47" s="33"/>
      <c r="AK47" s="27"/>
      <c r="AL47" s="33"/>
      <c r="AM47" s="27"/>
      <c r="AN47" s="33"/>
      <c r="AO47" s="27"/>
      <c r="AP47" s="33"/>
      <c r="AQ47" s="30"/>
      <c r="AR47" s="31"/>
      <c r="AS47" s="42"/>
      <c r="AT47" s="43"/>
      <c r="AU47" s="42"/>
      <c r="AV47" s="42"/>
      <c r="AW47" s="44"/>
      <c r="AX47" s="43"/>
      <c r="AY47" s="44"/>
      <c r="AZ47" s="43"/>
      <c r="BA47" s="44"/>
      <c r="BB47" s="43"/>
      <c r="BC47" s="44"/>
      <c r="BD47" s="43"/>
      <c r="BE47" s="44"/>
      <c r="BF47" s="43"/>
      <c r="BG47" s="45"/>
      <c r="BH47" s="185"/>
      <c r="BI47" s="44"/>
      <c r="BJ47" s="43"/>
      <c r="BK47" s="45">
        <v>1518770</v>
      </c>
      <c r="BL47" s="205">
        <v>2435110</v>
      </c>
      <c r="BM47" s="44"/>
      <c r="BN47" s="43"/>
      <c r="BO47" s="44"/>
      <c r="BP47" s="43"/>
      <c r="BQ47" s="44"/>
      <c r="BR47" s="43"/>
      <c r="BS47" s="44">
        <v>170</v>
      </c>
      <c r="BT47" s="43">
        <v>30</v>
      </c>
      <c r="BU47" s="44">
        <v>120</v>
      </c>
      <c r="BV47" s="43"/>
      <c r="BW47" s="44"/>
      <c r="BX47" s="43"/>
      <c r="BY47" s="44"/>
      <c r="BZ47" s="43"/>
      <c r="CA47" s="44"/>
      <c r="CB47" s="43"/>
      <c r="CC47" s="44"/>
      <c r="CD47" s="43"/>
      <c r="CE47" s="44"/>
      <c r="CF47" s="43"/>
      <c r="CG47" s="44"/>
      <c r="CH47" s="43"/>
      <c r="CI47" s="44"/>
      <c r="CJ47" s="43"/>
      <c r="CK47" s="44"/>
      <c r="CL47" s="43"/>
      <c r="CM47" s="44"/>
      <c r="CN47" s="43"/>
      <c r="CO47" s="44"/>
      <c r="CP47" s="43"/>
      <c r="CQ47" s="44"/>
      <c r="CR47" s="43"/>
      <c r="CS47" s="44"/>
      <c r="CT47" s="43"/>
      <c r="CU47" s="44"/>
      <c r="CV47" s="43"/>
      <c r="CW47" s="44"/>
      <c r="CX47" s="43"/>
      <c r="CY47" s="44"/>
      <c r="CZ47" s="43"/>
    </row>
    <row r="48" spans="1:104" ht="15.75" customHeight="1" x14ac:dyDescent="0.25">
      <c r="A48" s="9"/>
      <c r="B48" s="25" t="s">
        <v>130</v>
      </c>
      <c r="C48" s="1" t="s">
        <v>131</v>
      </c>
      <c r="D48" s="14"/>
      <c r="E48" s="27">
        <v>1758751</v>
      </c>
      <c r="F48" s="28">
        <v>9831508</v>
      </c>
      <c r="G48" s="32">
        <v>61557859</v>
      </c>
      <c r="H48" s="28">
        <v>28915115</v>
      </c>
      <c r="I48" s="32">
        <v>1339401478</v>
      </c>
      <c r="J48" s="33">
        <v>122856159</v>
      </c>
      <c r="K48" s="27">
        <v>1278347</v>
      </c>
      <c r="L48" s="33">
        <v>879891</v>
      </c>
      <c r="M48" s="32"/>
      <c r="N48" s="33"/>
      <c r="O48" s="27">
        <v>1166899</v>
      </c>
      <c r="P48" s="33">
        <v>1766509</v>
      </c>
      <c r="Q48" s="27">
        <v>715018</v>
      </c>
      <c r="R48" s="33">
        <v>3805709</v>
      </c>
      <c r="S48" s="27">
        <v>36604</v>
      </c>
      <c r="T48" s="33">
        <v>22736</v>
      </c>
      <c r="U48" s="27">
        <v>37455</v>
      </c>
      <c r="V48" s="33">
        <v>16</v>
      </c>
      <c r="W48" s="27">
        <v>234272648</v>
      </c>
      <c r="X48" s="33">
        <v>224083749</v>
      </c>
      <c r="Y48" s="27">
        <v>248896713</v>
      </c>
      <c r="Z48" s="33">
        <v>108168256</v>
      </c>
      <c r="AA48" s="27">
        <v>26647255</v>
      </c>
      <c r="AB48" s="28">
        <v>4514414</v>
      </c>
      <c r="AC48" s="27">
        <v>11726</v>
      </c>
      <c r="AD48" s="33">
        <v>18531</v>
      </c>
      <c r="AE48" s="27">
        <v>28202253</v>
      </c>
      <c r="AF48" s="33">
        <v>9509984</v>
      </c>
      <c r="AG48" s="27">
        <v>7482443</v>
      </c>
      <c r="AH48" s="33">
        <v>11141138</v>
      </c>
      <c r="AI48" s="27">
        <v>593635</v>
      </c>
      <c r="AJ48" s="33">
        <v>573740</v>
      </c>
      <c r="AK48" s="27">
        <v>1496689</v>
      </c>
      <c r="AL48" s="33">
        <v>757582</v>
      </c>
      <c r="AM48" s="27">
        <v>241064</v>
      </c>
      <c r="AN48" s="33">
        <v>198748</v>
      </c>
      <c r="AO48" s="27">
        <v>834145</v>
      </c>
      <c r="AP48" s="33">
        <v>2851444</v>
      </c>
      <c r="AQ48" s="30">
        <v>120778</v>
      </c>
      <c r="AR48" s="31">
        <v>148026</v>
      </c>
      <c r="AS48" s="42">
        <v>769659</v>
      </c>
      <c r="AT48" s="43">
        <v>6469843</v>
      </c>
      <c r="AU48" s="42">
        <v>548470</v>
      </c>
      <c r="AV48" s="42">
        <v>169403</v>
      </c>
      <c r="AW48" s="44">
        <v>179432791</v>
      </c>
      <c r="AX48" s="43">
        <v>193491414</v>
      </c>
      <c r="AY48" s="44">
        <v>90493999</v>
      </c>
      <c r="AZ48" s="43">
        <v>45437124</v>
      </c>
      <c r="BA48" s="44">
        <v>611765</v>
      </c>
      <c r="BB48" s="43">
        <v>404070</v>
      </c>
      <c r="BC48" s="44">
        <v>439940952</v>
      </c>
      <c r="BD48" s="43">
        <v>406931634</v>
      </c>
      <c r="BE48" s="44">
        <v>255587</v>
      </c>
      <c r="BF48" s="43">
        <v>453015</v>
      </c>
      <c r="BG48" s="45">
        <v>1516611</v>
      </c>
      <c r="BH48" s="185">
        <v>2436028</v>
      </c>
      <c r="BI48" s="44">
        <v>139789</v>
      </c>
      <c r="BJ48" s="43">
        <v>120100</v>
      </c>
      <c r="BK48" s="45"/>
      <c r="BL48" s="205"/>
      <c r="BM48" s="44"/>
      <c r="BN48" s="43"/>
      <c r="BO48" s="44">
        <v>174446190</v>
      </c>
      <c r="BP48" s="43">
        <v>297291610</v>
      </c>
      <c r="BQ48" s="44">
        <v>20740</v>
      </c>
      <c r="BR48" s="43">
        <v>21190</v>
      </c>
      <c r="BS48" s="44"/>
      <c r="BT48" s="43"/>
      <c r="BU48" s="44">
        <v>2998060</v>
      </c>
      <c r="BV48" s="43">
        <v>1973980</v>
      </c>
      <c r="BW48" s="44">
        <v>249880</v>
      </c>
      <c r="BX48" s="43">
        <v>1077890</v>
      </c>
      <c r="BY48" s="44">
        <v>54920</v>
      </c>
      <c r="BZ48" s="43">
        <v>40430</v>
      </c>
      <c r="CA48" s="44">
        <v>101150</v>
      </c>
      <c r="CB48" s="43">
        <v>34120</v>
      </c>
      <c r="CC48" s="44">
        <v>1041700</v>
      </c>
      <c r="CD48" s="43">
        <v>592490</v>
      </c>
      <c r="CE48" s="44">
        <v>80709</v>
      </c>
      <c r="CF48" s="43">
        <v>103281</v>
      </c>
      <c r="CG48" s="44">
        <v>40</v>
      </c>
      <c r="CH48" s="43">
        <v>2088</v>
      </c>
      <c r="CI48" s="44">
        <v>102350</v>
      </c>
      <c r="CJ48" s="43">
        <v>4380</v>
      </c>
      <c r="CK48" s="44">
        <v>25439</v>
      </c>
      <c r="CL48" s="43">
        <v>28847</v>
      </c>
      <c r="CM48" s="44">
        <v>428702</v>
      </c>
      <c r="CN48" s="43">
        <v>98093</v>
      </c>
      <c r="CO48" s="44">
        <v>15985</v>
      </c>
      <c r="CP48" s="43">
        <v>5480</v>
      </c>
      <c r="CQ48" s="44">
        <v>133038</v>
      </c>
      <c r="CR48" s="43">
        <v>226339</v>
      </c>
      <c r="CS48" s="44">
        <v>301100</v>
      </c>
      <c r="CT48" s="43">
        <v>271100</v>
      </c>
      <c r="CU48" s="44">
        <v>298429</v>
      </c>
      <c r="CV48" s="43">
        <v>291611</v>
      </c>
      <c r="CW48" s="44"/>
      <c r="CX48" s="43"/>
      <c r="CY48" s="44">
        <v>6825374</v>
      </c>
      <c r="CZ48" s="43">
        <v>14486744</v>
      </c>
    </row>
    <row r="49" spans="1:104" ht="15.75" customHeight="1" x14ac:dyDescent="0.25">
      <c r="A49" s="9"/>
      <c r="B49" s="25" t="s">
        <v>132</v>
      </c>
      <c r="C49" s="1" t="s">
        <v>133</v>
      </c>
      <c r="D49" s="14"/>
      <c r="E49" s="27"/>
      <c r="F49" s="28"/>
      <c r="G49" s="32"/>
      <c r="H49" s="28"/>
      <c r="I49" s="32"/>
      <c r="J49" s="33"/>
      <c r="K49" s="27"/>
      <c r="L49" s="33"/>
      <c r="M49" s="32"/>
      <c r="N49" s="33"/>
      <c r="O49" s="27"/>
      <c r="P49" s="33"/>
      <c r="Q49" s="27"/>
      <c r="R49" s="33"/>
      <c r="S49" s="27"/>
      <c r="T49" s="33"/>
      <c r="U49" s="27"/>
      <c r="V49" s="33"/>
      <c r="W49" s="27"/>
      <c r="X49" s="33"/>
      <c r="Y49" s="27">
        <v>80837198</v>
      </c>
      <c r="Z49" s="33">
        <v>10007331</v>
      </c>
      <c r="AA49" s="27"/>
      <c r="AB49" s="28"/>
      <c r="AC49" s="27"/>
      <c r="AD49" s="33"/>
      <c r="AE49" s="27"/>
      <c r="AF49" s="33"/>
      <c r="AG49" s="27"/>
      <c r="AH49" s="33"/>
      <c r="AI49" s="27"/>
      <c r="AJ49" s="33"/>
      <c r="AK49" s="27"/>
      <c r="AL49" s="33"/>
      <c r="AM49" s="27"/>
      <c r="AN49" s="33"/>
      <c r="AO49" s="27"/>
      <c r="AP49" s="33"/>
      <c r="AQ49" s="30"/>
      <c r="AR49" s="31"/>
      <c r="AS49" s="42">
        <v>964203</v>
      </c>
      <c r="AT49" s="43">
        <v>964203</v>
      </c>
      <c r="AU49" s="42"/>
      <c r="AV49" s="42"/>
      <c r="AW49" s="44"/>
      <c r="AX49" s="43"/>
      <c r="AY49" s="44"/>
      <c r="AZ49" s="43"/>
      <c r="BA49" s="44">
        <v>11980634932</v>
      </c>
      <c r="BB49" s="43">
        <v>11857839906</v>
      </c>
      <c r="BC49" s="44"/>
      <c r="BD49" s="43"/>
      <c r="BE49" s="44"/>
      <c r="BF49" s="43"/>
      <c r="BG49" s="45"/>
      <c r="BH49" s="185"/>
      <c r="BI49" s="44"/>
      <c r="BJ49" s="43"/>
      <c r="BK49" s="45"/>
      <c r="BL49" s="205"/>
      <c r="BM49" s="44"/>
      <c r="BN49" s="43"/>
      <c r="BO49" s="44"/>
      <c r="BP49" s="43"/>
      <c r="BQ49" s="44"/>
      <c r="BR49" s="43"/>
      <c r="BS49" s="44"/>
      <c r="BT49" s="43"/>
      <c r="BU49" s="44">
        <v>3809280</v>
      </c>
      <c r="BV49" s="43">
        <v>3960380</v>
      </c>
      <c r="BW49" s="44"/>
      <c r="BX49" s="43"/>
      <c r="BY49" s="44"/>
      <c r="BZ49" s="43"/>
      <c r="CA49" s="44"/>
      <c r="CB49" s="44"/>
      <c r="CC49" s="44"/>
      <c r="CD49" s="43"/>
      <c r="CE49" s="44"/>
      <c r="CF49" s="43"/>
      <c r="CG49" s="44"/>
      <c r="CH49" s="44"/>
      <c r="CI49" s="44"/>
      <c r="CJ49" s="43"/>
      <c r="CK49" s="44"/>
      <c r="CL49" s="43"/>
      <c r="CM49" s="44"/>
      <c r="CN49" s="44"/>
      <c r="CO49" s="44">
        <v>638</v>
      </c>
      <c r="CP49" s="43">
        <v>638</v>
      </c>
      <c r="CQ49" s="44"/>
      <c r="CR49" s="43"/>
      <c r="CS49" s="44"/>
      <c r="CT49" s="44"/>
      <c r="CU49" s="44"/>
      <c r="CV49" s="43"/>
      <c r="CW49" s="44"/>
      <c r="CX49" s="43"/>
      <c r="CY49" s="44"/>
      <c r="CZ49" s="43"/>
    </row>
    <row r="50" spans="1:104" ht="15.75" customHeight="1" x14ac:dyDescent="0.25">
      <c r="A50" s="9"/>
      <c r="B50" s="25" t="s">
        <v>134</v>
      </c>
      <c r="C50" s="1" t="s">
        <v>135</v>
      </c>
      <c r="D50" s="14"/>
      <c r="E50" s="27">
        <v>1993735</v>
      </c>
      <c r="F50" s="28">
        <v>7792376</v>
      </c>
      <c r="G50" s="32"/>
      <c r="H50" s="28"/>
      <c r="I50" s="32">
        <v>4374759</v>
      </c>
      <c r="J50" s="33">
        <v>2447421</v>
      </c>
      <c r="K50" s="27">
        <v>189354</v>
      </c>
      <c r="L50" s="33">
        <v>50024</v>
      </c>
      <c r="M50" s="32"/>
      <c r="N50" s="33"/>
      <c r="O50" s="27">
        <v>8224</v>
      </c>
      <c r="P50" s="33">
        <v>2890</v>
      </c>
      <c r="Q50" s="27">
        <v>676595</v>
      </c>
      <c r="R50" s="33">
        <v>1224764</v>
      </c>
      <c r="S50" s="27">
        <v>102652</v>
      </c>
      <c r="T50" s="33">
        <v>175320</v>
      </c>
      <c r="U50" s="27">
        <v>20382</v>
      </c>
      <c r="V50" s="33">
        <v>82528</v>
      </c>
      <c r="W50" s="27">
        <v>58705778</v>
      </c>
      <c r="X50" s="33">
        <v>65255699</v>
      </c>
      <c r="Y50" s="27">
        <v>17751</v>
      </c>
      <c r="Z50" s="33">
        <v>102241</v>
      </c>
      <c r="AA50" s="27"/>
      <c r="AB50" s="28">
        <v>1</v>
      </c>
      <c r="AC50" s="27">
        <v>1087704</v>
      </c>
      <c r="AD50" s="33">
        <v>1080140</v>
      </c>
      <c r="AE50" s="27">
        <v>8734</v>
      </c>
      <c r="AF50" s="33">
        <v>30071</v>
      </c>
      <c r="AG50" s="27">
        <v>741015</v>
      </c>
      <c r="AH50" s="33">
        <v>724155</v>
      </c>
      <c r="AI50" s="27">
        <v>222791</v>
      </c>
      <c r="AJ50" s="33">
        <v>289388</v>
      </c>
      <c r="AK50" s="27">
        <v>4372244</v>
      </c>
      <c r="AL50" s="33">
        <v>4720735</v>
      </c>
      <c r="AM50" s="27">
        <v>4540748</v>
      </c>
      <c r="AN50" s="33">
        <v>4770090</v>
      </c>
      <c r="AO50" s="27">
        <v>1871511</v>
      </c>
      <c r="AP50" s="33">
        <v>1769396</v>
      </c>
      <c r="AQ50" s="30">
        <v>1387832</v>
      </c>
      <c r="AR50" s="31">
        <v>1364351</v>
      </c>
      <c r="AS50" s="42">
        <v>12673</v>
      </c>
      <c r="AT50" s="43">
        <v>23237</v>
      </c>
      <c r="AU50" s="42"/>
      <c r="AV50" s="42"/>
      <c r="AW50" s="44">
        <v>2962672</v>
      </c>
      <c r="AX50" s="43">
        <v>410865</v>
      </c>
      <c r="AY50" s="44">
        <v>167214288</v>
      </c>
      <c r="AZ50" s="43">
        <v>153828074</v>
      </c>
      <c r="BA50" s="44">
        <v>6159324</v>
      </c>
      <c r="BB50" s="43">
        <v>10251175</v>
      </c>
      <c r="BC50" s="44">
        <v>1319850</v>
      </c>
      <c r="BD50" s="43"/>
      <c r="BE50" s="44">
        <v>54088</v>
      </c>
      <c r="BF50" s="43">
        <v>43356</v>
      </c>
      <c r="BG50" s="45">
        <v>81748</v>
      </c>
      <c r="BH50" s="185">
        <v>469573</v>
      </c>
      <c r="BI50" s="44">
        <v>20</v>
      </c>
      <c r="BJ50" s="43">
        <v>20</v>
      </c>
      <c r="BK50" s="45">
        <v>10737190</v>
      </c>
      <c r="BL50" s="205">
        <v>8362770</v>
      </c>
      <c r="BM50" s="44">
        <v>287860</v>
      </c>
      <c r="BN50" s="43">
        <v>142640</v>
      </c>
      <c r="BO50" s="44">
        <v>174754750</v>
      </c>
      <c r="BP50" s="43">
        <v>187272110</v>
      </c>
      <c r="BQ50" s="44"/>
      <c r="BR50" s="43"/>
      <c r="BS50" s="44">
        <v>922000</v>
      </c>
      <c r="BT50" s="43">
        <v>17060</v>
      </c>
      <c r="BU50" s="44">
        <v>111720</v>
      </c>
      <c r="BV50" s="43">
        <v>43760</v>
      </c>
      <c r="BW50" s="44">
        <v>352170</v>
      </c>
      <c r="BX50" s="43">
        <v>242570</v>
      </c>
      <c r="BY50" s="44">
        <v>256450</v>
      </c>
      <c r="BZ50" s="43">
        <v>182750</v>
      </c>
      <c r="CA50" s="44"/>
      <c r="CB50" s="43"/>
      <c r="CC50" s="44">
        <v>1273110</v>
      </c>
      <c r="CD50" s="43">
        <v>191740</v>
      </c>
      <c r="CE50" s="44">
        <v>10721</v>
      </c>
      <c r="CF50" s="43">
        <v>6871</v>
      </c>
      <c r="CG50" s="44">
        <v>53423</v>
      </c>
      <c r="CH50" s="43">
        <v>66286</v>
      </c>
      <c r="CI50" s="44">
        <v>5283</v>
      </c>
      <c r="CJ50" s="43">
        <v>10332</v>
      </c>
      <c r="CK50" s="44">
        <v>524433</v>
      </c>
      <c r="CL50" s="43">
        <v>335606</v>
      </c>
      <c r="CM50" s="44"/>
      <c r="CN50" s="43"/>
      <c r="CO50" s="44"/>
      <c r="CP50" s="43"/>
      <c r="CQ50" s="44"/>
      <c r="CR50" s="43"/>
      <c r="CS50" s="44"/>
      <c r="CT50" s="43">
        <v>1700</v>
      </c>
      <c r="CU50" s="44">
        <v>3628086</v>
      </c>
      <c r="CV50" s="43">
        <v>3914477</v>
      </c>
      <c r="CW50" s="44"/>
      <c r="CX50" s="43"/>
      <c r="CY50" s="44">
        <v>139952</v>
      </c>
      <c r="CZ50" s="43">
        <v>38015</v>
      </c>
    </row>
    <row r="51" spans="1:104" ht="15.75" customHeight="1" x14ac:dyDescent="0.25">
      <c r="A51" s="9"/>
      <c r="B51" s="25" t="s">
        <v>136</v>
      </c>
      <c r="C51" s="1" t="s">
        <v>137</v>
      </c>
      <c r="D51" s="14"/>
      <c r="E51" s="27">
        <v>2565174</v>
      </c>
      <c r="F51" s="28">
        <v>1921229</v>
      </c>
      <c r="G51" s="32"/>
      <c r="H51" s="28"/>
      <c r="I51" s="32">
        <v>15446826</v>
      </c>
      <c r="J51" s="33">
        <v>17167735</v>
      </c>
      <c r="K51" s="27">
        <v>416002</v>
      </c>
      <c r="L51" s="33">
        <v>245340</v>
      </c>
      <c r="M51" s="32"/>
      <c r="N51" s="33"/>
      <c r="O51" s="27">
        <v>176259</v>
      </c>
      <c r="P51" s="33">
        <v>381300</v>
      </c>
      <c r="Q51" s="27">
        <v>1171673</v>
      </c>
      <c r="R51" s="33">
        <v>1316801</v>
      </c>
      <c r="S51" s="27"/>
      <c r="T51" s="33"/>
      <c r="U51" s="27">
        <v>2103</v>
      </c>
      <c r="V51" s="33"/>
      <c r="W51" s="27">
        <v>105582191</v>
      </c>
      <c r="X51" s="33">
        <v>132902036</v>
      </c>
      <c r="Y51" s="27">
        <v>1951337</v>
      </c>
      <c r="Z51" s="33">
        <v>29225</v>
      </c>
      <c r="AA51" s="27"/>
      <c r="AB51" s="28">
        <v>423</v>
      </c>
      <c r="AC51" s="27">
        <v>505591</v>
      </c>
      <c r="AD51" s="33">
        <v>424511</v>
      </c>
      <c r="AE51" s="27">
        <v>11670804</v>
      </c>
      <c r="AF51" s="33">
        <v>12652404</v>
      </c>
      <c r="AG51" s="27">
        <v>1554060</v>
      </c>
      <c r="AH51" s="33">
        <v>1601412</v>
      </c>
      <c r="AI51" s="27">
        <v>1512639</v>
      </c>
      <c r="AJ51" s="33">
        <v>1213872</v>
      </c>
      <c r="AK51" s="27">
        <v>7101740</v>
      </c>
      <c r="AL51" s="33">
        <v>6617640</v>
      </c>
      <c r="AM51" s="27">
        <v>633387</v>
      </c>
      <c r="AN51" s="33">
        <v>562553</v>
      </c>
      <c r="AO51" s="27">
        <v>737237</v>
      </c>
      <c r="AP51" s="33">
        <v>740840</v>
      </c>
      <c r="AQ51" s="30">
        <v>1322602</v>
      </c>
      <c r="AR51" s="31">
        <v>1967603</v>
      </c>
      <c r="AS51" s="42">
        <v>1087596</v>
      </c>
      <c r="AT51" s="43">
        <v>951895</v>
      </c>
      <c r="AU51" s="42">
        <v>28695</v>
      </c>
      <c r="AV51" s="42">
        <v>7183</v>
      </c>
      <c r="AW51" s="44">
        <v>4675306</v>
      </c>
      <c r="AX51" s="43">
        <v>4996440</v>
      </c>
      <c r="AY51" s="44">
        <v>10389364</v>
      </c>
      <c r="AZ51" s="43">
        <v>10440635</v>
      </c>
      <c r="BA51" s="44">
        <v>3709532</v>
      </c>
      <c r="BB51" s="43">
        <v>4613352</v>
      </c>
      <c r="BC51" s="44"/>
      <c r="BD51" s="43"/>
      <c r="BE51" s="44">
        <v>1531494</v>
      </c>
      <c r="BF51" s="43">
        <v>1197891</v>
      </c>
      <c r="BG51" s="45">
        <v>1409116</v>
      </c>
      <c r="BH51" s="185">
        <v>357719</v>
      </c>
      <c r="BI51" s="44">
        <v>634975</v>
      </c>
      <c r="BJ51" s="43">
        <v>584340</v>
      </c>
      <c r="BK51" s="45">
        <v>5972820</v>
      </c>
      <c r="BL51" s="205">
        <v>5759350</v>
      </c>
      <c r="BM51" s="44"/>
      <c r="BN51" s="43"/>
      <c r="BO51" s="44">
        <v>9057320</v>
      </c>
      <c r="BP51" s="43">
        <v>8994300</v>
      </c>
      <c r="BQ51" s="44"/>
      <c r="BR51" s="43"/>
      <c r="BS51" s="44"/>
      <c r="BT51" s="43"/>
      <c r="BU51" s="44">
        <v>4274310</v>
      </c>
      <c r="BV51" s="43">
        <v>3727990</v>
      </c>
      <c r="BW51" s="44">
        <v>1404080</v>
      </c>
      <c r="BX51" s="43">
        <v>1471580</v>
      </c>
      <c r="BY51" s="44">
        <v>60</v>
      </c>
      <c r="BZ51" s="43">
        <v>40</v>
      </c>
      <c r="CA51" s="44">
        <v>92700</v>
      </c>
      <c r="CB51" s="43">
        <v>87590</v>
      </c>
      <c r="CC51" s="44">
        <v>220110</v>
      </c>
      <c r="CD51" s="43">
        <v>255910</v>
      </c>
      <c r="CE51" s="44">
        <v>163240</v>
      </c>
      <c r="CF51" s="43">
        <v>124991</v>
      </c>
      <c r="CG51" s="44"/>
      <c r="CH51" s="43"/>
      <c r="CI51" s="44">
        <v>292165</v>
      </c>
      <c r="CJ51" s="43">
        <v>382207</v>
      </c>
      <c r="CK51" s="44">
        <v>75670</v>
      </c>
      <c r="CL51" s="43">
        <v>122408</v>
      </c>
      <c r="CM51" s="44">
        <v>80767</v>
      </c>
      <c r="CN51" s="43">
        <v>127700</v>
      </c>
      <c r="CO51" s="44">
        <v>246495</v>
      </c>
      <c r="CP51" s="43">
        <v>283532</v>
      </c>
      <c r="CQ51" s="44">
        <v>67217</v>
      </c>
      <c r="CR51" s="43">
        <v>79831</v>
      </c>
      <c r="CS51" s="44">
        <v>175628</v>
      </c>
      <c r="CT51" s="43">
        <v>176042</v>
      </c>
      <c r="CU51" s="44">
        <v>1000529</v>
      </c>
      <c r="CV51" s="43">
        <v>974035</v>
      </c>
      <c r="CW51" s="44">
        <v>614643</v>
      </c>
      <c r="CX51" s="43">
        <v>1074282</v>
      </c>
      <c r="CY51" s="44">
        <v>1307300</v>
      </c>
      <c r="CZ51" s="43">
        <v>1674175</v>
      </c>
    </row>
    <row r="52" spans="1:104" ht="15.75" customHeight="1" x14ac:dyDescent="0.25">
      <c r="A52" s="9"/>
      <c r="B52" s="107" t="s">
        <v>138</v>
      </c>
      <c r="C52" s="108" t="s">
        <v>139</v>
      </c>
      <c r="D52" s="14"/>
      <c r="E52" s="27">
        <v>626525</v>
      </c>
      <c r="F52" s="28">
        <v>999908</v>
      </c>
      <c r="G52" s="32"/>
      <c r="H52" s="28"/>
      <c r="I52" s="32">
        <v>2599995</v>
      </c>
      <c r="J52" s="33">
        <v>3985366</v>
      </c>
      <c r="K52" s="27">
        <v>172274</v>
      </c>
      <c r="L52" s="33">
        <v>49734</v>
      </c>
      <c r="M52" s="32"/>
      <c r="N52" s="33"/>
      <c r="O52" s="27">
        <v>814960</v>
      </c>
      <c r="P52" s="33">
        <v>1188895</v>
      </c>
      <c r="Q52" s="27">
        <v>412588</v>
      </c>
      <c r="R52" s="33">
        <v>565813</v>
      </c>
      <c r="S52" s="27"/>
      <c r="T52" s="33">
        <v>84913</v>
      </c>
      <c r="U52" s="27">
        <v>173207</v>
      </c>
      <c r="V52" s="33">
        <v>70838</v>
      </c>
      <c r="W52" s="27">
        <v>14965083</v>
      </c>
      <c r="X52" s="33">
        <v>17139516</v>
      </c>
      <c r="Y52" s="27">
        <v>314292</v>
      </c>
      <c r="Z52" s="33"/>
      <c r="AA52" s="27">
        <v>2020575</v>
      </c>
      <c r="AB52" s="28">
        <v>2629</v>
      </c>
      <c r="AC52" s="27">
        <v>119169</v>
      </c>
      <c r="AD52" s="33">
        <v>110684</v>
      </c>
      <c r="AE52" s="27">
        <v>4533280</v>
      </c>
      <c r="AF52" s="33">
        <v>6149476</v>
      </c>
      <c r="AG52" s="27">
        <v>359625</v>
      </c>
      <c r="AH52" s="33">
        <v>599190</v>
      </c>
      <c r="AI52" s="27">
        <v>292834</v>
      </c>
      <c r="AJ52" s="33">
        <v>69310</v>
      </c>
      <c r="AK52" s="27">
        <v>1821959</v>
      </c>
      <c r="AL52" s="33">
        <v>1610964</v>
      </c>
      <c r="AM52" s="27">
        <v>150018</v>
      </c>
      <c r="AN52" s="33">
        <v>138896</v>
      </c>
      <c r="AO52" s="27">
        <v>186252</v>
      </c>
      <c r="AP52" s="33">
        <v>228606</v>
      </c>
      <c r="AQ52" s="30">
        <v>357179</v>
      </c>
      <c r="AR52" s="31">
        <v>692932</v>
      </c>
      <c r="AS52" s="42">
        <v>456896</v>
      </c>
      <c r="AT52" s="43">
        <v>257788</v>
      </c>
      <c r="AU52" s="42">
        <v>67</v>
      </c>
      <c r="AV52" s="42"/>
      <c r="AW52" s="44">
        <v>1220114</v>
      </c>
      <c r="AX52" s="43">
        <v>1393470</v>
      </c>
      <c r="AY52" s="44">
        <v>4174184</v>
      </c>
      <c r="AZ52" s="43">
        <v>4555735</v>
      </c>
      <c r="BA52" s="44">
        <v>1128221</v>
      </c>
      <c r="BB52" s="43">
        <v>1518337</v>
      </c>
      <c r="BC52" s="44"/>
      <c r="BD52" s="43"/>
      <c r="BE52" s="44">
        <v>125735</v>
      </c>
      <c r="BF52" s="43">
        <v>427610</v>
      </c>
      <c r="BG52" s="45">
        <v>83688</v>
      </c>
      <c r="BH52" s="185">
        <v>15726</v>
      </c>
      <c r="BI52" s="44">
        <v>206029</v>
      </c>
      <c r="BJ52" s="43">
        <v>182414</v>
      </c>
      <c r="BK52" s="45">
        <v>1970650</v>
      </c>
      <c r="BL52" s="205">
        <v>1745750</v>
      </c>
      <c r="BM52" s="44"/>
      <c r="BN52" s="43"/>
      <c r="BO52" s="44">
        <v>2823670</v>
      </c>
      <c r="BP52" s="43">
        <v>2318000</v>
      </c>
      <c r="BQ52" s="44"/>
      <c r="BR52" s="43"/>
      <c r="BS52" s="44"/>
      <c r="BT52" s="43"/>
      <c r="BU52" s="44">
        <v>1917940</v>
      </c>
      <c r="BV52" s="43">
        <v>1718030</v>
      </c>
      <c r="BW52" s="44">
        <v>623930</v>
      </c>
      <c r="BX52" s="43">
        <v>610740</v>
      </c>
      <c r="BY52" s="44"/>
      <c r="BZ52" s="43"/>
      <c r="CA52" s="44">
        <v>44050</v>
      </c>
      <c r="CB52" s="43">
        <v>25360</v>
      </c>
      <c r="CC52" s="44">
        <v>225630</v>
      </c>
      <c r="CD52" s="43">
        <v>275350</v>
      </c>
      <c r="CE52" s="44">
        <v>49402</v>
      </c>
      <c r="CF52" s="43">
        <v>76814</v>
      </c>
      <c r="CG52" s="44"/>
      <c r="CH52" s="43"/>
      <c r="CI52" s="44">
        <v>18217</v>
      </c>
      <c r="CJ52" s="43">
        <v>89050</v>
      </c>
      <c r="CK52" s="44">
        <v>25428</v>
      </c>
      <c r="CL52" s="43">
        <v>34688</v>
      </c>
      <c r="CM52" s="44">
        <v>18957</v>
      </c>
      <c r="CN52" s="43">
        <v>20598</v>
      </c>
      <c r="CO52" s="44">
        <v>14820</v>
      </c>
      <c r="CP52" s="43">
        <v>12948</v>
      </c>
      <c r="CQ52" s="44">
        <v>43010</v>
      </c>
      <c r="CR52" s="43">
        <v>12714</v>
      </c>
      <c r="CS52" s="44">
        <v>5257</v>
      </c>
      <c r="CT52" s="43">
        <v>6337</v>
      </c>
      <c r="CU52" s="44">
        <v>85569</v>
      </c>
      <c r="CV52" s="43">
        <v>254007</v>
      </c>
      <c r="CW52" s="44">
        <v>292621</v>
      </c>
      <c r="CX52" s="43">
        <v>604360</v>
      </c>
      <c r="CY52" s="44">
        <v>974945</v>
      </c>
      <c r="CZ52" s="43">
        <v>389724</v>
      </c>
    </row>
    <row r="53" spans="1:104" ht="15.75" customHeight="1" x14ac:dyDescent="0.25">
      <c r="A53" s="9"/>
      <c r="B53" s="25" t="s">
        <v>140</v>
      </c>
      <c r="C53" s="1" t="s">
        <v>141</v>
      </c>
      <c r="D53" s="14"/>
      <c r="E53" s="27">
        <v>7324178</v>
      </c>
      <c r="F53" s="28">
        <v>9202157</v>
      </c>
      <c r="G53" s="32"/>
      <c r="H53" s="28"/>
      <c r="I53" s="32">
        <v>161035</v>
      </c>
      <c r="J53" s="33"/>
      <c r="K53" s="27">
        <v>80021</v>
      </c>
      <c r="L53" s="33">
        <v>135859</v>
      </c>
      <c r="M53" s="32"/>
      <c r="N53" s="33"/>
      <c r="O53" s="27">
        <v>416214</v>
      </c>
      <c r="P53" s="33">
        <v>762332</v>
      </c>
      <c r="Q53" s="27">
        <v>133650</v>
      </c>
      <c r="R53" s="33">
        <v>121795</v>
      </c>
      <c r="S53" s="27">
        <v>118014</v>
      </c>
      <c r="T53" s="33">
        <v>149587</v>
      </c>
      <c r="U53" s="27">
        <v>38906</v>
      </c>
      <c r="V53" s="33">
        <v>16068</v>
      </c>
      <c r="W53" s="27">
        <v>867327</v>
      </c>
      <c r="X53" s="33">
        <v>2136608</v>
      </c>
      <c r="Y53" s="27">
        <v>387442</v>
      </c>
      <c r="Z53" s="33">
        <v>4528</v>
      </c>
      <c r="AA53" s="27">
        <v>3573268</v>
      </c>
      <c r="AB53" s="28">
        <v>21407</v>
      </c>
      <c r="AC53" s="27">
        <v>144606</v>
      </c>
      <c r="AD53" s="33">
        <v>205831</v>
      </c>
      <c r="AE53" s="27">
        <v>9899078</v>
      </c>
      <c r="AF53" s="33">
        <v>13139945</v>
      </c>
      <c r="AG53" s="27">
        <v>1008925</v>
      </c>
      <c r="AH53" s="33">
        <v>15928</v>
      </c>
      <c r="AI53" s="27">
        <v>647903</v>
      </c>
      <c r="AJ53" s="33">
        <v>558610</v>
      </c>
      <c r="AK53" s="27">
        <v>1173886</v>
      </c>
      <c r="AL53" s="33">
        <v>1722206</v>
      </c>
      <c r="AM53" s="27">
        <v>104143</v>
      </c>
      <c r="AN53" s="33">
        <v>494358</v>
      </c>
      <c r="AO53" s="27">
        <v>1467</v>
      </c>
      <c r="AP53" s="33">
        <v>447269</v>
      </c>
      <c r="AQ53" s="30">
        <v>12400</v>
      </c>
      <c r="AR53" s="31">
        <v>81183</v>
      </c>
      <c r="AS53" s="42">
        <v>613932</v>
      </c>
      <c r="AT53" s="43">
        <v>11433</v>
      </c>
      <c r="AU53" s="42">
        <v>1125691</v>
      </c>
      <c r="AV53" s="42">
        <v>81366</v>
      </c>
      <c r="AW53" s="44">
        <v>1849536</v>
      </c>
      <c r="AX53" s="43">
        <v>4619395</v>
      </c>
      <c r="AY53" s="44">
        <v>424273</v>
      </c>
      <c r="AZ53" s="43">
        <v>1120663</v>
      </c>
      <c r="BA53" s="44">
        <v>688190</v>
      </c>
      <c r="BB53" s="43">
        <v>214037</v>
      </c>
      <c r="BC53" s="44">
        <v>412860</v>
      </c>
      <c r="BD53" s="43"/>
      <c r="BE53" s="44">
        <v>25738</v>
      </c>
      <c r="BF53" s="43">
        <v>209755</v>
      </c>
      <c r="BG53" s="45">
        <v>157341</v>
      </c>
      <c r="BH53" s="185">
        <v>2593353</v>
      </c>
      <c r="BI53" s="44">
        <v>10161</v>
      </c>
      <c r="BJ53" s="43">
        <v>42662</v>
      </c>
      <c r="BK53" s="45">
        <v>723360</v>
      </c>
      <c r="BL53" s="205">
        <v>572880</v>
      </c>
      <c r="BM53" s="44">
        <v>411230</v>
      </c>
      <c r="BN53" s="43">
        <v>162730</v>
      </c>
      <c r="BO53" s="44">
        <v>1288150</v>
      </c>
      <c r="BP53" s="43">
        <v>1211900</v>
      </c>
      <c r="BQ53" s="44">
        <v>46630</v>
      </c>
      <c r="BR53" s="43"/>
      <c r="BS53" s="44">
        <v>196180</v>
      </c>
      <c r="BT53" s="43">
        <v>458630</v>
      </c>
      <c r="BU53" s="44">
        <v>4291650</v>
      </c>
      <c r="BV53" s="43">
        <v>2784130</v>
      </c>
      <c r="BW53" s="44">
        <v>162950</v>
      </c>
      <c r="BX53" s="43">
        <v>1054320</v>
      </c>
      <c r="BY53" s="44">
        <v>3283490</v>
      </c>
      <c r="BZ53" s="43">
        <v>1825940</v>
      </c>
      <c r="CA53" s="44">
        <v>91330</v>
      </c>
      <c r="CB53" s="43">
        <v>55390</v>
      </c>
      <c r="CC53" s="44">
        <v>377220</v>
      </c>
      <c r="CD53" s="43">
        <v>409680</v>
      </c>
      <c r="CE53" s="44">
        <v>20480</v>
      </c>
      <c r="CF53" s="43">
        <v>41012</v>
      </c>
      <c r="CG53" s="44"/>
      <c r="CH53" s="43"/>
      <c r="CI53" s="44">
        <v>68260</v>
      </c>
      <c r="CJ53" s="43">
        <v>69416</v>
      </c>
      <c r="CK53" s="44">
        <v>13655</v>
      </c>
      <c r="CL53" s="43">
        <v>13241</v>
      </c>
      <c r="CM53" s="44">
        <v>19147</v>
      </c>
      <c r="CN53" s="43">
        <v>64977</v>
      </c>
      <c r="CO53" s="44"/>
      <c r="CP53" s="43">
        <v>9693</v>
      </c>
      <c r="CQ53" s="44">
        <v>92553</v>
      </c>
      <c r="CR53" s="43">
        <v>605</v>
      </c>
      <c r="CS53" s="44">
        <v>9462</v>
      </c>
      <c r="CT53" s="43">
        <v>4972</v>
      </c>
      <c r="CU53" s="44">
        <v>182454</v>
      </c>
      <c r="CV53" s="43">
        <v>322133</v>
      </c>
      <c r="CW53" s="44">
        <v>55262</v>
      </c>
      <c r="CX53" s="43">
        <v>107434</v>
      </c>
      <c r="CY53" s="44">
        <v>932115</v>
      </c>
      <c r="CZ53" s="43">
        <v>156661</v>
      </c>
    </row>
    <row r="54" spans="1:104" ht="15.75" customHeight="1" x14ac:dyDescent="0.25">
      <c r="A54" s="9"/>
      <c r="B54" s="25" t="s">
        <v>144</v>
      </c>
      <c r="C54" s="1" t="s">
        <v>145</v>
      </c>
      <c r="D54" s="14"/>
      <c r="E54" s="27">
        <v>1808</v>
      </c>
      <c r="F54" s="28">
        <v>16972</v>
      </c>
      <c r="G54" s="32"/>
      <c r="H54" s="28"/>
      <c r="I54" s="32">
        <v>1033644</v>
      </c>
      <c r="J54" s="33">
        <v>4446383</v>
      </c>
      <c r="K54" s="27"/>
      <c r="L54" s="33"/>
      <c r="M54" s="32"/>
      <c r="N54" s="33"/>
      <c r="O54" s="27"/>
      <c r="P54" s="33"/>
      <c r="Q54" s="27"/>
      <c r="R54" s="33"/>
      <c r="S54" s="27"/>
      <c r="T54" s="33"/>
      <c r="U54" s="27"/>
      <c r="V54" s="33"/>
      <c r="W54" s="27">
        <v>1814883</v>
      </c>
      <c r="X54" s="33">
        <v>1421414</v>
      </c>
      <c r="Y54" s="27">
        <v>1804749</v>
      </c>
      <c r="Z54" s="33">
        <v>2707839</v>
      </c>
      <c r="AA54" s="27"/>
      <c r="AB54" s="28"/>
      <c r="AC54" s="27"/>
      <c r="AD54" s="33"/>
      <c r="AE54" s="27">
        <v>36298</v>
      </c>
      <c r="AF54" s="33">
        <v>81077</v>
      </c>
      <c r="AG54" s="27">
        <v>3633918</v>
      </c>
      <c r="AH54" s="33"/>
      <c r="AI54" s="27"/>
      <c r="AJ54" s="33"/>
      <c r="AK54" s="27">
        <v>1662</v>
      </c>
      <c r="AL54" s="33">
        <v>1662</v>
      </c>
      <c r="AM54" s="27">
        <v>4612248</v>
      </c>
      <c r="AN54" s="33">
        <v>4718866</v>
      </c>
      <c r="AO54" s="27"/>
      <c r="AP54" s="33"/>
      <c r="AQ54" s="30"/>
      <c r="AR54" s="31"/>
      <c r="AS54" s="42"/>
      <c r="AT54" s="43"/>
      <c r="AU54" s="42"/>
      <c r="AV54" s="42"/>
      <c r="AW54" s="44">
        <v>194374</v>
      </c>
      <c r="AX54" s="43">
        <v>186543</v>
      </c>
      <c r="AY54" s="44">
        <v>6724487</v>
      </c>
      <c r="AZ54" s="43">
        <v>5446339</v>
      </c>
      <c r="BA54" s="44"/>
      <c r="BB54" s="43">
        <v>10340000</v>
      </c>
      <c r="BC54" s="44"/>
      <c r="BD54" s="43"/>
      <c r="BE54" s="44">
        <v>1059435</v>
      </c>
      <c r="BF54" s="43">
        <v>986490</v>
      </c>
      <c r="BG54" s="45"/>
      <c r="BH54" s="185"/>
      <c r="BI54" s="44"/>
      <c r="BJ54" s="43"/>
      <c r="BK54" s="45">
        <v>254020</v>
      </c>
      <c r="BL54" s="205"/>
      <c r="BM54" s="44"/>
      <c r="BN54" s="43"/>
      <c r="BO54" s="44">
        <v>78590</v>
      </c>
      <c r="BP54" s="43">
        <v>182540</v>
      </c>
      <c r="BQ54" s="44"/>
      <c r="BR54" s="43"/>
      <c r="BS54" s="44"/>
      <c r="BT54" s="43"/>
      <c r="BU54" s="44">
        <v>9973470</v>
      </c>
      <c r="BV54" s="43">
        <v>3288190</v>
      </c>
      <c r="BW54" s="44"/>
      <c r="BX54" s="43"/>
      <c r="BY54" s="44"/>
      <c r="BZ54" s="43"/>
      <c r="CA54" s="44"/>
      <c r="CB54" s="43"/>
      <c r="CC54" s="44">
        <v>21200</v>
      </c>
      <c r="CD54" s="43">
        <v>6740</v>
      </c>
      <c r="CE54" s="44"/>
      <c r="CF54" s="43"/>
      <c r="CG54" s="44"/>
      <c r="CH54" s="43"/>
      <c r="CI54" s="44"/>
      <c r="CJ54" s="43"/>
      <c r="CK54" s="44"/>
      <c r="CL54" s="43"/>
      <c r="CM54" s="44"/>
      <c r="CN54" s="43"/>
      <c r="CO54" s="44"/>
      <c r="CP54" s="43"/>
      <c r="CQ54" s="44"/>
      <c r="CR54" s="43"/>
      <c r="CS54" s="44"/>
      <c r="CT54" s="43"/>
      <c r="CU54" s="44"/>
      <c r="CV54" s="43"/>
      <c r="CW54" s="44"/>
      <c r="CX54" s="43"/>
      <c r="CY54" s="44"/>
      <c r="CZ54" s="43"/>
    </row>
    <row r="55" spans="1:104" ht="15.75" customHeight="1" x14ac:dyDescent="0.25">
      <c r="A55" s="9"/>
      <c r="B55" s="25" t="s">
        <v>146</v>
      </c>
      <c r="C55" s="1" t="s">
        <v>147</v>
      </c>
      <c r="D55" s="14"/>
      <c r="E55" s="27">
        <v>330020</v>
      </c>
      <c r="F55" s="28">
        <v>182342</v>
      </c>
      <c r="G55" s="32"/>
      <c r="H55" s="28"/>
      <c r="I55" s="32"/>
      <c r="J55" s="33"/>
      <c r="K55" s="27">
        <v>5665</v>
      </c>
      <c r="L55" s="33">
        <v>8705</v>
      </c>
      <c r="M55" s="32"/>
      <c r="N55" s="33"/>
      <c r="O55" s="27"/>
      <c r="P55" s="33"/>
      <c r="Q55" s="27"/>
      <c r="R55" s="33"/>
      <c r="S55" s="27"/>
      <c r="T55" s="33"/>
      <c r="U55" s="27"/>
      <c r="V55" s="33"/>
      <c r="W55" s="27"/>
      <c r="X55" s="33"/>
      <c r="Y55" s="27"/>
      <c r="Z55" s="33"/>
      <c r="AA55" s="27"/>
      <c r="AB55" s="28"/>
      <c r="AC55" s="27"/>
      <c r="AD55" s="33"/>
      <c r="AE55" s="27"/>
      <c r="AF55" s="33"/>
      <c r="AG55" s="27"/>
      <c r="AH55" s="33"/>
      <c r="AI55" s="27"/>
      <c r="AJ55" s="33"/>
      <c r="AK55" s="27"/>
      <c r="AL55" s="33"/>
      <c r="AM55" s="27">
        <v>10496</v>
      </c>
      <c r="AN55" s="33">
        <v>11810</v>
      </c>
      <c r="AO55" s="27"/>
      <c r="AP55" s="33"/>
      <c r="AQ55" s="30"/>
      <c r="AR55" s="31"/>
      <c r="AS55" s="42">
        <v>21524</v>
      </c>
      <c r="AT55" s="43">
        <v>23314</v>
      </c>
      <c r="AU55" s="42">
        <v>872421</v>
      </c>
      <c r="AV55" s="42">
        <v>508297</v>
      </c>
      <c r="AW55" s="44"/>
      <c r="AX55" s="43"/>
      <c r="AY55" s="44"/>
      <c r="AZ55" s="43"/>
      <c r="BA55" s="44"/>
      <c r="BB55" s="43"/>
      <c r="BC55" s="44"/>
      <c r="BD55" s="43"/>
      <c r="BE55" s="44"/>
      <c r="BF55" s="43"/>
      <c r="BG55" s="45"/>
      <c r="BH55" s="185"/>
      <c r="BI55" s="44"/>
      <c r="BJ55" s="43"/>
      <c r="BK55" s="45"/>
      <c r="BL55" s="205"/>
      <c r="BM55" s="44"/>
      <c r="BN55" s="43"/>
      <c r="BO55" s="44"/>
      <c r="BP55" s="43"/>
      <c r="BQ55" s="44"/>
      <c r="BR55" s="43"/>
      <c r="BS55" s="44"/>
      <c r="BT55" s="43"/>
      <c r="BU55" s="44">
        <v>140010</v>
      </c>
      <c r="BV55" s="43">
        <v>2550</v>
      </c>
      <c r="BW55" s="44"/>
      <c r="BX55" s="43"/>
      <c r="BY55" s="44"/>
      <c r="BZ55" s="43"/>
      <c r="CA55" s="44"/>
      <c r="CB55" s="43"/>
      <c r="CC55" s="44"/>
      <c r="CD55" s="43"/>
      <c r="CE55" s="44"/>
      <c r="CF55" s="43"/>
      <c r="CG55" s="44"/>
      <c r="CH55" s="43"/>
      <c r="CI55" s="44"/>
      <c r="CJ55" s="43"/>
      <c r="CK55" s="44"/>
      <c r="CL55" s="43"/>
      <c r="CM55" s="44"/>
      <c r="CN55" s="43"/>
      <c r="CO55" s="44"/>
      <c r="CP55" s="43"/>
      <c r="CQ55" s="44"/>
      <c r="CR55" s="43"/>
      <c r="CS55" s="44"/>
      <c r="CT55" s="43"/>
      <c r="CU55" s="44"/>
      <c r="CV55" s="43"/>
      <c r="CW55" s="44"/>
      <c r="CX55" s="43"/>
      <c r="CY55" s="44">
        <v>7</v>
      </c>
      <c r="CZ55" s="43">
        <v>253</v>
      </c>
    </row>
    <row r="56" spans="1:104" ht="15.75" customHeight="1" x14ac:dyDescent="0.25">
      <c r="A56" s="9"/>
      <c r="B56" s="41" t="s">
        <v>148</v>
      </c>
      <c r="C56" s="108" t="s">
        <v>149</v>
      </c>
      <c r="D56" s="14"/>
      <c r="E56" s="27"/>
      <c r="F56" s="28"/>
      <c r="G56" s="32"/>
      <c r="H56" s="28"/>
      <c r="I56" s="32"/>
      <c r="J56" s="33"/>
      <c r="K56" s="27"/>
      <c r="L56" s="33"/>
      <c r="M56" s="32"/>
      <c r="N56" s="33"/>
      <c r="O56" s="27"/>
      <c r="P56" s="33"/>
      <c r="Q56" s="27"/>
      <c r="R56" s="33"/>
      <c r="S56" s="27"/>
      <c r="T56" s="33"/>
      <c r="U56" s="27"/>
      <c r="V56" s="33">
        <v>150051</v>
      </c>
      <c r="W56" s="27"/>
      <c r="X56" s="33"/>
      <c r="Y56" s="27"/>
      <c r="Z56" s="33"/>
      <c r="AA56" s="27"/>
      <c r="AB56" s="28"/>
      <c r="AC56" s="27"/>
      <c r="AD56" s="33"/>
      <c r="AE56" s="27"/>
      <c r="AF56" s="33"/>
      <c r="AG56" s="27"/>
      <c r="AH56" s="33"/>
      <c r="AI56" s="27"/>
      <c r="AJ56" s="33"/>
      <c r="AK56" s="27"/>
      <c r="AL56" s="33"/>
      <c r="AM56" s="27"/>
      <c r="AN56" s="33"/>
      <c r="AO56" s="27"/>
      <c r="AP56" s="33"/>
      <c r="AQ56" s="30"/>
      <c r="AR56" s="31"/>
      <c r="AS56" s="42"/>
      <c r="AT56" s="43"/>
      <c r="AU56" s="42"/>
      <c r="AV56" s="42"/>
      <c r="AW56" s="44"/>
      <c r="AX56" s="43"/>
      <c r="AY56" s="44">
        <v>2873774</v>
      </c>
      <c r="AZ56" s="43">
        <v>3730415</v>
      </c>
      <c r="BA56" s="44"/>
      <c r="BB56" s="43"/>
      <c r="BC56" s="44"/>
      <c r="BD56" s="43"/>
      <c r="BE56" s="44"/>
      <c r="BF56" s="43"/>
      <c r="BG56" s="45"/>
      <c r="BH56" s="185"/>
      <c r="BI56" s="44"/>
      <c r="BJ56" s="43"/>
      <c r="BK56" s="45"/>
      <c r="BL56" s="205"/>
      <c r="BM56" s="44"/>
      <c r="BN56" s="43"/>
      <c r="BO56" s="44"/>
      <c r="BP56" s="43"/>
      <c r="BQ56" s="44"/>
      <c r="BR56" s="43"/>
      <c r="BS56" s="44"/>
      <c r="BT56" s="43"/>
      <c r="BU56" s="44"/>
      <c r="BV56" s="43"/>
      <c r="BW56" s="44"/>
      <c r="BX56" s="43"/>
      <c r="BY56" s="44"/>
      <c r="BZ56" s="43"/>
      <c r="CA56" s="44"/>
      <c r="CB56" s="43"/>
      <c r="CC56" s="44"/>
      <c r="CD56" s="43"/>
      <c r="CE56" s="44"/>
      <c r="CF56" s="43"/>
      <c r="CG56" s="44"/>
      <c r="CH56" s="43"/>
      <c r="CI56" s="44"/>
      <c r="CJ56" s="43"/>
      <c r="CK56" s="44"/>
      <c r="CL56" s="43"/>
      <c r="CM56" s="44"/>
      <c r="CN56" s="43"/>
      <c r="CO56" s="44"/>
      <c r="CP56" s="43"/>
      <c r="CQ56" s="44"/>
      <c r="CR56" s="43"/>
      <c r="CS56" s="44"/>
      <c r="CT56" s="43"/>
      <c r="CU56" s="44"/>
      <c r="CV56" s="43"/>
      <c r="CW56" s="44"/>
      <c r="CX56" s="43"/>
      <c r="CY56" s="44"/>
      <c r="CZ56" s="43"/>
    </row>
    <row r="57" spans="1:104" ht="15.75" customHeight="1" x14ac:dyDescent="0.25">
      <c r="A57" s="9"/>
      <c r="B57" s="25" t="s">
        <v>150</v>
      </c>
      <c r="C57" s="1" t="s">
        <v>151</v>
      </c>
      <c r="D57" s="14"/>
      <c r="E57" s="27"/>
      <c r="F57" s="28"/>
      <c r="G57" s="32"/>
      <c r="H57" s="28"/>
      <c r="I57" s="32"/>
      <c r="J57" s="33"/>
      <c r="K57" s="27"/>
      <c r="L57" s="33"/>
      <c r="M57" s="32"/>
      <c r="N57" s="33"/>
      <c r="O57" s="27"/>
      <c r="P57" s="33"/>
      <c r="Q57" s="27"/>
      <c r="R57" s="33"/>
      <c r="S57" s="27"/>
      <c r="T57" s="33"/>
      <c r="U57" s="27"/>
      <c r="V57" s="33"/>
      <c r="W57" s="27"/>
      <c r="X57" s="33"/>
      <c r="Y57" s="27"/>
      <c r="Z57" s="33"/>
      <c r="AA57" s="27">
        <v>6715093</v>
      </c>
      <c r="AB57" s="28">
        <v>8088486</v>
      </c>
      <c r="AC57" s="27"/>
      <c r="AD57" s="33">
        <v>105325</v>
      </c>
      <c r="AE57" s="27">
        <v>5963990</v>
      </c>
      <c r="AF57" s="33">
        <v>6410768</v>
      </c>
      <c r="AG57" s="27"/>
      <c r="AH57" s="33">
        <v>253982</v>
      </c>
      <c r="AI57" s="27"/>
      <c r="AJ57" s="33"/>
      <c r="AK57" s="27">
        <v>81</v>
      </c>
      <c r="AL57" s="33">
        <v>81</v>
      </c>
      <c r="AM57" s="27"/>
      <c r="AN57" s="33"/>
      <c r="AO57" s="27"/>
      <c r="AP57" s="33">
        <v>1161137</v>
      </c>
      <c r="AQ57" s="30"/>
      <c r="AR57" s="31"/>
      <c r="AS57" s="42"/>
      <c r="AT57" s="43"/>
      <c r="AU57" s="42"/>
      <c r="AV57" s="42"/>
      <c r="AW57" s="44"/>
      <c r="AX57" s="43"/>
      <c r="AY57" s="44"/>
      <c r="AZ57" s="43"/>
      <c r="BA57" s="44">
        <v>3695032</v>
      </c>
      <c r="BB57" s="43">
        <v>4976727</v>
      </c>
      <c r="BC57" s="44"/>
      <c r="BD57" s="43"/>
      <c r="BE57" s="44"/>
      <c r="BF57" s="43"/>
      <c r="BG57" s="45"/>
      <c r="BH57" s="185"/>
      <c r="BI57" s="44"/>
      <c r="BJ57" s="43"/>
      <c r="BK57" s="45">
        <v>601500</v>
      </c>
      <c r="BL57" s="205">
        <v>176180</v>
      </c>
      <c r="BM57" s="44"/>
      <c r="BN57" s="43"/>
      <c r="BO57" s="44">
        <v>430710</v>
      </c>
      <c r="BP57" s="43"/>
      <c r="BQ57" s="44"/>
      <c r="BR57" s="43"/>
      <c r="BS57" s="44"/>
      <c r="BT57" s="43"/>
      <c r="BU57" s="44"/>
      <c r="BV57" s="43"/>
      <c r="BW57" s="44">
        <v>476560</v>
      </c>
      <c r="BX57" s="43">
        <v>483000</v>
      </c>
      <c r="BY57" s="44"/>
      <c r="BZ57" s="43"/>
      <c r="CA57" s="44"/>
      <c r="CB57" s="43"/>
      <c r="CC57" s="44"/>
      <c r="CD57" s="43"/>
      <c r="CE57" s="44"/>
      <c r="CF57" s="43"/>
      <c r="CG57" s="44"/>
      <c r="CH57" s="43"/>
      <c r="CI57" s="44"/>
      <c r="CJ57" s="43"/>
      <c r="CK57" s="44"/>
      <c r="CL57" s="43"/>
      <c r="CM57" s="44"/>
      <c r="CN57" s="43"/>
      <c r="CO57" s="44"/>
      <c r="CP57" s="43"/>
      <c r="CQ57" s="44"/>
      <c r="CR57" s="43"/>
      <c r="CS57" s="44"/>
      <c r="CT57" s="43"/>
      <c r="CU57" s="44"/>
      <c r="CV57" s="43"/>
      <c r="CW57" s="44"/>
      <c r="CX57" s="43"/>
      <c r="CY57" s="44"/>
      <c r="CZ57" s="43"/>
    </row>
    <row r="58" spans="1:104" ht="15.75" customHeight="1" thickBot="1" x14ac:dyDescent="0.3">
      <c r="A58" s="9"/>
      <c r="B58" s="25" t="s">
        <v>152</v>
      </c>
      <c r="C58" s="1" t="s">
        <v>153</v>
      </c>
      <c r="D58" s="14"/>
      <c r="E58" s="27">
        <v>1650695</v>
      </c>
      <c r="F58" s="28">
        <v>80730</v>
      </c>
      <c r="G58" s="32"/>
      <c r="H58" s="28"/>
      <c r="I58" s="32">
        <v>2122439</v>
      </c>
      <c r="J58" s="33">
        <v>2127082</v>
      </c>
      <c r="K58" s="27">
        <v>188673</v>
      </c>
      <c r="L58" s="33">
        <v>161904</v>
      </c>
      <c r="M58" s="32">
        <f>179674166-M45</f>
        <v>25802493</v>
      </c>
      <c r="N58" s="33">
        <f>378097163-N45</f>
        <v>28338650</v>
      </c>
      <c r="O58" s="27">
        <v>73101</v>
      </c>
      <c r="P58" s="33">
        <v>119232</v>
      </c>
      <c r="Q58" s="27">
        <v>142135</v>
      </c>
      <c r="R58" s="33">
        <v>80381</v>
      </c>
      <c r="S58" s="27"/>
      <c r="T58" s="33"/>
      <c r="U58" s="27">
        <v>151063</v>
      </c>
      <c r="V58" s="48">
        <v>78520</v>
      </c>
      <c r="W58" s="27">
        <v>6318726</v>
      </c>
      <c r="X58" s="33">
        <v>7308907</v>
      </c>
      <c r="Y58" s="47">
        <v>5259521</v>
      </c>
      <c r="Z58" s="33">
        <v>4292536</v>
      </c>
      <c r="AA58" s="27">
        <v>7785496</v>
      </c>
      <c r="AB58" s="28">
        <v>19</v>
      </c>
      <c r="AC58" s="27">
        <v>85252</v>
      </c>
      <c r="AD58" s="33">
        <v>68300</v>
      </c>
      <c r="AE58" s="27">
        <v>1045119</v>
      </c>
      <c r="AF58" s="33">
        <v>1187132</v>
      </c>
      <c r="AG58" s="27">
        <v>68994</v>
      </c>
      <c r="AH58" s="33">
        <v>72071</v>
      </c>
      <c r="AI58" s="47">
        <v>153638</v>
      </c>
      <c r="AJ58" s="33">
        <v>129618</v>
      </c>
      <c r="AK58" s="47">
        <v>1010953</v>
      </c>
      <c r="AL58" s="33">
        <v>876948</v>
      </c>
      <c r="AM58" s="47">
        <v>27925</v>
      </c>
      <c r="AN58" s="33">
        <v>22437</v>
      </c>
      <c r="AO58" s="47">
        <v>32230</v>
      </c>
      <c r="AP58" s="33">
        <v>69292</v>
      </c>
      <c r="AQ58" s="49">
        <v>88055</v>
      </c>
      <c r="AR58" s="109">
        <v>29607</v>
      </c>
      <c r="AS58" s="50">
        <v>94211</v>
      </c>
      <c r="AT58" s="83">
        <v>96086</v>
      </c>
      <c r="AU58" s="50">
        <v>807198</v>
      </c>
      <c r="AV58" s="50">
        <v>374393</v>
      </c>
      <c r="AW58" s="110">
        <v>298516</v>
      </c>
      <c r="AX58" s="83">
        <v>99241</v>
      </c>
      <c r="AY58" s="110">
        <v>3831896</v>
      </c>
      <c r="AZ58" s="83">
        <v>1565404</v>
      </c>
      <c r="BA58" s="110">
        <v>3223500583</v>
      </c>
      <c r="BB58" s="83">
        <v>3272660382</v>
      </c>
      <c r="BC58" s="110">
        <v>14957</v>
      </c>
      <c r="BD58" s="83"/>
      <c r="BE58" s="110">
        <v>4960737</v>
      </c>
      <c r="BF58" s="83">
        <v>6048139</v>
      </c>
      <c r="BG58" s="190">
        <v>134940</v>
      </c>
      <c r="BH58" s="185">
        <v>122625</v>
      </c>
      <c r="BI58" s="110">
        <v>3888802</v>
      </c>
      <c r="BJ58" s="83">
        <v>3504890</v>
      </c>
      <c r="BK58" s="190">
        <v>348710</v>
      </c>
      <c r="BL58" s="212">
        <v>298520</v>
      </c>
      <c r="BM58" s="110">
        <v>19140</v>
      </c>
      <c r="BN58" s="83">
        <v>31860</v>
      </c>
      <c r="BO58" s="110">
        <v>93952240</v>
      </c>
      <c r="BP58" s="83">
        <v>84551960</v>
      </c>
      <c r="BQ58" s="110">
        <v>15280</v>
      </c>
      <c r="BR58" s="83">
        <v>619310</v>
      </c>
      <c r="BS58" s="110"/>
      <c r="BT58" s="83"/>
      <c r="BU58" s="110">
        <v>3470990</v>
      </c>
      <c r="BV58" s="83">
        <v>178790</v>
      </c>
      <c r="BW58" s="110">
        <v>29510</v>
      </c>
      <c r="BX58" s="83">
        <v>187900</v>
      </c>
      <c r="BY58" s="110">
        <v>7070</v>
      </c>
      <c r="BZ58" s="83">
        <v>1470</v>
      </c>
      <c r="CA58" s="110">
        <v>8970</v>
      </c>
      <c r="CB58" s="83">
        <v>6370</v>
      </c>
      <c r="CC58" s="110">
        <v>5170</v>
      </c>
      <c r="CD58" s="83">
        <v>43350</v>
      </c>
      <c r="CE58" s="110">
        <v>28447</v>
      </c>
      <c r="CF58" s="83">
        <v>54111</v>
      </c>
      <c r="CG58" s="110"/>
      <c r="CH58" s="83"/>
      <c r="CI58" s="110">
        <v>206608</v>
      </c>
      <c r="CJ58" s="83">
        <v>172640</v>
      </c>
      <c r="CK58" s="110">
        <v>8777</v>
      </c>
      <c r="CL58" s="83">
        <v>9175</v>
      </c>
      <c r="CM58" s="110"/>
      <c r="CN58" s="83"/>
      <c r="CO58" s="110">
        <v>11432</v>
      </c>
      <c r="CP58" s="83">
        <v>13134</v>
      </c>
      <c r="CQ58" s="110">
        <v>19649</v>
      </c>
      <c r="CR58" s="83">
        <v>23124</v>
      </c>
      <c r="CS58" s="110">
        <v>48932</v>
      </c>
      <c r="CT58" s="83">
        <v>37142</v>
      </c>
      <c r="CU58" s="110">
        <v>286124</v>
      </c>
      <c r="CV58" s="83">
        <v>68217</v>
      </c>
      <c r="CW58" s="110">
        <v>129143</v>
      </c>
      <c r="CX58" s="83">
        <v>66160</v>
      </c>
      <c r="CY58" s="110">
        <v>149741</v>
      </c>
      <c r="CZ58" s="83">
        <v>179134</v>
      </c>
    </row>
    <row r="59" spans="1:104" ht="15.75" customHeight="1" thickBot="1" x14ac:dyDescent="0.3">
      <c r="A59" s="51"/>
      <c r="B59" s="111" t="s">
        <v>154</v>
      </c>
      <c r="C59" s="112" t="s">
        <v>155</v>
      </c>
      <c r="D59" s="54"/>
      <c r="E59" s="55">
        <f>SUM(E45:E58)</f>
        <v>16250886</v>
      </c>
      <c r="F59" s="56">
        <f t="shared" ref="F59:CG59" si="8">SUM(F44:F58)</f>
        <v>30027222</v>
      </c>
      <c r="G59" s="56">
        <f t="shared" si="8"/>
        <v>99933882</v>
      </c>
      <c r="H59" s="56">
        <f t="shared" si="8"/>
        <v>80165755</v>
      </c>
      <c r="I59" s="56">
        <f t="shared" si="8"/>
        <v>1365221065</v>
      </c>
      <c r="J59" s="56">
        <f t="shared" si="8"/>
        <v>153030146</v>
      </c>
      <c r="K59" s="56">
        <f t="shared" si="8"/>
        <v>6830336</v>
      </c>
      <c r="L59" s="56">
        <f t="shared" si="8"/>
        <v>1531457</v>
      </c>
      <c r="M59" s="56">
        <f t="shared" si="8"/>
        <v>179674166</v>
      </c>
      <c r="N59" s="56">
        <f t="shared" si="8"/>
        <v>378097163</v>
      </c>
      <c r="O59" s="56">
        <f t="shared" si="8"/>
        <v>3305657</v>
      </c>
      <c r="P59" s="56">
        <f t="shared" si="8"/>
        <v>4523781</v>
      </c>
      <c r="Q59" s="56">
        <f t="shared" si="8"/>
        <v>3251659</v>
      </c>
      <c r="R59" s="56">
        <f t="shared" si="8"/>
        <v>7115263</v>
      </c>
      <c r="S59" s="56">
        <f t="shared" si="8"/>
        <v>257270</v>
      </c>
      <c r="T59" s="56">
        <f t="shared" si="8"/>
        <v>432556</v>
      </c>
      <c r="U59" s="56">
        <f t="shared" si="8"/>
        <v>423116</v>
      </c>
      <c r="V59" s="56">
        <f t="shared" si="8"/>
        <v>398021</v>
      </c>
      <c r="W59" s="56">
        <f t="shared" si="8"/>
        <v>530524414</v>
      </c>
      <c r="X59" s="56">
        <f t="shared" si="8"/>
        <v>555413006</v>
      </c>
      <c r="Y59" s="56">
        <f t="shared" si="8"/>
        <v>339469003</v>
      </c>
      <c r="Z59" s="56">
        <f t="shared" si="8"/>
        <v>125311956</v>
      </c>
      <c r="AA59" s="56">
        <f t="shared" si="8"/>
        <v>66747988</v>
      </c>
      <c r="AB59" s="56">
        <f t="shared" si="8"/>
        <v>12627379</v>
      </c>
      <c r="AC59" s="56">
        <f t="shared" si="8"/>
        <v>1954048</v>
      </c>
      <c r="AD59" s="56">
        <f t="shared" si="8"/>
        <v>2013322</v>
      </c>
      <c r="AE59" s="56">
        <f t="shared" si="8"/>
        <v>96512235</v>
      </c>
      <c r="AF59" s="56">
        <f t="shared" si="8"/>
        <v>86803389</v>
      </c>
      <c r="AG59" s="56">
        <f t="shared" si="8"/>
        <v>14848980</v>
      </c>
      <c r="AH59" s="56">
        <f t="shared" si="8"/>
        <v>14407876</v>
      </c>
      <c r="AI59" s="56">
        <f t="shared" si="8"/>
        <v>3423440</v>
      </c>
      <c r="AJ59" s="56">
        <f t="shared" si="8"/>
        <v>2834538</v>
      </c>
      <c r="AK59" s="57">
        <f t="shared" si="8"/>
        <v>16979214</v>
      </c>
      <c r="AL59" s="56">
        <f t="shared" si="8"/>
        <v>16307818</v>
      </c>
      <c r="AM59" s="57">
        <f t="shared" si="8"/>
        <v>10320029</v>
      </c>
      <c r="AN59" s="56">
        <f t="shared" si="8"/>
        <v>10917758</v>
      </c>
      <c r="AO59" s="57">
        <f t="shared" si="8"/>
        <v>3662842</v>
      </c>
      <c r="AP59" s="113">
        <f t="shared" si="8"/>
        <v>7267984</v>
      </c>
      <c r="AQ59" s="114">
        <f t="shared" si="8"/>
        <v>3288846</v>
      </c>
      <c r="AR59" s="115">
        <f t="shared" si="8"/>
        <v>4283702</v>
      </c>
      <c r="AS59" s="116">
        <f t="shared" si="8"/>
        <v>4020694</v>
      </c>
      <c r="AT59" s="117">
        <f t="shared" si="8"/>
        <v>8797799</v>
      </c>
      <c r="AU59" s="116">
        <f t="shared" si="8"/>
        <v>3382542</v>
      </c>
      <c r="AV59" s="117">
        <f t="shared" si="8"/>
        <v>1140642</v>
      </c>
      <c r="AW59" s="116">
        <f t="shared" si="8"/>
        <v>206641309</v>
      </c>
      <c r="AX59" s="117">
        <f t="shared" si="8"/>
        <v>225201368</v>
      </c>
      <c r="AY59" s="116">
        <f t="shared" si="8"/>
        <v>286126265</v>
      </c>
      <c r="AZ59" s="117">
        <f t="shared" si="8"/>
        <v>226124389</v>
      </c>
      <c r="BA59" s="116">
        <f t="shared" si="8"/>
        <v>15220127579</v>
      </c>
      <c r="BB59" s="117">
        <f t="shared" si="8"/>
        <v>15162817986</v>
      </c>
      <c r="BC59" s="116">
        <f t="shared" si="8"/>
        <v>441688619</v>
      </c>
      <c r="BD59" s="117">
        <f t="shared" si="8"/>
        <v>406931634</v>
      </c>
      <c r="BE59" s="116">
        <f t="shared" si="8"/>
        <v>8012814</v>
      </c>
      <c r="BF59" s="117">
        <f t="shared" si="8"/>
        <v>9366256</v>
      </c>
      <c r="BG59" s="63">
        <f>SUM(BG44:BG58)</f>
        <v>3383444</v>
      </c>
      <c r="BH59" s="117">
        <f>SUM(BH44:BH58)</f>
        <v>5995024</v>
      </c>
      <c r="BI59" s="116">
        <f t="shared" si="8"/>
        <v>7489990</v>
      </c>
      <c r="BJ59" s="117">
        <f t="shared" si="8"/>
        <v>7404861</v>
      </c>
      <c r="BK59" s="63">
        <f>SUM(BK44:BK58)</f>
        <v>22127020</v>
      </c>
      <c r="BL59" s="213">
        <f t="shared" si="8"/>
        <v>19350560</v>
      </c>
      <c r="BM59" s="116">
        <f t="shared" si="8"/>
        <v>718230</v>
      </c>
      <c r="BN59" s="117">
        <f t="shared" si="8"/>
        <v>337230</v>
      </c>
      <c r="BO59" s="116">
        <f t="shared" si="8"/>
        <v>493369900</v>
      </c>
      <c r="BP59" s="117">
        <f t="shared" si="8"/>
        <v>667210010</v>
      </c>
      <c r="BQ59" s="116">
        <f t="shared" si="8"/>
        <v>82650</v>
      </c>
      <c r="BR59" s="117">
        <f t="shared" si="8"/>
        <v>640500</v>
      </c>
      <c r="BS59" s="116">
        <f t="shared" si="8"/>
        <v>1118350</v>
      </c>
      <c r="BT59" s="117">
        <f t="shared" si="8"/>
        <v>475720</v>
      </c>
      <c r="BU59" s="116">
        <f t="shared" si="8"/>
        <v>30987550</v>
      </c>
      <c r="BV59" s="117">
        <f t="shared" si="8"/>
        <v>17677800</v>
      </c>
      <c r="BW59" s="116">
        <f t="shared" si="8"/>
        <v>3299080</v>
      </c>
      <c r="BX59" s="117">
        <f t="shared" si="8"/>
        <v>5128000</v>
      </c>
      <c r="BY59" s="116">
        <f t="shared" si="8"/>
        <v>3601990</v>
      </c>
      <c r="BZ59" s="117">
        <f t="shared" si="8"/>
        <v>2050630</v>
      </c>
      <c r="CA59" s="116">
        <f t="shared" si="8"/>
        <v>338200</v>
      </c>
      <c r="CB59" s="117">
        <f t="shared" si="8"/>
        <v>208830</v>
      </c>
      <c r="CC59" s="116">
        <f t="shared" si="8"/>
        <v>3164140</v>
      </c>
      <c r="CD59" s="117">
        <f t="shared" si="8"/>
        <v>1775260</v>
      </c>
      <c r="CE59" s="116">
        <f t="shared" si="8"/>
        <v>352999</v>
      </c>
      <c r="CF59" s="117">
        <f t="shared" si="8"/>
        <v>407080</v>
      </c>
      <c r="CG59" s="117">
        <f t="shared" si="8"/>
        <v>53463</v>
      </c>
      <c r="CH59" s="117">
        <f>SUM(CH44:CH58)</f>
        <v>68374</v>
      </c>
      <c r="CI59" s="117">
        <f>SUM(CI44:CI58)</f>
        <v>692883</v>
      </c>
      <c r="CJ59" s="117">
        <f>SUM(CJ44:CJ58)</f>
        <v>728025</v>
      </c>
      <c r="CK59" s="116">
        <f t="shared" ref="CK59:CZ59" si="9">SUM(CK44:CK58)</f>
        <v>673402</v>
      </c>
      <c r="CL59" s="117">
        <f t="shared" si="9"/>
        <v>543965</v>
      </c>
      <c r="CM59" s="117">
        <f t="shared" si="9"/>
        <v>547573</v>
      </c>
      <c r="CN59" s="117">
        <f t="shared" si="9"/>
        <v>311368</v>
      </c>
      <c r="CO59" s="117">
        <f t="shared" si="9"/>
        <v>289370</v>
      </c>
      <c r="CP59" s="117">
        <f t="shared" si="9"/>
        <v>325425</v>
      </c>
      <c r="CQ59" s="117">
        <f t="shared" si="9"/>
        <v>355467</v>
      </c>
      <c r="CR59" s="117">
        <f t="shared" si="9"/>
        <v>342613</v>
      </c>
      <c r="CS59" s="117">
        <f t="shared" si="9"/>
        <v>540379</v>
      </c>
      <c r="CT59" s="117">
        <f t="shared" si="9"/>
        <v>497293</v>
      </c>
      <c r="CU59" s="117">
        <f t="shared" si="9"/>
        <v>5481191</v>
      </c>
      <c r="CV59" s="117">
        <f t="shared" si="9"/>
        <v>5824480</v>
      </c>
      <c r="CW59" s="117">
        <f t="shared" si="9"/>
        <v>1091669</v>
      </c>
      <c r="CX59" s="117">
        <f t="shared" si="9"/>
        <v>1852236</v>
      </c>
      <c r="CY59" s="117">
        <f t="shared" si="9"/>
        <v>10329434</v>
      </c>
      <c r="CZ59" s="117">
        <f t="shared" si="9"/>
        <v>16924706</v>
      </c>
    </row>
    <row r="60" spans="1:104" ht="15.75" customHeight="1" thickBot="1" x14ac:dyDescent="0.3">
      <c r="A60" s="51"/>
      <c r="B60" s="118" t="s">
        <v>156</v>
      </c>
      <c r="C60" s="119" t="s">
        <v>157</v>
      </c>
      <c r="D60" s="120"/>
      <c r="E60" s="121">
        <f>SUM(E59,E43,)</f>
        <v>16250886</v>
      </c>
      <c r="F60" s="121">
        <f t="shared" ref="F60:CG60" si="10">SUM(F59,F43)</f>
        <v>30027222</v>
      </c>
      <c r="G60" s="121">
        <f t="shared" si="10"/>
        <v>187384489</v>
      </c>
      <c r="H60" s="121">
        <f t="shared" si="10"/>
        <v>122884154</v>
      </c>
      <c r="I60" s="121">
        <f t="shared" si="10"/>
        <v>3227439456</v>
      </c>
      <c r="J60" s="121">
        <f t="shared" si="10"/>
        <v>3513501039</v>
      </c>
      <c r="K60" s="121">
        <f t="shared" si="10"/>
        <v>6830336</v>
      </c>
      <c r="L60" s="121">
        <f t="shared" si="10"/>
        <v>1531457</v>
      </c>
      <c r="M60" s="121">
        <f t="shared" si="10"/>
        <v>179674166</v>
      </c>
      <c r="N60" s="121">
        <f t="shared" si="10"/>
        <v>378097163</v>
      </c>
      <c r="O60" s="121">
        <f t="shared" si="10"/>
        <v>3305657</v>
      </c>
      <c r="P60" s="121">
        <f t="shared" si="10"/>
        <v>4523781</v>
      </c>
      <c r="Q60" s="121">
        <f t="shared" si="10"/>
        <v>223699397</v>
      </c>
      <c r="R60" s="121">
        <f t="shared" si="10"/>
        <v>256423137</v>
      </c>
      <c r="S60" s="121">
        <f t="shared" si="10"/>
        <v>360969</v>
      </c>
      <c r="T60" s="121">
        <f t="shared" si="10"/>
        <v>432556</v>
      </c>
      <c r="U60" s="121">
        <f t="shared" si="10"/>
        <v>442729</v>
      </c>
      <c r="V60" s="121">
        <f t="shared" si="10"/>
        <v>398021</v>
      </c>
      <c r="W60" s="121">
        <f t="shared" si="10"/>
        <v>680394588</v>
      </c>
      <c r="X60" s="121">
        <f t="shared" si="10"/>
        <v>659853418</v>
      </c>
      <c r="Y60" s="121">
        <f t="shared" si="10"/>
        <v>2851605333</v>
      </c>
      <c r="Z60" s="121">
        <f t="shared" si="10"/>
        <v>2009882206</v>
      </c>
      <c r="AA60" s="121">
        <f t="shared" si="10"/>
        <v>66834618</v>
      </c>
      <c r="AB60" s="121">
        <f t="shared" si="10"/>
        <v>12627379</v>
      </c>
      <c r="AC60" s="121">
        <f t="shared" si="10"/>
        <v>1954048</v>
      </c>
      <c r="AD60" s="121">
        <f t="shared" si="10"/>
        <v>2013322</v>
      </c>
      <c r="AE60" s="121">
        <f t="shared" si="10"/>
        <v>363130044</v>
      </c>
      <c r="AF60" s="121">
        <f t="shared" si="10"/>
        <v>342398476</v>
      </c>
      <c r="AG60" s="121">
        <f t="shared" si="10"/>
        <v>14848980</v>
      </c>
      <c r="AH60" s="121">
        <f t="shared" si="10"/>
        <v>14407876</v>
      </c>
      <c r="AI60" s="121">
        <f t="shared" si="10"/>
        <v>3423440</v>
      </c>
      <c r="AJ60" s="122">
        <f t="shared" si="10"/>
        <v>2834538</v>
      </c>
      <c r="AK60" s="123">
        <f t="shared" si="10"/>
        <v>17000419</v>
      </c>
      <c r="AL60" s="122">
        <f t="shared" si="10"/>
        <v>16329023</v>
      </c>
      <c r="AM60" s="123">
        <f t="shared" si="10"/>
        <v>10437001</v>
      </c>
      <c r="AN60" s="122">
        <f t="shared" si="10"/>
        <v>10917758</v>
      </c>
      <c r="AO60" s="123">
        <f t="shared" si="10"/>
        <v>4260260</v>
      </c>
      <c r="AP60" s="122">
        <f t="shared" si="10"/>
        <v>7865402</v>
      </c>
      <c r="AQ60" s="124">
        <f t="shared" si="10"/>
        <v>3288846</v>
      </c>
      <c r="AR60" s="125">
        <f t="shared" si="10"/>
        <v>4283702</v>
      </c>
      <c r="AS60" s="126">
        <f t="shared" si="10"/>
        <v>4057894</v>
      </c>
      <c r="AT60" s="127">
        <f t="shared" si="10"/>
        <v>8820768</v>
      </c>
      <c r="AU60" s="126">
        <f t="shared" si="10"/>
        <v>3382542</v>
      </c>
      <c r="AV60" s="127">
        <f t="shared" si="10"/>
        <v>1140642</v>
      </c>
      <c r="AW60" s="126">
        <f t="shared" si="10"/>
        <v>222633309</v>
      </c>
      <c r="AX60" s="127">
        <f t="shared" si="10"/>
        <v>238529368</v>
      </c>
      <c r="AY60" s="126">
        <f t="shared" si="10"/>
        <v>300131404</v>
      </c>
      <c r="AZ60" s="127">
        <f t="shared" si="10"/>
        <v>240205593</v>
      </c>
      <c r="BA60" s="126">
        <f t="shared" si="10"/>
        <v>15220127579</v>
      </c>
      <c r="BB60" s="127">
        <f t="shared" si="10"/>
        <v>15162817986</v>
      </c>
      <c r="BC60" s="126">
        <f t="shared" si="10"/>
        <v>441688619</v>
      </c>
      <c r="BD60" s="127">
        <f t="shared" si="10"/>
        <v>406931634</v>
      </c>
      <c r="BE60" s="126">
        <f t="shared" si="10"/>
        <v>8019264</v>
      </c>
      <c r="BF60" s="127">
        <f t="shared" si="10"/>
        <v>9372706</v>
      </c>
      <c r="BG60" s="198">
        <f>SUM(BG59,BG43)</f>
        <v>3383444</v>
      </c>
      <c r="BH60" s="199">
        <f>SUM(BH59,BH43)</f>
        <v>13967217</v>
      </c>
      <c r="BI60" s="126">
        <f t="shared" si="10"/>
        <v>7489990</v>
      </c>
      <c r="BJ60" s="127">
        <f t="shared" si="10"/>
        <v>7404861</v>
      </c>
      <c r="BK60" s="210">
        <f>SUM(BK59,BK43)</f>
        <v>22127020</v>
      </c>
      <c r="BL60" s="207">
        <f t="shared" si="10"/>
        <v>19350560</v>
      </c>
      <c r="BM60" s="126">
        <f t="shared" si="10"/>
        <v>730730</v>
      </c>
      <c r="BN60" s="127">
        <f t="shared" si="10"/>
        <v>349730</v>
      </c>
      <c r="BO60" s="126">
        <f t="shared" si="10"/>
        <v>734019330</v>
      </c>
      <c r="BP60" s="127">
        <f t="shared" si="10"/>
        <v>993949450</v>
      </c>
      <c r="BQ60" s="126">
        <f t="shared" si="10"/>
        <v>41182110</v>
      </c>
      <c r="BR60" s="127">
        <f t="shared" si="10"/>
        <v>41739960</v>
      </c>
      <c r="BS60" s="126">
        <f t="shared" si="10"/>
        <v>1118350</v>
      </c>
      <c r="BT60" s="127">
        <f t="shared" si="10"/>
        <v>475720</v>
      </c>
      <c r="BU60" s="126">
        <f t="shared" si="10"/>
        <v>30987550</v>
      </c>
      <c r="BV60" s="127">
        <f t="shared" si="10"/>
        <v>17677800</v>
      </c>
      <c r="BW60" s="126">
        <f t="shared" si="10"/>
        <v>3299080</v>
      </c>
      <c r="BX60" s="127">
        <f t="shared" si="10"/>
        <v>5128000</v>
      </c>
      <c r="BY60" s="126">
        <f t="shared" si="10"/>
        <v>3601990</v>
      </c>
      <c r="BZ60" s="127">
        <f t="shared" si="10"/>
        <v>2050630</v>
      </c>
      <c r="CA60" s="126">
        <f t="shared" si="10"/>
        <v>338200</v>
      </c>
      <c r="CB60" s="127">
        <f t="shared" si="10"/>
        <v>208830</v>
      </c>
      <c r="CC60" s="126">
        <f t="shared" si="10"/>
        <v>3164140</v>
      </c>
      <c r="CD60" s="127">
        <f t="shared" si="10"/>
        <v>1933470</v>
      </c>
      <c r="CE60" s="126">
        <f t="shared" si="10"/>
        <v>692300</v>
      </c>
      <c r="CF60" s="127">
        <f t="shared" si="10"/>
        <v>653587</v>
      </c>
      <c r="CG60" s="127">
        <f t="shared" si="10"/>
        <v>53463</v>
      </c>
      <c r="CH60" s="127">
        <f>SUM(CH59,CH43)</f>
        <v>68374</v>
      </c>
      <c r="CI60" s="127">
        <f>SUM(CI59,CI43)</f>
        <v>692883</v>
      </c>
      <c r="CJ60" s="127">
        <f>SUM(CJ59,CJ43)</f>
        <v>728025</v>
      </c>
      <c r="CK60" s="126">
        <f t="shared" ref="CK60:CZ60" si="11">SUM(CK59,CK43)</f>
        <v>674137</v>
      </c>
      <c r="CL60" s="127">
        <f t="shared" si="11"/>
        <v>544700</v>
      </c>
      <c r="CM60" s="127">
        <f t="shared" si="11"/>
        <v>677719</v>
      </c>
      <c r="CN60" s="127">
        <f t="shared" si="11"/>
        <v>322426</v>
      </c>
      <c r="CO60" s="127">
        <f t="shared" si="11"/>
        <v>300855</v>
      </c>
      <c r="CP60" s="127">
        <f t="shared" si="11"/>
        <v>336910</v>
      </c>
      <c r="CQ60" s="127">
        <f t="shared" si="11"/>
        <v>359152</v>
      </c>
      <c r="CR60" s="127">
        <f t="shared" si="11"/>
        <v>342613</v>
      </c>
      <c r="CS60" s="127">
        <f t="shared" si="11"/>
        <v>540379</v>
      </c>
      <c r="CT60" s="127">
        <f t="shared" si="11"/>
        <v>497293</v>
      </c>
      <c r="CU60" s="127">
        <f t="shared" si="11"/>
        <v>19349714</v>
      </c>
      <c r="CV60" s="127">
        <f t="shared" si="11"/>
        <v>22875265</v>
      </c>
      <c r="CW60" s="127">
        <f t="shared" si="11"/>
        <v>1252149</v>
      </c>
      <c r="CX60" s="127">
        <f t="shared" si="11"/>
        <v>2012716</v>
      </c>
      <c r="CY60" s="127">
        <f t="shared" si="11"/>
        <v>10329434</v>
      </c>
      <c r="CZ60" s="127">
        <f t="shared" si="11"/>
        <v>16924706</v>
      </c>
    </row>
    <row r="61" spans="1:104" ht="15.75" customHeight="1" x14ac:dyDescent="0.25">
      <c r="A61" s="9"/>
      <c r="B61" s="1"/>
      <c r="C61" s="1"/>
      <c r="D61" s="14"/>
      <c r="E61" s="27"/>
      <c r="F61" s="28"/>
      <c r="G61" s="32"/>
      <c r="H61" s="28"/>
      <c r="I61" s="32"/>
      <c r="J61" s="33"/>
      <c r="K61" s="27"/>
      <c r="L61" s="33"/>
      <c r="M61" s="34"/>
      <c r="N61" s="28"/>
      <c r="O61" s="32"/>
      <c r="P61" s="33"/>
      <c r="Q61" s="27"/>
      <c r="R61" s="33"/>
      <c r="S61" s="27"/>
      <c r="T61" s="81"/>
      <c r="U61" s="27"/>
      <c r="V61" s="33"/>
      <c r="W61" s="32"/>
      <c r="X61" s="33"/>
      <c r="Y61" s="27"/>
      <c r="Z61" s="33"/>
      <c r="AA61" s="27"/>
      <c r="AB61" s="28"/>
      <c r="AC61" s="27"/>
      <c r="AD61" s="33"/>
      <c r="AE61" s="27"/>
      <c r="AF61" s="33"/>
      <c r="AG61" s="27"/>
      <c r="AH61" s="33"/>
      <c r="AI61" s="34"/>
      <c r="AJ61" s="33"/>
      <c r="AK61" s="34"/>
      <c r="AL61" s="33"/>
      <c r="AM61" s="34"/>
      <c r="AN61" s="33"/>
      <c r="AO61" s="34"/>
      <c r="AP61" s="33"/>
      <c r="AQ61" s="35"/>
      <c r="AR61" s="36"/>
      <c r="AS61" s="37"/>
      <c r="AT61" s="38"/>
      <c r="AU61" s="37"/>
      <c r="AV61" s="37"/>
      <c r="AW61" s="39"/>
      <c r="AX61" s="38"/>
      <c r="AY61" s="39"/>
      <c r="AZ61" s="38"/>
      <c r="BA61" s="39"/>
      <c r="BB61" s="38"/>
      <c r="BC61" s="39"/>
      <c r="BD61" s="38"/>
      <c r="BE61" s="39"/>
      <c r="BF61" s="38"/>
      <c r="BG61" s="40"/>
      <c r="BH61" s="184"/>
      <c r="BI61" s="39"/>
      <c r="BJ61" s="38"/>
      <c r="BK61" s="40"/>
      <c r="BL61" s="208"/>
      <c r="BM61" s="39"/>
      <c r="BN61" s="38"/>
      <c r="BO61" s="39"/>
      <c r="BP61" s="38"/>
      <c r="BQ61" s="39"/>
      <c r="BR61" s="38"/>
      <c r="BS61" s="39"/>
      <c r="BT61" s="38"/>
      <c r="BU61" s="39"/>
      <c r="BV61" s="38"/>
      <c r="BW61" s="39"/>
      <c r="BX61" s="38"/>
      <c r="BY61" s="39"/>
      <c r="BZ61" s="38"/>
      <c r="CA61" s="39"/>
      <c r="CB61" s="38"/>
      <c r="CC61" s="39"/>
      <c r="CD61" s="38"/>
      <c r="CE61" s="39"/>
      <c r="CF61" s="38"/>
      <c r="CG61" s="39"/>
      <c r="CH61" s="38"/>
      <c r="CI61" s="39"/>
      <c r="CJ61" s="38"/>
      <c r="CK61" s="39"/>
      <c r="CL61" s="38"/>
      <c r="CM61" s="39"/>
      <c r="CN61" s="38"/>
      <c r="CO61" s="39"/>
      <c r="CP61" s="38"/>
      <c r="CQ61" s="39"/>
      <c r="CR61" s="38"/>
      <c r="CS61" s="39"/>
      <c r="CT61" s="38"/>
      <c r="CU61" s="39"/>
      <c r="CV61" s="38"/>
      <c r="CW61" s="39"/>
      <c r="CX61" s="38"/>
      <c r="CY61" s="39"/>
      <c r="CZ61" s="38"/>
    </row>
    <row r="62" spans="1:104" ht="15.75" customHeight="1" x14ac:dyDescent="0.25">
      <c r="A62" s="9"/>
      <c r="B62" s="128" t="s">
        <v>158</v>
      </c>
      <c r="C62" s="1" t="s">
        <v>159</v>
      </c>
      <c r="D62" s="14"/>
      <c r="E62" s="27">
        <v>111820414</v>
      </c>
      <c r="F62" s="28">
        <v>111820414</v>
      </c>
      <c r="G62" s="32">
        <v>37450040</v>
      </c>
      <c r="H62" s="28">
        <v>37450040</v>
      </c>
      <c r="I62" s="32">
        <v>953612718</v>
      </c>
      <c r="J62" s="33">
        <v>953612718</v>
      </c>
      <c r="K62" s="27">
        <v>59839214</v>
      </c>
      <c r="L62" s="33">
        <v>59839214</v>
      </c>
      <c r="M62" s="27">
        <v>1304026164</v>
      </c>
      <c r="N62" s="28">
        <v>1088370552</v>
      </c>
      <c r="O62" s="32">
        <v>9707480</v>
      </c>
      <c r="P62" s="33">
        <v>9707480</v>
      </c>
      <c r="Q62" s="27">
        <v>30998657</v>
      </c>
      <c r="R62" s="33">
        <v>30998657</v>
      </c>
      <c r="S62" s="27">
        <f>20128719</f>
        <v>20128719</v>
      </c>
      <c r="T62" s="33">
        <f>20128719</f>
        <v>20128719</v>
      </c>
      <c r="U62" s="27">
        <v>14096655</v>
      </c>
      <c r="V62" s="33">
        <v>13282177</v>
      </c>
      <c r="W62" s="32">
        <v>2129814169</v>
      </c>
      <c r="X62" s="33">
        <v>2129814169</v>
      </c>
      <c r="Y62" s="27">
        <v>17082652</v>
      </c>
      <c r="Z62" s="33">
        <v>17082652</v>
      </c>
      <c r="AA62" s="27">
        <v>116790219</v>
      </c>
      <c r="AB62" s="28">
        <v>116790219</v>
      </c>
      <c r="AC62" s="27">
        <v>5701574</v>
      </c>
      <c r="AD62" s="33">
        <v>5701574</v>
      </c>
      <c r="AE62" s="27">
        <v>439088471</v>
      </c>
      <c r="AF62" s="33">
        <v>439088471</v>
      </c>
      <c r="AG62" s="27">
        <v>3339613</v>
      </c>
      <c r="AH62" s="33">
        <v>3339613</v>
      </c>
      <c r="AI62" s="27">
        <v>43534106</v>
      </c>
      <c r="AJ62" s="33">
        <v>43534106</v>
      </c>
      <c r="AK62" s="27">
        <v>73296270</v>
      </c>
      <c r="AL62" s="33">
        <v>75362969</v>
      </c>
      <c r="AM62" s="27">
        <v>643370</v>
      </c>
      <c r="AN62" s="33">
        <v>643370</v>
      </c>
      <c r="AO62" s="27">
        <v>64287885</v>
      </c>
      <c r="AP62" s="33">
        <v>64287885</v>
      </c>
      <c r="AQ62" s="30">
        <v>9538256</v>
      </c>
      <c r="AR62" s="31">
        <v>9538256</v>
      </c>
      <c r="AS62" s="42">
        <v>25719355</v>
      </c>
      <c r="AT62" s="43">
        <v>27169320</v>
      </c>
      <c r="AU62" s="42">
        <v>3590420</v>
      </c>
      <c r="AV62" s="42">
        <v>3590420</v>
      </c>
      <c r="AW62" s="44">
        <v>100173696</v>
      </c>
      <c r="AX62" s="43">
        <v>100173696</v>
      </c>
      <c r="AY62" s="44">
        <v>55882440</v>
      </c>
      <c r="AZ62" s="43">
        <v>55882440</v>
      </c>
      <c r="BA62" s="44">
        <v>1430416931</v>
      </c>
      <c r="BB62" s="43">
        <v>1430416931</v>
      </c>
      <c r="BC62" s="44">
        <v>100000</v>
      </c>
      <c r="BD62" s="43">
        <v>100000</v>
      </c>
      <c r="BE62" s="44">
        <v>22732633</v>
      </c>
      <c r="BF62" s="43">
        <v>22732633</v>
      </c>
      <c r="BG62" s="45">
        <v>30773626</v>
      </c>
      <c r="BH62" s="186">
        <v>30773626</v>
      </c>
      <c r="BI62" s="44">
        <v>20000</v>
      </c>
      <c r="BJ62" s="43">
        <v>20000</v>
      </c>
      <c r="BK62" s="45">
        <v>67350320</v>
      </c>
      <c r="BL62" s="205">
        <v>67350320</v>
      </c>
      <c r="BM62" s="44">
        <v>2444550</v>
      </c>
      <c r="BN62" s="43">
        <v>2444550</v>
      </c>
      <c r="BO62" s="44">
        <v>149836240</v>
      </c>
      <c r="BP62" s="43">
        <v>149836240</v>
      </c>
      <c r="BQ62" s="44">
        <v>3630190</v>
      </c>
      <c r="BR62" s="43">
        <v>3630190</v>
      </c>
      <c r="BS62" s="44">
        <v>1851660</v>
      </c>
      <c r="BT62" s="43">
        <v>1851650</v>
      </c>
      <c r="BU62" s="44">
        <v>18636440</v>
      </c>
      <c r="BV62" s="43">
        <v>21024310</v>
      </c>
      <c r="BW62" s="44">
        <v>42355380</v>
      </c>
      <c r="BX62" s="43">
        <v>42355380</v>
      </c>
      <c r="BY62" s="44">
        <v>54250220</v>
      </c>
      <c r="BZ62" s="43">
        <v>54250210</v>
      </c>
      <c r="CA62" s="44">
        <v>158088470</v>
      </c>
      <c r="CB62" s="43">
        <v>158088470</v>
      </c>
      <c r="CC62" s="44">
        <v>10255400</v>
      </c>
      <c r="CD62" s="43">
        <v>10255400</v>
      </c>
      <c r="CE62" s="44">
        <v>4433394</v>
      </c>
      <c r="CF62" s="43">
        <v>4433394</v>
      </c>
      <c r="CG62" s="44">
        <v>188736</v>
      </c>
      <c r="CH62" s="43">
        <v>188736</v>
      </c>
      <c r="CI62" s="44">
        <v>1220590</v>
      </c>
      <c r="CJ62" s="43">
        <v>1220590</v>
      </c>
      <c r="CK62" s="44">
        <v>107713</v>
      </c>
      <c r="CL62" s="43">
        <v>107713</v>
      </c>
      <c r="CM62" s="44">
        <v>2430153</v>
      </c>
      <c r="CN62" s="43">
        <v>2305207</v>
      </c>
      <c r="CO62" s="44">
        <v>672215</v>
      </c>
      <c r="CP62" s="43">
        <v>672215</v>
      </c>
      <c r="CQ62" s="44">
        <v>515785</v>
      </c>
      <c r="CR62" s="43">
        <v>515785</v>
      </c>
      <c r="CS62" s="44">
        <v>7385411</v>
      </c>
      <c r="CT62" s="43">
        <v>7385411</v>
      </c>
      <c r="CU62" s="44">
        <v>20837001</v>
      </c>
      <c r="CV62" s="44">
        <v>20837001</v>
      </c>
      <c r="CW62" s="44">
        <v>3038321</v>
      </c>
      <c r="CX62" s="43">
        <v>3093700</v>
      </c>
      <c r="CY62" s="44">
        <v>37794395</v>
      </c>
      <c r="CZ62" s="44">
        <v>37794395</v>
      </c>
    </row>
    <row r="63" spans="1:104" ht="15.75" customHeight="1" x14ac:dyDescent="0.25">
      <c r="A63" s="9"/>
      <c r="B63" s="128" t="s">
        <v>160</v>
      </c>
      <c r="C63" s="1" t="s">
        <v>161</v>
      </c>
      <c r="D63" s="14"/>
      <c r="E63" s="27">
        <v>235242345</v>
      </c>
      <c r="F63" s="28">
        <v>246802042</v>
      </c>
      <c r="G63" s="32">
        <v>37450040</v>
      </c>
      <c r="H63" s="28">
        <v>37450040</v>
      </c>
      <c r="I63" s="32"/>
      <c r="J63" s="33"/>
      <c r="K63" s="27"/>
      <c r="L63" s="33"/>
      <c r="M63" s="27"/>
      <c r="N63" s="28"/>
      <c r="O63" s="32">
        <v>12914259</v>
      </c>
      <c r="P63" s="33">
        <v>12871826</v>
      </c>
      <c r="Q63" s="27">
        <v>498457</v>
      </c>
      <c r="R63" s="33">
        <v>425676</v>
      </c>
      <c r="S63" s="27"/>
      <c r="T63" s="33">
        <v>9558892</v>
      </c>
      <c r="U63" s="27">
        <v>1842240</v>
      </c>
      <c r="V63" s="33">
        <v>280053</v>
      </c>
      <c r="W63" s="32">
        <v>192434881</v>
      </c>
      <c r="X63" s="33">
        <v>793408311</v>
      </c>
      <c r="Y63" s="27">
        <v>497366228</v>
      </c>
      <c r="Z63" s="33">
        <v>398786646</v>
      </c>
      <c r="AA63" s="27">
        <v>17886285</v>
      </c>
      <c r="AB63" s="28">
        <v>0</v>
      </c>
      <c r="AC63" s="27">
        <v>2091866</v>
      </c>
      <c r="AD63" s="33">
        <v>4633055</v>
      </c>
      <c r="AE63" s="27">
        <v>7905893</v>
      </c>
      <c r="AF63" s="33">
        <v>8371483</v>
      </c>
      <c r="AG63" s="27"/>
      <c r="AH63" s="33"/>
      <c r="AI63" s="27"/>
      <c r="AJ63" s="33"/>
      <c r="AK63" s="27"/>
      <c r="AL63" s="33"/>
      <c r="AM63" s="27"/>
      <c r="AN63" s="33"/>
      <c r="AO63" s="27">
        <v>8406856</v>
      </c>
      <c r="AP63" s="33">
        <v>5482444</v>
      </c>
      <c r="AQ63" s="30">
        <v>22700</v>
      </c>
      <c r="AR63" s="31"/>
      <c r="AS63" s="42">
        <v>5065695</v>
      </c>
      <c r="AT63" s="43">
        <v>4792984</v>
      </c>
      <c r="AU63" s="42"/>
      <c r="AV63" s="42"/>
      <c r="AW63" s="44">
        <v>160009453</v>
      </c>
      <c r="AX63" s="43">
        <v>156972984</v>
      </c>
      <c r="AY63" s="44">
        <v>343266</v>
      </c>
      <c r="AZ63" s="43">
        <v>128173</v>
      </c>
      <c r="BA63" s="44">
        <v>423749</v>
      </c>
      <c r="BB63" s="43">
        <v>351735</v>
      </c>
      <c r="BC63" s="44"/>
      <c r="BD63" s="43"/>
      <c r="BE63" s="44"/>
      <c r="BF63" s="43"/>
      <c r="BG63" s="45">
        <v>8484741</v>
      </c>
      <c r="BH63" s="185"/>
      <c r="BI63" s="44"/>
      <c r="BJ63" s="43"/>
      <c r="BK63" s="45"/>
      <c r="BL63" s="205"/>
      <c r="BM63" s="44"/>
      <c r="BN63" s="43"/>
      <c r="BO63" s="44"/>
      <c r="BP63" s="43"/>
      <c r="BQ63" s="44"/>
      <c r="BR63" s="43"/>
      <c r="BS63" s="44"/>
      <c r="BT63" s="43"/>
      <c r="BU63" s="44"/>
      <c r="BV63" s="43"/>
      <c r="BW63" s="44"/>
      <c r="BX63" s="43"/>
      <c r="BY63" s="44">
        <v>4176400</v>
      </c>
      <c r="BZ63" s="43">
        <v>4176400</v>
      </c>
      <c r="CA63" s="44"/>
      <c r="CB63" s="43"/>
      <c r="CC63" s="44">
        <v>8364500</v>
      </c>
      <c r="CD63" s="43">
        <v>8364500</v>
      </c>
      <c r="CE63" s="44">
        <v>9905728</v>
      </c>
      <c r="CF63" s="43">
        <v>9368549</v>
      </c>
      <c r="CG63" s="44">
        <v>21387</v>
      </c>
      <c r="CH63" s="43">
        <v>21387</v>
      </c>
      <c r="CI63" s="44"/>
      <c r="CJ63" s="43"/>
      <c r="CK63" s="44"/>
      <c r="CL63" s="43"/>
      <c r="CM63" s="44"/>
      <c r="CN63" s="43"/>
      <c r="CO63" s="44"/>
      <c r="CP63" s="43"/>
      <c r="CQ63" s="44"/>
      <c r="CR63" s="43"/>
      <c r="CS63" s="44"/>
      <c r="CT63" s="43"/>
      <c r="CU63" s="44">
        <v>103066</v>
      </c>
      <c r="CV63" s="43">
        <v>103066</v>
      </c>
      <c r="CW63" s="44">
        <v>25479100</v>
      </c>
      <c r="CX63" s="44">
        <v>25479100</v>
      </c>
      <c r="CY63" s="44">
        <v>6109340</v>
      </c>
      <c r="CZ63" s="44">
        <v>6109340</v>
      </c>
    </row>
    <row r="64" spans="1:104" ht="15.75" customHeight="1" x14ac:dyDescent="0.25">
      <c r="A64" s="9"/>
      <c r="B64" s="128" t="s">
        <v>162</v>
      </c>
      <c r="C64" s="1" t="s">
        <v>163</v>
      </c>
      <c r="D64" s="14"/>
      <c r="E64" s="27"/>
      <c r="F64" s="28"/>
      <c r="G64" s="32">
        <v>5617506</v>
      </c>
      <c r="H64" s="28">
        <v>5617506</v>
      </c>
      <c r="I64" s="32">
        <v>693564166</v>
      </c>
      <c r="J64" s="28">
        <v>693564166</v>
      </c>
      <c r="K64" s="27">
        <v>25199536</v>
      </c>
      <c r="L64" s="33">
        <v>25180373</v>
      </c>
      <c r="M64" s="27"/>
      <c r="N64" s="28"/>
      <c r="O64" s="32">
        <v>271514</v>
      </c>
      <c r="P64" s="33">
        <v>271514</v>
      </c>
      <c r="Q64" s="27">
        <v>1988</v>
      </c>
      <c r="R64" s="33">
        <v>581558</v>
      </c>
      <c r="S64" s="27">
        <f>2401852</f>
        <v>2401852</v>
      </c>
      <c r="T64" s="33">
        <f>2436949</f>
        <v>2436949</v>
      </c>
      <c r="U64" s="27">
        <v>7685095</v>
      </c>
      <c r="V64" s="33">
        <v>7839167</v>
      </c>
      <c r="W64" s="32"/>
      <c r="X64" s="33"/>
      <c r="Y64" s="27">
        <v>5344605698</v>
      </c>
      <c r="Z64" s="33">
        <v>6593138183</v>
      </c>
      <c r="AA64" s="27">
        <v>103878287</v>
      </c>
      <c r="AB64" s="28">
        <v>94799362</v>
      </c>
      <c r="AC64" s="27">
        <v>9449369</v>
      </c>
      <c r="AD64" s="33">
        <v>9715967</v>
      </c>
      <c r="AE64" s="27">
        <v>21589063</v>
      </c>
      <c r="AF64" s="33">
        <v>21589063</v>
      </c>
      <c r="AG64" s="27">
        <v>1931939</v>
      </c>
      <c r="AH64" s="33">
        <v>2165404</v>
      </c>
      <c r="AI64" s="27">
        <v>7311366</v>
      </c>
      <c r="AJ64" s="33">
        <v>7311366</v>
      </c>
      <c r="AK64" s="27">
        <v>358372</v>
      </c>
      <c r="AL64" s="33">
        <v>2399173</v>
      </c>
      <c r="AM64" s="27">
        <v>555583</v>
      </c>
      <c r="AN64" s="33">
        <v>658649</v>
      </c>
      <c r="AO64" s="27">
        <v>1278814</v>
      </c>
      <c r="AP64" s="33">
        <v>1281527</v>
      </c>
      <c r="AQ64" s="30">
        <v>142858</v>
      </c>
      <c r="AR64" s="31">
        <v>161915</v>
      </c>
      <c r="AS64" s="42">
        <v>335340</v>
      </c>
      <c r="AT64" s="43">
        <v>337651</v>
      </c>
      <c r="AU64" s="42">
        <v>256944061</v>
      </c>
      <c r="AV64" s="42">
        <v>285955365</v>
      </c>
      <c r="AW64" s="44">
        <v>64971235</v>
      </c>
      <c r="AX64" s="43">
        <v>64944015</v>
      </c>
      <c r="AY64" s="44">
        <v>4861085</v>
      </c>
      <c r="AZ64" s="43">
        <v>8116453</v>
      </c>
      <c r="BA64" s="44"/>
      <c r="BB64" s="43"/>
      <c r="BC64" s="44">
        <v>12495532</v>
      </c>
      <c r="BD64" s="43">
        <v>11255391</v>
      </c>
      <c r="BE64" s="44">
        <v>2947515</v>
      </c>
      <c r="BF64" s="43">
        <v>5434418</v>
      </c>
      <c r="BG64" s="45">
        <v>8947687</v>
      </c>
      <c r="BH64" s="186">
        <v>8947687</v>
      </c>
      <c r="BI64" s="44">
        <v>1137551</v>
      </c>
      <c r="BJ64" s="43">
        <v>1203249</v>
      </c>
      <c r="BK64" s="45">
        <v>44128340</v>
      </c>
      <c r="BL64" s="205">
        <v>44211200</v>
      </c>
      <c r="BM64" s="44">
        <v>2888380</v>
      </c>
      <c r="BN64" s="43">
        <v>2734700</v>
      </c>
      <c r="BO64" s="44">
        <v>13766200</v>
      </c>
      <c r="BP64" s="43">
        <v>13766200</v>
      </c>
      <c r="BQ64" s="44">
        <v>1451160</v>
      </c>
      <c r="BR64" s="43">
        <v>1846090</v>
      </c>
      <c r="BS64" s="44">
        <v>497080</v>
      </c>
      <c r="BT64" s="43">
        <v>509770</v>
      </c>
      <c r="BU64" s="44">
        <v>342030</v>
      </c>
      <c r="BV64" s="43">
        <v>342030</v>
      </c>
      <c r="BW64" s="44">
        <v>17854100</v>
      </c>
      <c r="BX64" s="43">
        <v>18438710</v>
      </c>
      <c r="BY64" s="44">
        <v>14606410</v>
      </c>
      <c r="BZ64" s="43">
        <v>21260670</v>
      </c>
      <c r="CA64" s="44"/>
      <c r="CB64" s="43"/>
      <c r="CC64" s="44">
        <v>446540</v>
      </c>
      <c r="CD64" s="43">
        <v>500390</v>
      </c>
      <c r="CE64" s="44">
        <v>663089</v>
      </c>
      <c r="CF64" s="43">
        <v>663089</v>
      </c>
      <c r="CG64" s="44">
        <v>2001145</v>
      </c>
      <c r="CH64" s="43">
        <v>2150363</v>
      </c>
      <c r="CI64" s="44">
        <v>18812</v>
      </c>
      <c r="CJ64" s="43">
        <v>20249</v>
      </c>
      <c r="CK64" s="44">
        <v>33757</v>
      </c>
      <c r="CL64" s="43">
        <v>36382</v>
      </c>
      <c r="CM64" s="44">
        <v>1181410</v>
      </c>
      <c r="CN64" s="43">
        <v>1201590</v>
      </c>
      <c r="CO64" s="44">
        <v>29033</v>
      </c>
      <c r="CP64" s="43">
        <v>29033</v>
      </c>
      <c r="CQ64" s="44"/>
      <c r="CR64" s="43"/>
      <c r="CS64" s="44"/>
      <c r="CT64" s="43"/>
      <c r="CU64" s="44">
        <v>9846011</v>
      </c>
      <c r="CV64" s="43">
        <v>9944676</v>
      </c>
      <c r="CW64" s="44"/>
      <c r="CX64" s="43"/>
      <c r="CY64" s="44">
        <v>2978157</v>
      </c>
      <c r="CZ64" s="43">
        <v>2985395</v>
      </c>
    </row>
    <row r="65" spans="1:104" ht="15.75" customHeight="1" x14ac:dyDescent="0.25">
      <c r="A65" s="9"/>
      <c r="B65" s="128" t="s">
        <v>164</v>
      </c>
      <c r="C65" t="s">
        <v>165</v>
      </c>
      <c r="D65" s="14"/>
      <c r="E65" s="27"/>
      <c r="F65" s="28"/>
      <c r="G65" s="32">
        <v>195466175</v>
      </c>
      <c r="H65" s="28">
        <v>195466175</v>
      </c>
      <c r="I65" s="32"/>
      <c r="J65" s="33"/>
      <c r="K65" s="27"/>
      <c r="L65" s="33"/>
      <c r="M65" s="27"/>
      <c r="N65" s="28"/>
      <c r="O65" s="32"/>
      <c r="P65" s="33"/>
      <c r="Q65" s="27"/>
      <c r="R65" s="33"/>
      <c r="S65" s="27"/>
      <c r="T65" s="33"/>
      <c r="U65" s="27"/>
      <c r="V65" s="33"/>
      <c r="W65" s="32"/>
      <c r="X65" s="33"/>
      <c r="Y65" s="27"/>
      <c r="Z65" s="33"/>
      <c r="AA65" s="27"/>
      <c r="AB65" s="28"/>
      <c r="AC65" s="27"/>
      <c r="AD65" s="33"/>
      <c r="AE65" s="27"/>
      <c r="AF65" s="33"/>
      <c r="AG65" s="27"/>
      <c r="AH65" s="33"/>
      <c r="AI65" s="27"/>
      <c r="AJ65" s="33"/>
      <c r="AK65" s="27"/>
      <c r="AL65" s="33"/>
      <c r="AM65" s="27"/>
      <c r="AN65" s="33"/>
      <c r="AO65" s="27"/>
      <c r="AP65" s="33"/>
      <c r="AQ65" s="30"/>
      <c r="AR65" s="31"/>
      <c r="AS65" s="42"/>
      <c r="AT65" s="43"/>
      <c r="AU65" s="42"/>
      <c r="AV65" s="42"/>
      <c r="AW65" s="44"/>
      <c r="AX65" s="43"/>
      <c r="AY65" s="44"/>
      <c r="AZ65" s="43"/>
      <c r="BA65" s="44"/>
      <c r="BB65" s="43"/>
      <c r="BC65" s="44"/>
      <c r="BD65" s="43"/>
      <c r="BE65" s="44"/>
      <c r="BF65" s="43"/>
      <c r="BG65" s="45"/>
      <c r="BH65" s="185"/>
      <c r="BI65" s="44"/>
      <c r="BJ65" s="43"/>
      <c r="BK65" s="45"/>
      <c r="BL65" s="205"/>
      <c r="BM65" s="44"/>
      <c r="BN65" s="43"/>
      <c r="BO65" s="44"/>
      <c r="BP65" s="43"/>
      <c r="BQ65" s="44"/>
      <c r="BR65" s="43"/>
      <c r="BS65" s="44"/>
      <c r="BT65" s="43"/>
      <c r="BU65" s="44"/>
      <c r="BV65" s="43"/>
      <c r="BW65" s="44"/>
      <c r="BX65" s="43"/>
      <c r="BY65" s="44"/>
      <c r="BZ65" s="43"/>
      <c r="CA65" s="44"/>
      <c r="CB65" s="43"/>
      <c r="CC65" s="44"/>
      <c r="CD65" s="43"/>
      <c r="CE65" s="44"/>
      <c r="CF65" s="43"/>
      <c r="CG65" s="44"/>
      <c r="CH65" s="43"/>
      <c r="CI65" s="44"/>
      <c r="CJ65" s="43"/>
      <c r="CK65" s="44"/>
      <c r="CL65" s="43"/>
      <c r="CM65" s="44"/>
      <c r="CN65" s="43"/>
      <c r="CO65" s="44"/>
      <c r="CP65" s="43"/>
      <c r="CQ65" s="44"/>
      <c r="CR65" s="43"/>
      <c r="CS65" s="44"/>
      <c r="CT65" s="43"/>
      <c r="CU65" s="44"/>
      <c r="CV65" s="43"/>
      <c r="CW65" s="44"/>
      <c r="CX65" s="43"/>
      <c r="CY65" s="44"/>
      <c r="CZ65" s="43"/>
    </row>
    <row r="66" spans="1:104" ht="15.75" customHeight="1" x14ac:dyDescent="0.25">
      <c r="A66" s="9"/>
      <c r="B66" s="128" t="s">
        <v>166</v>
      </c>
      <c r="C66" s="1" t="s">
        <v>167</v>
      </c>
      <c r="D66" s="14"/>
      <c r="E66" s="27"/>
      <c r="F66" s="28"/>
      <c r="G66" s="32">
        <v>15391585</v>
      </c>
      <c r="H66" s="28">
        <v>16895433</v>
      </c>
      <c r="I66" s="32"/>
      <c r="J66" s="33"/>
      <c r="K66" s="27"/>
      <c r="L66" s="33"/>
      <c r="M66" s="27"/>
      <c r="N66" s="28"/>
      <c r="O66" s="32"/>
      <c r="P66" s="33"/>
      <c r="Q66" s="27"/>
      <c r="R66" s="33"/>
      <c r="S66" s="27"/>
      <c r="T66" s="33"/>
      <c r="U66" s="27"/>
      <c r="V66" s="33"/>
      <c r="W66" s="32"/>
      <c r="X66" s="33"/>
      <c r="Y66" s="27"/>
      <c r="Z66" s="33"/>
      <c r="AA66" s="27"/>
      <c r="AB66" s="28"/>
      <c r="AC66" s="27"/>
      <c r="AD66" s="33"/>
      <c r="AE66" s="27"/>
      <c r="AF66" s="33"/>
      <c r="AG66" s="27"/>
      <c r="AH66" s="33"/>
      <c r="AI66" s="27"/>
      <c r="AJ66" s="33"/>
      <c r="AK66" s="27"/>
      <c r="AL66" s="33"/>
      <c r="AM66" s="27"/>
      <c r="AN66" s="33"/>
      <c r="AO66" s="27"/>
      <c r="AP66" s="33"/>
      <c r="AQ66" s="30"/>
      <c r="AR66" s="31"/>
      <c r="AS66" s="42"/>
      <c r="AT66" s="43"/>
      <c r="AU66" s="42"/>
      <c r="AV66" s="42"/>
      <c r="AW66" s="44"/>
      <c r="AX66" s="43"/>
      <c r="AY66" s="44"/>
      <c r="AZ66" s="43"/>
      <c r="BA66" s="44"/>
      <c r="BB66" s="43"/>
      <c r="BC66" s="44"/>
      <c r="BD66" s="43"/>
      <c r="BE66" s="44"/>
      <c r="BF66" s="43"/>
      <c r="BG66" s="45"/>
      <c r="BH66" s="185"/>
      <c r="BI66" s="44"/>
      <c r="BJ66" s="43"/>
      <c r="BK66" s="45"/>
      <c r="BL66" s="205"/>
      <c r="BM66" s="44"/>
      <c r="BN66" s="43"/>
      <c r="BO66" s="44"/>
      <c r="BP66" s="43"/>
      <c r="BQ66" s="44"/>
      <c r="BR66" s="43"/>
      <c r="BS66" s="44"/>
      <c r="BT66" s="43"/>
      <c r="BU66" s="44"/>
      <c r="BV66" s="43"/>
      <c r="BW66" s="44"/>
      <c r="BX66" s="43"/>
      <c r="BY66" s="44"/>
      <c r="BZ66" s="43"/>
      <c r="CA66" s="44"/>
      <c r="CB66" s="43"/>
      <c r="CC66" s="44"/>
      <c r="CD66" s="43"/>
      <c r="CE66" s="44"/>
      <c r="CF66" s="43"/>
      <c r="CG66" s="44"/>
      <c r="CH66" s="43"/>
      <c r="CI66" s="44"/>
      <c r="CJ66" s="43"/>
      <c r="CK66" s="44"/>
      <c r="CL66" s="43"/>
      <c r="CM66" s="44"/>
      <c r="CN66" s="43"/>
      <c r="CO66" s="44"/>
      <c r="CP66" s="43"/>
      <c r="CQ66" s="44"/>
      <c r="CR66" s="43"/>
      <c r="CS66" s="44"/>
      <c r="CT66" s="43"/>
      <c r="CU66" s="44"/>
      <c r="CV66" s="43"/>
      <c r="CW66" s="44"/>
      <c r="CX66" s="43"/>
      <c r="CY66" s="44"/>
      <c r="CZ66" s="43"/>
    </row>
    <row r="67" spans="1:104" ht="20.25" customHeight="1" x14ac:dyDescent="0.25">
      <c r="A67" s="9"/>
      <c r="B67" s="25" t="s">
        <v>168</v>
      </c>
      <c r="C67" s="108" t="s">
        <v>169</v>
      </c>
      <c r="D67" s="14"/>
      <c r="E67" s="27"/>
      <c r="F67" s="28"/>
      <c r="G67" s="32">
        <v>-162618</v>
      </c>
      <c r="H67" s="28">
        <v>-371313</v>
      </c>
      <c r="I67" s="32"/>
      <c r="J67" s="33">
        <v>2534</v>
      </c>
      <c r="K67" s="27"/>
      <c r="L67" s="33">
        <v>-96197</v>
      </c>
      <c r="M67" s="27"/>
      <c r="N67" s="28"/>
      <c r="O67" s="32"/>
      <c r="P67" s="33"/>
      <c r="Q67" s="27"/>
      <c r="R67" s="33">
        <v>-20033</v>
      </c>
      <c r="S67" s="27"/>
      <c r="T67" s="33"/>
      <c r="U67" s="27"/>
      <c r="V67" s="33">
        <v>-889902</v>
      </c>
      <c r="W67" s="32"/>
      <c r="X67" s="33">
        <v>-3224793</v>
      </c>
      <c r="Y67" s="27"/>
      <c r="Z67" s="33"/>
      <c r="AA67" s="27"/>
      <c r="AB67" s="28">
        <v>939018</v>
      </c>
      <c r="AC67" s="27"/>
      <c r="AD67" s="33"/>
      <c r="AE67" s="27"/>
      <c r="AF67" s="33">
        <v>11176</v>
      </c>
      <c r="AG67" s="27"/>
      <c r="AH67" s="33">
        <v>1111734</v>
      </c>
      <c r="AI67" s="27"/>
      <c r="AJ67" s="33">
        <v>3000</v>
      </c>
      <c r="AK67" s="27"/>
      <c r="AL67" s="33">
        <v>-519088</v>
      </c>
      <c r="AM67" s="27"/>
      <c r="AN67" s="33"/>
      <c r="AO67" s="27"/>
      <c r="AP67" s="33">
        <v>-1803754</v>
      </c>
      <c r="AQ67" s="30"/>
      <c r="AR67" s="31">
        <v>-17073</v>
      </c>
      <c r="AS67" s="42"/>
      <c r="AT67" s="43">
        <v>-7210</v>
      </c>
      <c r="AU67" s="42"/>
      <c r="AV67" s="42"/>
      <c r="AW67" s="44"/>
      <c r="AX67" s="43">
        <v>-66526</v>
      </c>
      <c r="AY67" s="44"/>
      <c r="AZ67" s="43">
        <v>-491233</v>
      </c>
      <c r="BA67" s="44"/>
      <c r="BB67" s="43">
        <v>743642</v>
      </c>
      <c r="BC67" s="44"/>
      <c r="BD67" s="43"/>
      <c r="BE67" s="44"/>
      <c r="BF67" s="43">
        <v>511543</v>
      </c>
      <c r="BG67" s="45">
        <v>-280229</v>
      </c>
      <c r="BH67" s="185">
        <v>6102570</v>
      </c>
      <c r="BI67" s="44"/>
      <c r="BJ67" s="43"/>
      <c r="BK67" s="45">
        <v>-322390</v>
      </c>
      <c r="BL67" s="205"/>
      <c r="BM67" s="44"/>
      <c r="BN67" s="43"/>
      <c r="BO67" s="44"/>
      <c r="BP67" s="43">
        <v>316070</v>
      </c>
      <c r="BQ67" s="44"/>
      <c r="BR67" s="43"/>
      <c r="BS67" s="44"/>
      <c r="BT67" s="43"/>
      <c r="BU67" s="44"/>
      <c r="BV67" s="43"/>
      <c r="BW67" s="44"/>
      <c r="BX67" s="43"/>
      <c r="BY67" s="44"/>
      <c r="BZ67" s="43"/>
      <c r="CA67" s="44"/>
      <c r="CB67" s="43"/>
      <c r="CC67" s="44"/>
      <c r="CD67" s="43"/>
      <c r="CE67" s="44"/>
      <c r="CF67" s="43"/>
      <c r="CG67" s="44"/>
      <c r="CH67" s="43"/>
      <c r="CI67" s="44"/>
      <c r="CJ67" s="43"/>
      <c r="CK67" s="44"/>
      <c r="CL67" s="43"/>
      <c r="CM67" s="44"/>
      <c r="CN67" s="43"/>
      <c r="CO67" s="44"/>
      <c r="CP67" s="43"/>
      <c r="CQ67" s="44"/>
      <c r="CR67" s="43">
        <v>10975</v>
      </c>
      <c r="CS67" s="44"/>
      <c r="CT67" s="43"/>
      <c r="CU67" s="44"/>
      <c r="CV67" s="43">
        <v>13298</v>
      </c>
      <c r="CW67" s="44"/>
      <c r="CX67" s="43">
        <v>-55379</v>
      </c>
      <c r="CY67" s="44"/>
      <c r="CZ67" s="43">
        <v>316807</v>
      </c>
    </row>
    <row r="68" spans="1:104" ht="31.5" customHeight="1" x14ac:dyDescent="0.25">
      <c r="A68" s="9"/>
      <c r="B68" s="41" t="s">
        <v>170</v>
      </c>
      <c r="C68" s="108" t="s">
        <v>171</v>
      </c>
      <c r="D68" s="14"/>
      <c r="E68" s="27">
        <v>20163538</v>
      </c>
      <c r="F68" s="28"/>
      <c r="G68" s="32">
        <v>2000587</v>
      </c>
      <c r="H68" s="28">
        <v>-8904654</v>
      </c>
      <c r="I68" s="32">
        <v>159933618</v>
      </c>
      <c r="J68" s="33">
        <v>159933618</v>
      </c>
      <c r="K68" s="27">
        <v>-22940117</v>
      </c>
      <c r="L68" s="33">
        <v>-22998312</v>
      </c>
      <c r="M68" s="27"/>
      <c r="N68" s="28"/>
      <c r="O68" s="32">
        <v>-9039787</v>
      </c>
      <c r="P68" s="33">
        <v>-9039787</v>
      </c>
      <c r="Q68" s="27">
        <v>9381942</v>
      </c>
      <c r="R68" s="33">
        <v>8501545</v>
      </c>
      <c r="S68" s="27">
        <v>545405</v>
      </c>
      <c r="T68" s="33"/>
      <c r="U68" s="27">
        <v>2068600</v>
      </c>
      <c r="V68" s="33">
        <v>1717872</v>
      </c>
      <c r="W68" s="32">
        <v>-235787964</v>
      </c>
      <c r="X68" s="33">
        <v>-43305119</v>
      </c>
      <c r="Y68" s="27">
        <v>2111367</v>
      </c>
      <c r="Z68" s="33"/>
      <c r="AA68" s="27">
        <v>-21739984</v>
      </c>
      <c r="AB68" s="28"/>
      <c r="AC68" s="27">
        <v>2650521</v>
      </c>
      <c r="AD68" s="33">
        <v>4082</v>
      </c>
      <c r="AE68" s="27">
        <v>652357188</v>
      </c>
      <c r="AF68" s="33">
        <v>652357188</v>
      </c>
      <c r="AG68" s="27">
        <v>821951</v>
      </c>
      <c r="AH68" s="33">
        <v>67775</v>
      </c>
      <c r="AI68" s="27">
        <v>-1405567</v>
      </c>
      <c r="AJ68" s="33">
        <v>-1405567</v>
      </c>
      <c r="AK68" s="27">
        <v>1173819</v>
      </c>
      <c r="AL68" s="33">
        <v>-1679889</v>
      </c>
      <c r="AM68" s="27">
        <v>275489</v>
      </c>
      <c r="AN68" s="33"/>
      <c r="AO68" s="27">
        <v>-7015177</v>
      </c>
      <c r="AP68" s="33">
        <v>-7045085</v>
      </c>
      <c r="AQ68" s="30">
        <v>26510</v>
      </c>
      <c r="AR68" s="31"/>
      <c r="AS68" s="42"/>
      <c r="AT68" s="43">
        <v>-648786</v>
      </c>
      <c r="AU68" s="42">
        <v>62634264</v>
      </c>
      <c r="AV68" s="42"/>
      <c r="AW68" s="44">
        <v>-8103173</v>
      </c>
      <c r="AX68" s="43">
        <v>-8103173</v>
      </c>
      <c r="AY68" s="44">
        <v>5304146</v>
      </c>
      <c r="AZ68" s="43">
        <v>741074</v>
      </c>
      <c r="BA68" s="44">
        <v>-4826615331</v>
      </c>
      <c r="BB68" s="43">
        <v>-4826615331</v>
      </c>
      <c r="BC68" s="44">
        <v>4652631</v>
      </c>
      <c r="BD68" s="43">
        <v>4652631</v>
      </c>
      <c r="BE68" s="44">
        <v>4594150</v>
      </c>
      <c r="BF68" s="43">
        <v>49637</v>
      </c>
      <c r="BG68" s="45">
        <v>-18266665</v>
      </c>
      <c r="BH68" s="185">
        <v>-19224309</v>
      </c>
      <c r="BI68" s="44">
        <v>29225537</v>
      </c>
      <c r="BJ68" s="43">
        <v>28146382</v>
      </c>
      <c r="BK68" s="45">
        <v>-290</v>
      </c>
      <c r="BL68" s="205">
        <v>1222860</v>
      </c>
      <c r="BM68" s="44">
        <v>1282980</v>
      </c>
      <c r="BN68" s="43"/>
      <c r="BO68" s="44">
        <v>170897130</v>
      </c>
      <c r="BP68" s="43">
        <v>170298220</v>
      </c>
      <c r="BQ68" s="44">
        <v>904650</v>
      </c>
      <c r="BR68" s="43"/>
      <c r="BS68" s="44">
        <v>253860</v>
      </c>
      <c r="BT68" s="43"/>
      <c r="BU68" s="44">
        <v>355030</v>
      </c>
      <c r="BV68" s="43">
        <v>-1375610</v>
      </c>
      <c r="BW68" s="44">
        <v>1169230</v>
      </c>
      <c r="BX68" s="43"/>
      <c r="BY68" s="44">
        <v>14782210</v>
      </c>
      <c r="BZ68" s="43">
        <v>-171830</v>
      </c>
      <c r="CA68" s="44">
        <v>-1036360</v>
      </c>
      <c r="CB68" s="43">
        <v>-1036360</v>
      </c>
      <c r="CC68" s="44">
        <v>2012140</v>
      </c>
      <c r="CD68" s="43">
        <v>1419720</v>
      </c>
      <c r="CE68" s="44">
        <v>-862436</v>
      </c>
      <c r="CF68" s="43">
        <v>-880045</v>
      </c>
      <c r="CG68" s="44">
        <v>274325</v>
      </c>
      <c r="CH68" s="43"/>
      <c r="CI68" s="44">
        <v>-37757</v>
      </c>
      <c r="CJ68" s="43">
        <v>-53567</v>
      </c>
      <c r="CK68" s="44">
        <v>140025</v>
      </c>
      <c r="CL68" s="43">
        <v>134776</v>
      </c>
      <c r="CM68" s="44">
        <v>26386</v>
      </c>
      <c r="CN68" s="43">
        <v>124946</v>
      </c>
      <c r="CO68" s="44">
        <v>-109428</v>
      </c>
      <c r="CP68" s="43">
        <v>-109428</v>
      </c>
      <c r="CQ68" s="44">
        <v>-142212</v>
      </c>
      <c r="CR68" s="43">
        <v>-142212</v>
      </c>
      <c r="CS68" s="44">
        <v>-7262762</v>
      </c>
      <c r="CT68" s="43">
        <v>-7262762</v>
      </c>
      <c r="CU68" s="44">
        <v>-12660282</v>
      </c>
      <c r="CV68" s="43">
        <v>-12758947</v>
      </c>
      <c r="CW68" s="44">
        <v>-684270</v>
      </c>
      <c r="CX68" s="44">
        <v>-684270</v>
      </c>
      <c r="CY68" s="44">
        <v>-2022425</v>
      </c>
      <c r="CZ68" s="43">
        <v>-2423142</v>
      </c>
    </row>
    <row r="69" spans="1:104" ht="31.5" customHeight="1" x14ac:dyDescent="0.25">
      <c r="A69" s="9"/>
      <c r="B69" s="41" t="s">
        <v>172</v>
      </c>
      <c r="C69" s="108" t="s">
        <v>173</v>
      </c>
      <c r="D69" s="14"/>
      <c r="E69" s="27"/>
      <c r="F69" s="28"/>
      <c r="G69" s="32"/>
      <c r="H69" s="28">
        <v>16603105</v>
      </c>
      <c r="I69" s="32"/>
      <c r="J69" s="33"/>
      <c r="K69" s="27"/>
      <c r="L69" s="33"/>
      <c r="M69" s="27"/>
      <c r="N69" s="28"/>
      <c r="O69" s="32"/>
      <c r="P69" s="33"/>
      <c r="Q69" s="27"/>
      <c r="R69" s="33"/>
      <c r="S69" s="27"/>
      <c r="T69" s="33"/>
      <c r="U69" s="27"/>
      <c r="V69" s="33"/>
      <c r="W69" s="32"/>
      <c r="X69" s="33"/>
      <c r="Y69" s="27"/>
      <c r="Z69" s="33"/>
      <c r="AA69" s="27"/>
      <c r="AB69" s="28"/>
      <c r="AC69" s="27"/>
      <c r="AD69" s="33"/>
      <c r="AE69" s="27"/>
      <c r="AF69" s="33"/>
      <c r="AG69" s="27"/>
      <c r="AH69" s="33"/>
      <c r="AI69" s="27"/>
      <c r="AJ69" s="33"/>
      <c r="AK69" s="27"/>
      <c r="AL69" s="33"/>
      <c r="AM69" s="27"/>
      <c r="AN69" s="33"/>
      <c r="AO69" s="27"/>
      <c r="AP69" s="33"/>
      <c r="AQ69" s="30"/>
      <c r="AR69" s="31"/>
      <c r="AS69" s="42">
        <v>31212</v>
      </c>
      <c r="AT69" s="43">
        <v>3472</v>
      </c>
      <c r="AU69" s="42"/>
      <c r="AV69" s="42">
        <v>41275361</v>
      </c>
      <c r="AW69" s="44"/>
      <c r="AX69" s="43"/>
      <c r="AY69" s="44"/>
      <c r="AZ69" s="43"/>
      <c r="BA69" s="44"/>
      <c r="BB69" s="43"/>
      <c r="BC69" s="45"/>
      <c r="BD69" s="43"/>
      <c r="BE69" s="44"/>
      <c r="BF69" s="43"/>
      <c r="BG69" s="45"/>
      <c r="BH69" s="185"/>
      <c r="BI69" s="44"/>
      <c r="BJ69" s="43"/>
      <c r="BK69" s="45"/>
      <c r="BL69" s="205"/>
      <c r="BM69" s="44"/>
      <c r="BN69" s="43"/>
      <c r="BO69" s="44"/>
      <c r="BP69" s="43"/>
      <c r="BQ69" s="44"/>
      <c r="BR69" s="43"/>
      <c r="BS69" s="44"/>
      <c r="BT69" s="43"/>
      <c r="BU69" s="44"/>
      <c r="BV69" s="43"/>
      <c r="BW69" s="44"/>
      <c r="BX69" s="43"/>
      <c r="BY69" s="44"/>
      <c r="BZ69" s="43"/>
      <c r="CA69" s="44"/>
      <c r="CB69" s="43"/>
      <c r="CC69" s="44"/>
      <c r="CD69" s="43"/>
      <c r="CE69" s="44"/>
      <c r="CF69" s="43"/>
      <c r="CG69" s="44"/>
      <c r="CH69" s="43"/>
      <c r="CI69" s="44"/>
      <c r="CJ69" s="43"/>
      <c r="CK69" s="44"/>
      <c r="CL69" s="43"/>
      <c r="CM69" s="44"/>
      <c r="CN69" s="43"/>
      <c r="CO69" s="44"/>
      <c r="CP69" s="43"/>
      <c r="CQ69" s="44"/>
      <c r="CR69" s="43"/>
      <c r="CS69" s="44"/>
      <c r="CT69" s="43"/>
      <c r="CU69" s="44"/>
      <c r="CV69" s="43"/>
      <c r="CW69" s="44"/>
      <c r="CX69" s="43"/>
      <c r="CY69" s="44"/>
      <c r="CZ69" s="43"/>
    </row>
    <row r="70" spans="1:104" ht="31.5" customHeight="1" x14ac:dyDescent="0.25">
      <c r="A70" s="9"/>
      <c r="B70" s="41" t="s">
        <v>175</v>
      </c>
      <c r="C70" s="129" t="s">
        <v>177</v>
      </c>
      <c r="D70" s="14"/>
      <c r="E70" s="27"/>
      <c r="F70" s="28"/>
      <c r="G70" s="32"/>
      <c r="H70" s="28">
        <v>10905241</v>
      </c>
      <c r="I70" s="32"/>
      <c r="J70" s="33"/>
      <c r="K70" s="27"/>
      <c r="L70" s="33"/>
      <c r="M70" s="27"/>
      <c r="N70" s="28"/>
      <c r="O70" s="32"/>
      <c r="P70" s="33"/>
      <c r="Q70" s="27"/>
      <c r="R70" s="33"/>
      <c r="S70" s="27"/>
      <c r="T70" s="33"/>
      <c r="U70" s="27"/>
      <c r="V70" s="33"/>
      <c r="W70" s="32"/>
      <c r="X70" s="33"/>
      <c r="Y70" s="27"/>
      <c r="Z70" s="33"/>
      <c r="AA70" s="27"/>
      <c r="AB70" s="28"/>
      <c r="AC70" s="27"/>
      <c r="AD70" s="33"/>
      <c r="AE70" s="27"/>
      <c r="AF70" s="33"/>
      <c r="AG70" s="27"/>
      <c r="AH70" s="33"/>
      <c r="AI70" s="27"/>
      <c r="AJ70" s="33"/>
      <c r="AK70" s="27"/>
      <c r="AL70" s="33"/>
      <c r="AM70" s="27"/>
      <c r="AN70" s="33"/>
      <c r="AO70" s="27"/>
      <c r="AP70" s="33"/>
      <c r="AQ70" s="30"/>
      <c r="AR70" s="31"/>
      <c r="AS70" s="42"/>
      <c r="AT70" s="43"/>
      <c r="AU70" s="42"/>
      <c r="AV70" s="42"/>
      <c r="AW70" s="44"/>
      <c r="AX70" s="43"/>
      <c r="AY70" s="44"/>
      <c r="AZ70" s="43"/>
      <c r="BA70" s="44"/>
      <c r="BB70" s="43"/>
      <c r="BC70" s="44"/>
      <c r="BD70" s="43"/>
      <c r="BE70" s="44"/>
      <c r="BF70" s="43"/>
      <c r="BG70" s="45"/>
      <c r="BH70" s="185"/>
      <c r="BI70" s="44"/>
      <c r="BJ70" s="43"/>
      <c r="BK70" s="45"/>
      <c r="BL70" s="205"/>
      <c r="BM70" s="44"/>
      <c r="BN70" s="43"/>
      <c r="BO70" s="44"/>
      <c r="BP70" s="43"/>
      <c r="BQ70" s="44"/>
      <c r="BR70" s="43"/>
      <c r="BS70" s="44"/>
      <c r="BT70" s="43"/>
      <c r="BU70" s="44"/>
      <c r="BV70" s="43"/>
      <c r="BW70" s="44"/>
      <c r="BX70" s="43"/>
      <c r="BY70" s="44"/>
      <c r="BZ70" s="43"/>
      <c r="CA70" s="44"/>
      <c r="CB70" s="43"/>
      <c r="CC70" s="44"/>
      <c r="CD70" s="43"/>
      <c r="CE70" s="44"/>
      <c r="CF70" s="43"/>
      <c r="CG70" s="44"/>
      <c r="CH70" s="43"/>
      <c r="CI70" s="44"/>
      <c r="CJ70" s="43"/>
      <c r="CK70" s="44"/>
      <c r="CL70" s="43"/>
      <c r="CM70" s="44"/>
      <c r="CN70" s="43"/>
      <c r="CO70" s="44"/>
      <c r="CP70" s="43"/>
      <c r="CQ70" s="44"/>
      <c r="CR70" s="43"/>
      <c r="CS70" s="44"/>
      <c r="CT70" s="43"/>
      <c r="CU70" s="44"/>
      <c r="CV70" s="43"/>
      <c r="CW70" s="44"/>
      <c r="CX70" s="43"/>
      <c r="CY70" s="44"/>
      <c r="CZ70" s="43"/>
    </row>
    <row r="71" spans="1:104" ht="15.75" customHeight="1" x14ac:dyDescent="0.25">
      <c r="A71" s="9"/>
      <c r="B71" s="128" t="s">
        <v>178</v>
      </c>
      <c r="C71" s="108" t="s">
        <v>179</v>
      </c>
      <c r="D71" s="14"/>
      <c r="E71" s="27"/>
      <c r="F71" s="28">
        <v>14897365</v>
      </c>
      <c r="G71" s="32">
        <v>2251296</v>
      </c>
      <c r="H71" s="28"/>
      <c r="I71" s="32"/>
      <c r="J71" s="33"/>
      <c r="K71" s="27"/>
      <c r="L71" s="33">
        <v>-1541822</v>
      </c>
      <c r="M71" s="27"/>
      <c r="N71" s="28"/>
      <c r="O71" s="32"/>
      <c r="P71" s="33">
        <v>-3870512</v>
      </c>
      <c r="Q71" s="27"/>
      <c r="R71" s="33">
        <v>2605656</v>
      </c>
      <c r="S71" s="27"/>
      <c r="T71" s="33">
        <v>1665377</v>
      </c>
      <c r="U71" s="27"/>
      <c r="V71" s="33">
        <v>393346</v>
      </c>
      <c r="W71" s="32"/>
      <c r="X71" s="33">
        <v>-53236870</v>
      </c>
      <c r="Y71" s="27"/>
      <c r="Z71" s="33">
        <v>930014</v>
      </c>
      <c r="AA71" s="27"/>
      <c r="AB71" s="28">
        <v>2830639</v>
      </c>
      <c r="AC71" s="27"/>
      <c r="AD71" s="33">
        <v>2392537</v>
      </c>
      <c r="AE71" s="27"/>
      <c r="AF71" s="33">
        <v>5612450</v>
      </c>
      <c r="AG71" s="27"/>
      <c r="AH71" s="33">
        <v>1239772</v>
      </c>
      <c r="AI71" s="27"/>
      <c r="AJ71" s="33">
        <v>2267194</v>
      </c>
      <c r="AK71" s="27"/>
      <c r="AL71" s="33">
        <v>1690209</v>
      </c>
      <c r="AM71" s="27"/>
      <c r="AN71" s="33">
        <v>129871</v>
      </c>
      <c r="AO71" s="27"/>
      <c r="AP71" s="33">
        <v>832420</v>
      </c>
      <c r="AQ71" s="30"/>
      <c r="AR71" s="31">
        <v>1347952</v>
      </c>
      <c r="AS71" s="42"/>
      <c r="AT71" s="43"/>
      <c r="AU71" s="42"/>
      <c r="AV71" s="42"/>
      <c r="AW71" s="44"/>
      <c r="AX71" s="43">
        <v>-62298017</v>
      </c>
      <c r="AY71" s="44"/>
      <c r="AZ71" s="43">
        <v>10511513</v>
      </c>
      <c r="BA71" s="44"/>
      <c r="BB71" s="43">
        <v>262366383</v>
      </c>
      <c r="BC71" s="44"/>
      <c r="BD71" s="43">
        <v>20073343</v>
      </c>
      <c r="BE71" s="44"/>
      <c r="BF71" s="43">
        <v>5814687</v>
      </c>
      <c r="BG71" s="45">
        <v>-677415</v>
      </c>
      <c r="BH71" s="185">
        <v>85512</v>
      </c>
      <c r="BI71" s="44"/>
      <c r="BJ71" s="43">
        <v>979631</v>
      </c>
      <c r="BK71" s="45">
        <f>1201940</f>
        <v>1201940</v>
      </c>
      <c r="BL71" s="205"/>
      <c r="BM71" s="44"/>
      <c r="BN71" s="43">
        <v>921150</v>
      </c>
      <c r="BO71" s="44"/>
      <c r="BP71" s="43">
        <v>-226907780</v>
      </c>
      <c r="BQ71" s="44"/>
      <c r="BR71" s="43">
        <v>2532620</v>
      </c>
      <c r="BS71" s="44"/>
      <c r="BT71" s="43">
        <v>437710</v>
      </c>
      <c r="BU71" s="44"/>
      <c r="BV71" s="43">
        <v>495780</v>
      </c>
      <c r="BW71" s="44"/>
      <c r="BX71" s="43">
        <v>1230330</v>
      </c>
      <c r="BY71" s="44"/>
      <c r="BZ71" s="43">
        <v>26998290</v>
      </c>
      <c r="CA71" s="44"/>
      <c r="CB71" s="43">
        <v>-771730</v>
      </c>
      <c r="CC71" s="44"/>
      <c r="CD71" s="43">
        <v>431730</v>
      </c>
      <c r="CE71" s="44"/>
      <c r="CF71" s="43">
        <v>62738</v>
      </c>
      <c r="CG71" s="44"/>
      <c r="CH71" s="43">
        <v>-121496</v>
      </c>
      <c r="CI71" s="44"/>
      <c r="CJ71" s="43">
        <v>87791</v>
      </c>
      <c r="CK71" s="44"/>
      <c r="CL71" s="43">
        <v>18024</v>
      </c>
      <c r="CM71" s="44"/>
      <c r="CN71" s="43">
        <v>-422031</v>
      </c>
      <c r="CO71" s="44"/>
      <c r="CP71" s="43">
        <v>52377</v>
      </c>
      <c r="CQ71" s="44"/>
      <c r="CR71" s="43">
        <v>-3197</v>
      </c>
      <c r="CS71" s="44"/>
      <c r="CT71" s="43">
        <v>18528</v>
      </c>
      <c r="CU71" s="44"/>
      <c r="CV71" s="43">
        <v>1145819</v>
      </c>
      <c r="CW71" s="44"/>
      <c r="CX71" s="43">
        <v>-787685</v>
      </c>
      <c r="CY71" s="44"/>
      <c r="CZ71" s="43">
        <v>240325</v>
      </c>
    </row>
    <row r="72" spans="1:104" ht="15.75" customHeight="1" thickBot="1" x14ac:dyDescent="0.3">
      <c r="A72" s="9"/>
      <c r="B72" s="130" t="s">
        <v>180</v>
      </c>
      <c r="C72" s="1" t="s">
        <v>181</v>
      </c>
      <c r="D72" s="14"/>
      <c r="E72" s="27"/>
      <c r="F72" s="28">
        <v>-333637</v>
      </c>
      <c r="G72" s="32"/>
      <c r="H72" s="28"/>
      <c r="I72" s="32"/>
      <c r="J72" s="33">
        <v>-71979650</v>
      </c>
      <c r="K72" s="27"/>
      <c r="L72" s="33"/>
      <c r="M72" s="27"/>
      <c r="N72" s="82"/>
      <c r="O72" s="32"/>
      <c r="P72" s="33"/>
      <c r="Q72" s="27"/>
      <c r="R72" s="33"/>
      <c r="S72" s="27"/>
      <c r="T72" s="33"/>
      <c r="U72" s="27"/>
      <c r="V72" s="33"/>
      <c r="W72" s="32"/>
      <c r="X72" s="33"/>
      <c r="Y72" s="27"/>
      <c r="Z72" s="33"/>
      <c r="AA72" s="27"/>
      <c r="AB72" s="28"/>
      <c r="AC72" s="27"/>
      <c r="AD72" s="48"/>
      <c r="AE72" s="27"/>
      <c r="AF72" s="33"/>
      <c r="AG72" s="27"/>
      <c r="AH72" s="33"/>
      <c r="AI72" s="47"/>
      <c r="AJ72" s="48"/>
      <c r="AK72" s="47"/>
      <c r="AL72" s="48"/>
      <c r="AM72" s="47"/>
      <c r="AN72" s="48"/>
      <c r="AO72" s="47"/>
      <c r="AP72" s="33"/>
      <c r="AQ72" s="49"/>
      <c r="AR72" s="31"/>
      <c r="AS72" s="50"/>
      <c r="AT72" s="43"/>
      <c r="AU72" s="50"/>
      <c r="AV72" s="50"/>
      <c r="AW72" s="44"/>
      <c r="AX72" s="43"/>
      <c r="AY72" s="44"/>
      <c r="AZ72" s="43"/>
      <c r="BA72" s="44"/>
      <c r="BB72" s="43"/>
      <c r="BC72" s="44"/>
      <c r="BD72" s="43"/>
      <c r="BE72" s="44"/>
      <c r="BF72" s="43"/>
      <c r="BG72" s="190"/>
      <c r="BH72" s="187"/>
      <c r="BI72" s="44"/>
      <c r="BJ72" s="43"/>
      <c r="BK72" s="45"/>
      <c r="BL72" s="205"/>
      <c r="BM72" s="44"/>
      <c r="BN72" s="43"/>
      <c r="BO72" s="44"/>
      <c r="BP72" s="43"/>
      <c r="BQ72" s="44"/>
      <c r="BR72" s="43"/>
      <c r="BS72" s="44"/>
      <c r="BT72" s="43"/>
      <c r="BU72" s="44"/>
      <c r="BV72" s="43"/>
      <c r="BW72" s="44"/>
      <c r="BX72" s="43"/>
      <c r="BY72" s="44"/>
      <c r="BZ72" s="43"/>
      <c r="CA72" s="44"/>
      <c r="CB72" s="43"/>
      <c r="CC72" s="44"/>
      <c r="CD72" s="43"/>
      <c r="CE72" s="44"/>
      <c r="CF72" s="43"/>
      <c r="CG72" s="44"/>
      <c r="CH72" s="43"/>
      <c r="CI72" s="44"/>
      <c r="CJ72" s="43"/>
      <c r="CK72" s="44"/>
      <c r="CL72" s="43"/>
      <c r="CM72" s="44"/>
      <c r="CN72" s="43"/>
      <c r="CO72" s="44"/>
      <c r="CP72" s="43"/>
      <c r="CQ72" s="44"/>
      <c r="CR72" s="43"/>
      <c r="CS72" s="44"/>
      <c r="CT72" s="43"/>
      <c r="CU72" s="44"/>
      <c r="CV72" s="43"/>
      <c r="CW72" s="44"/>
      <c r="CX72" s="43"/>
      <c r="CY72" s="44"/>
      <c r="CZ72" s="43"/>
    </row>
    <row r="73" spans="1:104" ht="15.75" customHeight="1" thickBot="1" x14ac:dyDescent="0.3">
      <c r="A73" s="51"/>
      <c r="B73" s="131" t="s">
        <v>182</v>
      </c>
      <c r="C73" s="132" t="s">
        <v>183</v>
      </c>
      <c r="D73" s="133"/>
      <c r="E73" s="134">
        <f>SUM(E62:E72)</f>
        <v>367226297</v>
      </c>
      <c r="F73" s="135">
        <f>SUM(F62:F72)</f>
        <v>373186184</v>
      </c>
      <c r="G73" s="135">
        <f>SUM(G63:G72)</f>
        <v>258014571</v>
      </c>
      <c r="H73" s="135">
        <f>SUM(H63:H72)</f>
        <v>273661533</v>
      </c>
      <c r="I73" s="135">
        <f t="shared" ref="I73:CG73" si="12">SUM(I62:I72)</f>
        <v>1807110502</v>
      </c>
      <c r="J73" s="135">
        <f t="shared" si="12"/>
        <v>1735133386</v>
      </c>
      <c r="K73" s="135">
        <f t="shared" si="12"/>
        <v>62098633</v>
      </c>
      <c r="L73" s="135">
        <f t="shared" si="12"/>
        <v>60383256</v>
      </c>
      <c r="M73" s="135">
        <f t="shared" si="12"/>
        <v>1304026164</v>
      </c>
      <c r="N73" s="135">
        <f t="shared" si="12"/>
        <v>1088370552</v>
      </c>
      <c r="O73" s="135">
        <f t="shared" si="12"/>
        <v>13853466</v>
      </c>
      <c r="P73" s="135">
        <f t="shared" si="12"/>
        <v>9940521</v>
      </c>
      <c r="Q73" s="135">
        <f t="shared" si="12"/>
        <v>40881044</v>
      </c>
      <c r="R73" s="135">
        <f t="shared" si="12"/>
        <v>43093059</v>
      </c>
      <c r="S73" s="135">
        <f t="shared" si="12"/>
        <v>23075976</v>
      </c>
      <c r="T73" s="135">
        <f t="shared" si="12"/>
        <v>33789937</v>
      </c>
      <c r="U73" s="135">
        <f t="shared" si="12"/>
        <v>25692590</v>
      </c>
      <c r="V73" s="135">
        <f t="shared" si="12"/>
        <v>22622713</v>
      </c>
      <c r="W73" s="135">
        <f t="shared" si="12"/>
        <v>2086461086</v>
      </c>
      <c r="X73" s="135">
        <f t="shared" si="12"/>
        <v>2823455698</v>
      </c>
      <c r="Y73" s="135">
        <f t="shared" si="12"/>
        <v>5861165945</v>
      </c>
      <c r="Z73" s="135">
        <f t="shared" si="12"/>
        <v>7009937495</v>
      </c>
      <c r="AA73" s="135">
        <f t="shared" si="12"/>
        <v>216814807</v>
      </c>
      <c r="AB73" s="135">
        <f t="shared" si="12"/>
        <v>215359238</v>
      </c>
      <c r="AC73" s="135">
        <f t="shared" si="12"/>
        <v>19893330</v>
      </c>
      <c r="AD73" s="135">
        <f t="shared" si="12"/>
        <v>22447215</v>
      </c>
      <c r="AE73" s="135">
        <f t="shared" si="12"/>
        <v>1120940615</v>
      </c>
      <c r="AF73" s="135">
        <f t="shared" si="12"/>
        <v>1127029831</v>
      </c>
      <c r="AG73" s="135">
        <f t="shared" si="12"/>
        <v>6093503</v>
      </c>
      <c r="AH73" s="135">
        <f t="shared" si="12"/>
        <v>7924298</v>
      </c>
      <c r="AI73" s="136">
        <f t="shared" si="12"/>
        <v>49439905</v>
      </c>
      <c r="AJ73" s="136">
        <f t="shared" si="12"/>
        <v>51710099</v>
      </c>
      <c r="AK73" s="135">
        <f t="shared" si="12"/>
        <v>74828461</v>
      </c>
      <c r="AL73" s="135">
        <f t="shared" si="12"/>
        <v>77253374</v>
      </c>
      <c r="AM73" s="135">
        <f t="shared" si="12"/>
        <v>1474442</v>
      </c>
      <c r="AN73" s="135">
        <f t="shared" si="12"/>
        <v>1431890</v>
      </c>
      <c r="AO73" s="135">
        <f t="shared" si="12"/>
        <v>66958378</v>
      </c>
      <c r="AP73" s="137">
        <f t="shared" si="12"/>
        <v>63035437</v>
      </c>
      <c r="AQ73" s="138">
        <f t="shared" si="12"/>
        <v>9730324</v>
      </c>
      <c r="AR73" s="139">
        <f t="shared" si="12"/>
        <v>11031050</v>
      </c>
      <c r="AS73" s="140">
        <f t="shared" si="12"/>
        <v>31151602</v>
      </c>
      <c r="AT73" s="141">
        <f t="shared" si="12"/>
        <v>31647431</v>
      </c>
      <c r="AU73" s="140">
        <f t="shared" si="12"/>
        <v>323168745</v>
      </c>
      <c r="AV73" s="141">
        <f t="shared" si="12"/>
        <v>330821146</v>
      </c>
      <c r="AW73" s="140">
        <f t="shared" si="12"/>
        <v>317051211</v>
      </c>
      <c r="AX73" s="141">
        <f t="shared" si="12"/>
        <v>251622979</v>
      </c>
      <c r="AY73" s="140">
        <f t="shared" si="12"/>
        <v>66390937</v>
      </c>
      <c r="AZ73" s="141">
        <f t="shared" si="12"/>
        <v>74888420</v>
      </c>
      <c r="BA73" s="140">
        <f t="shared" si="12"/>
        <v>-3395774651</v>
      </c>
      <c r="BB73" s="141">
        <f t="shared" si="12"/>
        <v>-3132736640</v>
      </c>
      <c r="BC73" s="140">
        <f t="shared" si="12"/>
        <v>17248163</v>
      </c>
      <c r="BD73" s="141">
        <f t="shared" si="12"/>
        <v>36081365</v>
      </c>
      <c r="BE73" s="140">
        <f t="shared" si="12"/>
        <v>30274298</v>
      </c>
      <c r="BF73" s="141">
        <f t="shared" si="12"/>
        <v>34542918</v>
      </c>
      <c r="BG73" s="200">
        <f>SUM(BG62:BG72)</f>
        <v>28981745</v>
      </c>
      <c r="BH73" s="201">
        <f>SUM(BH62:BH72)</f>
        <v>26685086</v>
      </c>
      <c r="BI73" s="140">
        <f t="shared" si="12"/>
        <v>30383088</v>
      </c>
      <c r="BJ73" s="141">
        <f t="shared" si="12"/>
        <v>30349262</v>
      </c>
      <c r="BK73" s="211">
        <f>SUM(BK62:BK72)</f>
        <v>112357920</v>
      </c>
      <c r="BL73" s="209">
        <f t="shared" si="12"/>
        <v>112784380</v>
      </c>
      <c r="BM73" s="140">
        <f t="shared" si="12"/>
        <v>6615910</v>
      </c>
      <c r="BN73" s="141">
        <f t="shared" si="12"/>
        <v>6100400</v>
      </c>
      <c r="BO73" s="140">
        <f t="shared" si="12"/>
        <v>334499570</v>
      </c>
      <c r="BP73" s="141">
        <f t="shared" si="12"/>
        <v>107308950</v>
      </c>
      <c r="BQ73" s="140">
        <f t="shared" si="12"/>
        <v>5986000</v>
      </c>
      <c r="BR73" s="141">
        <f t="shared" si="12"/>
        <v>8008900</v>
      </c>
      <c r="BS73" s="140">
        <f t="shared" si="12"/>
        <v>2602600</v>
      </c>
      <c r="BT73" s="141">
        <f t="shared" si="12"/>
        <v>2799130</v>
      </c>
      <c r="BU73" s="140">
        <f t="shared" si="12"/>
        <v>19333500</v>
      </c>
      <c r="BV73" s="141">
        <f t="shared" si="12"/>
        <v>20486510</v>
      </c>
      <c r="BW73" s="140">
        <f t="shared" si="12"/>
        <v>61378710</v>
      </c>
      <c r="BX73" s="141">
        <f t="shared" si="12"/>
        <v>62024420</v>
      </c>
      <c r="BY73" s="140">
        <f t="shared" si="12"/>
        <v>87815240</v>
      </c>
      <c r="BZ73" s="141">
        <f t="shared" si="12"/>
        <v>106513740</v>
      </c>
      <c r="CA73" s="140">
        <f t="shared" si="12"/>
        <v>157052110</v>
      </c>
      <c r="CB73" s="141">
        <f t="shared" si="12"/>
        <v>156280380</v>
      </c>
      <c r="CC73" s="140">
        <f t="shared" si="12"/>
        <v>21078580</v>
      </c>
      <c r="CD73" s="141">
        <f t="shared" si="12"/>
        <v>20971740</v>
      </c>
      <c r="CE73" s="140">
        <f t="shared" si="12"/>
        <v>14139775</v>
      </c>
      <c r="CF73" s="141">
        <f t="shared" si="12"/>
        <v>13647725</v>
      </c>
      <c r="CG73" s="141">
        <f t="shared" si="12"/>
        <v>2485593</v>
      </c>
      <c r="CH73" s="141">
        <f>SUM(CH62:CH72)</f>
        <v>2238990</v>
      </c>
      <c r="CI73" s="141">
        <f>SUM(CI62:CI72)</f>
        <v>1201645</v>
      </c>
      <c r="CJ73" s="141">
        <f>SUM(CJ62:CJ72)</f>
        <v>1275063</v>
      </c>
      <c r="CK73" s="140">
        <f t="shared" ref="CK73:CZ73" si="13">SUM(CK62:CK72)</f>
        <v>281495</v>
      </c>
      <c r="CL73" s="141">
        <f t="shared" si="13"/>
        <v>296895</v>
      </c>
      <c r="CM73" s="141">
        <f t="shared" si="13"/>
        <v>3637949</v>
      </c>
      <c r="CN73" s="141">
        <f t="shared" si="13"/>
        <v>3209712</v>
      </c>
      <c r="CO73" s="141">
        <f t="shared" si="13"/>
        <v>591820</v>
      </c>
      <c r="CP73" s="141">
        <f t="shared" si="13"/>
        <v>644197</v>
      </c>
      <c r="CQ73" s="141">
        <f t="shared" si="13"/>
        <v>373573</v>
      </c>
      <c r="CR73" s="141">
        <f t="shared" si="13"/>
        <v>381351</v>
      </c>
      <c r="CS73" s="141">
        <f t="shared" si="13"/>
        <v>122649</v>
      </c>
      <c r="CT73" s="141">
        <f t="shared" si="13"/>
        <v>141177</v>
      </c>
      <c r="CU73" s="141">
        <f t="shared" si="13"/>
        <v>18125796</v>
      </c>
      <c r="CV73" s="141">
        <f t="shared" si="13"/>
        <v>19284913</v>
      </c>
      <c r="CW73" s="141">
        <f t="shared" si="13"/>
        <v>27833151</v>
      </c>
      <c r="CX73" s="141">
        <f t="shared" si="13"/>
        <v>27045466</v>
      </c>
      <c r="CY73" s="141">
        <f t="shared" si="13"/>
        <v>44859467</v>
      </c>
      <c r="CZ73" s="141">
        <f t="shared" si="13"/>
        <v>45023120</v>
      </c>
    </row>
    <row r="74" spans="1:104" ht="15.75" customHeight="1" thickBot="1" x14ac:dyDescent="0.3">
      <c r="A74" s="7"/>
      <c r="B74" s="142"/>
      <c r="C74" s="142"/>
      <c r="D74" s="7"/>
      <c r="E74" s="143"/>
      <c r="F74" s="144"/>
      <c r="G74" s="143"/>
      <c r="H74" s="143"/>
      <c r="I74" s="144"/>
      <c r="J74" s="143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5"/>
      <c r="AR74" s="145"/>
      <c r="AS74" s="102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2"/>
      <c r="BF74" s="102"/>
      <c r="BG74" s="102"/>
      <c r="BH74" s="180"/>
      <c r="BI74" s="102"/>
      <c r="BJ74" s="102"/>
      <c r="BK74" s="102"/>
      <c r="BL74" s="102"/>
      <c r="BM74" s="102"/>
      <c r="BN74" s="102"/>
      <c r="BO74" s="102"/>
      <c r="BP74" s="102"/>
      <c r="BQ74" s="102"/>
      <c r="BR74" s="102"/>
      <c r="BS74" s="102"/>
      <c r="BT74" s="102"/>
      <c r="BU74" s="102"/>
      <c r="BV74" s="102"/>
      <c r="BW74" s="102"/>
      <c r="BX74" s="102"/>
      <c r="BY74" s="102"/>
      <c r="BZ74" s="102"/>
      <c r="CA74" s="102"/>
      <c r="CB74" s="102"/>
      <c r="CC74" s="102"/>
      <c r="CD74" s="102"/>
      <c r="CE74" s="102"/>
      <c r="CF74" s="102"/>
      <c r="CG74" s="102"/>
      <c r="CH74" s="102"/>
      <c r="CI74" s="102"/>
      <c r="CJ74" s="102"/>
      <c r="CK74" s="102"/>
      <c r="CL74" s="102"/>
      <c r="CM74" s="102"/>
      <c r="CN74" s="102"/>
      <c r="CO74" s="102"/>
      <c r="CP74" s="102"/>
      <c r="CQ74" s="102"/>
      <c r="CR74" s="102"/>
      <c r="CS74" s="102"/>
      <c r="CT74" s="102"/>
      <c r="CU74" s="102"/>
      <c r="CV74" s="102"/>
      <c r="CW74" s="102"/>
      <c r="CX74" s="102"/>
      <c r="CY74" s="102"/>
      <c r="CZ74" s="102"/>
    </row>
    <row r="75" spans="1:104" ht="15.75" customHeight="1" thickBot="1" x14ac:dyDescent="0.3">
      <c r="A75" s="7"/>
      <c r="B75" s="146" t="s">
        <v>184</v>
      </c>
      <c r="C75" s="147" t="s">
        <v>185</v>
      </c>
      <c r="D75" s="147"/>
      <c r="E75" s="148">
        <f t="shared" ref="E75:CG75" si="14">E73+E60</f>
        <v>383477183</v>
      </c>
      <c r="F75" s="148">
        <f t="shared" si="14"/>
        <v>403213406</v>
      </c>
      <c r="G75" s="148">
        <f t="shared" si="14"/>
        <v>445399060</v>
      </c>
      <c r="H75" s="148">
        <f t="shared" si="14"/>
        <v>396545687</v>
      </c>
      <c r="I75" s="148">
        <f t="shared" si="14"/>
        <v>5034549958</v>
      </c>
      <c r="J75" s="148">
        <f t="shared" si="14"/>
        <v>5248634425</v>
      </c>
      <c r="K75" s="148">
        <f t="shared" si="14"/>
        <v>68928969</v>
      </c>
      <c r="L75" s="148">
        <f t="shared" si="14"/>
        <v>61914713</v>
      </c>
      <c r="M75" s="148">
        <f t="shared" si="14"/>
        <v>1483700330</v>
      </c>
      <c r="N75" s="148">
        <f t="shared" si="14"/>
        <v>1466467715</v>
      </c>
      <c r="O75" s="148">
        <f t="shared" si="14"/>
        <v>17159123</v>
      </c>
      <c r="P75" s="148">
        <f t="shared" si="14"/>
        <v>14464302</v>
      </c>
      <c r="Q75" s="148">
        <f t="shared" si="14"/>
        <v>264580441</v>
      </c>
      <c r="R75" s="148">
        <f t="shared" si="14"/>
        <v>299516196</v>
      </c>
      <c r="S75" s="148">
        <f t="shared" si="14"/>
        <v>23436945</v>
      </c>
      <c r="T75" s="148">
        <f t="shared" si="14"/>
        <v>34222493</v>
      </c>
      <c r="U75" s="148">
        <f t="shared" si="14"/>
        <v>26135319</v>
      </c>
      <c r="V75" s="148">
        <f t="shared" si="14"/>
        <v>23020734</v>
      </c>
      <c r="W75" s="148">
        <f t="shared" si="14"/>
        <v>2766855674</v>
      </c>
      <c r="X75" s="148">
        <f t="shared" si="14"/>
        <v>3483309116</v>
      </c>
      <c r="Y75" s="148">
        <f t="shared" si="14"/>
        <v>8712771278</v>
      </c>
      <c r="Z75" s="148">
        <f t="shared" si="14"/>
        <v>9019819701</v>
      </c>
      <c r="AA75" s="148">
        <f t="shared" si="14"/>
        <v>283649425</v>
      </c>
      <c r="AB75" s="148">
        <f t="shared" si="14"/>
        <v>227986617</v>
      </c>
      <c r="AC75" s="148">
        <f t="shared" si="14"/>
        <v>21847378</v>
      </c>
      <c r="AD75" s="148">
        <f t="shared" si="14"/>
        <v>24460537</v>
      </c>
      <c r="AE75" s="148">
        <f t="shared" si="14"/>
        <v>1484070659</v>
      </c>
      <c r="AF75" s="148">
        <f t="shared" si="14"/>
        <v>1469428307</v>
      </c>
      <c r="AG75" s="148">
        <f t="shared" si="14"/>
        <v>20942483</v>
      </c>
      <c r="AH75" s="148">
        <f t="shared" si="14"/>
        <v>22332174</v>
      </c>
      <c r="AI75" s="148">
        <f t="shared" si="14"/>
        <v>52863345</v>
      </c>
      <c r="AJ75" s="148">
        <f t="shared" si="14"/>
        <v>54544637</v>
      </c>
      <c r="AK75" s="148">
        <f t="shared" si="14"/>
        <v>91828880</v>
      </c>
      <c r="AL75" s="148">
        <f t="shared" si="14"/>
        <v>93582397</v>
      </c>
      <c r="AM75" s="148">
        <f t="shared" si="14"/>
        <v>11911443</v>
      </c>
      <c r="AN75" s="148">
        <f t="shared" si="14"/>
        <v>12349648</v>
      </c>
      <c r="AO75" s="148">
        <f t="shared" si="14"/>
        <v>71218638</v>
      </c>
      <c r="AP75" s="148">
        <f t="shared" si="14"/>
        <v>70900839</v>
      </c>
      <c r="AQ75" s="149">
        <f t="shared" si="14"/>
        <v>13019170</v>
      </c>
      <c r="AR75" s="150">
        <f t="shared" si="14"/>
        <v>15314752</v>
      </c>
      <c r="AS75" s="151">
        <f t="shared" si="14"/>
        <v>35209496</v>
      </c>
      <c r="AT75" s="151">
        <f t="shared" si="14"/>
        <v>40468199</v>
      </c>
      <c r="AU75" s="151">
        <f t="shared" si="14"/>
        <v>326551287</v>
      </c>
      <c r="AV75" s="151">
        <f t="shared" si="14"/>
        <v>331961788</v>
      </c>
      <c r="AW75" s="151">
        <f t="shared" si="14"/>
        <v>539684520</v>
      </c>
      <c r="AX75" s="151">
        <f t="shared" si="14"/>
        <v>490152347</v>
      </c>
      <c r="AY75" s="151">
        <f t="shared" si="14"/>
        <v>366522341</v>
      </c>
      <c r="AZ75" s="151">
        <f t="shared" si="14"/>
        <v>315094013</v>
      </c>
      <c r="BA75" s="151">
        <f t="shared" si="14"/>
        <v>11824352928</v>
      </c>
      <c r="BB75" s="151">
        <f t="shared" si="14"/>
        <v>12030081346</v>
      </c>
      <c r="BC75" s="151">
        <f t="shared" si="14"/>
        <v>458936782</v>
      </c>
      <c r="BD75" s="151">
        <f t="shared" si="14"/>
        <v>443012999</v>
      </c>
      <c r="BE75" s="151">
        <f t="shared" si="14"/>
        <v>38293562</v>
      </c>
      <c r="BF75" s="151">
        <f t="shared" si="14"/>
        <v>43915624</v>
      </c>
      <c r="BG75" s="151">
        <f>BG73+BG60</f>
        <v>32365189</v>
      </c>
      <c r="BH75" s="151">
        <f>BH73+BH60</f>
        <v>40652303</v>
      </c>
      <c r="BI75" s="151">
        <f t="shared" si="14"/>
        <v>37873078</v>
      </c>
      <c r="BJ75" s="151">
        <f t="shared" si="14"/>
        <v>37754123</v>
      </c>
      <c r="BK75" s="151">
        <f>BK73+BK60</f>
        <v>134484940</v>
      </c>
      <c r="BL75" s="204">
        <f t="shared" si="14"/>
        <v>132134940</v>
      </c>
      <c r="BM75" s="151">
        <f t="shared" si="14"/>
        <v>7346640</v>
      </c>
      <c r="BN75" s="152">
        <f t="shared" si="14"/>
        <v>6450130</v>
      </c>
      <c r="BO75" s="151">
        <f t="shared" si="14"/>
        <v>1068518900</v>
      </c>
      <c r="BP75" s="151">
        <f t="shared" si="14"/>
        <v>1101258400</v>
      </c>
      <c r="BQ75" s="151">
        <f t="shared" si="14"/>
        <v>47168110</v>
      </c>
      <c r="BR75" s="151">
        <f t="shared" si="14"/>
        <v>49748860</v>
      </c>
      <c r="BS75" s="151">
        <f t="shared" si="14"/>
        <v>3720950</v>
      </c>
      <c r="BT75" s="152">
        <f t="shared" si="14"/>
        <v>3274850</v>
      </c>
      <c r="BU75" s="151">
        <f t="shared" si="14"/>
        <v>50321050</v>
      </c>
      <c r="BV75" s="151">
        <f t="shared" si="14"/>
        <v>38164310</v>
      </c>
      <c r="BW75" s="151">
        <f t="shared" si="14"/>
        <v>64677790</v>
      </c>
      <c r="BX75" s="151">
        <f t="shared" si="14"/>
        <v>67152420</v>
      </c>
      <c r="BY75" s="151">
        <f t="shared" si="14"/>
        <v>91417230</v>
      </c>
      <c r="BZ75" s="152">
        <f t="shared" si="14"/>
        <v>108564370</v>
      </c>
      <c r="CA75" s="151">
        <f t="shared" si="14"/>
        <v>157390310</v>
      </c>
      <c r="CB75" s="151">
        <f t="shared" si="14"/>
        <v>156489210</v>
      </c>
      <c r="CC75" s="151">
        <f t="shared" si="14"/>
        <v>24242720</v>
      </c>
      <c r="CD75" s="151">
        <f t="shared" si="14"/>
        <v>22905210</v>
      </c>
      <c r="CE75" s="151">
        <f t="shared" si="14"/>
        <v>14832075</v>
      </c>
      <c r="CF75" s="152">
        <f t="shared" si="14"/>
        <v>14301312</v>
      </c>
      <c r="CG75" s="152">
        <f t="shared" si="14"/>
        <v>2539056</v>
      </c>
      <c r="CH75" s="152">
        <f>CH73+CH60</f>
        <v>2307364</v>
      </c>
      <c r="CI75" s="152">
        <f>CI73+CI60</f>
        <v>1894528</v>
      </c>
      <c r="CJ75" s="152">
        <f>CJ73+CJ60</f>
        <v>2003088</v>
      </c>
      <c r="CK75" s="151">
        <f t="shared" ref="CK75:CZ75" si="15">CK73+CK60</f>
        <v>955632</v>
      </c>
      <c r="CL75" s="152">
        <f t="shared" si="15"/>
        <v>841595</v>
      </c>
      <c r="CM75" s="152">
        <f t="shared" si="15"/>
        <v>4315668</v>
      </c>
      <c r="CN75" s="152">
        <f t="shared" si="15"/>
        <v>3532138</v>
      </c>
      <c r="CO75" s="152">
        <f t="shared" si="15"/>
        <v>892675</v>
      </c>
      <c r="CP75" s="152">
        <f t="shared" si="15"/>
        <v>981107</v>
      </c>
      <c r="CQ75" s="152">
        <f t="shared" si="15"/>
        <v>732725</v>
      </c>
      <c r="CR75" s="152">
        <f t="shared" si="15"/>
        <v>723964</v>
      </c>
      <c r="CS75" s="152">
        <f t="shared" si="15"/>
        <v>663028</v>
      </c>
      <c r="CT75" s="152">
        <f t="shared" si="15"/>
        <v>638470</v>
      </c>
      <c r="CU75" s="152">
        <f t="shared" si="15"/>
        <v>37475510</v>
      </c>
      <c r="CV75" s="152">
        <f t="shared" si="15"/>
        <v>42160178</v>
      </c>
      <c r="CW75" s="152">
        <f t="shared" si="15"/>
        <v>29085300</v>
      </c>
      <c r="CX75" s="152">
        <f t="shared" si="15"/>
        <v>29058182</v>
      </c>
      <c r="CY75" s="152">
        <f t="shared" si="15"/>
        <v>55188901</v>
      </c>
      <c r="CZ75" s="152">
        <f t="shared" si="15"/>
        <v>61947826</v>
      </c>
    </row>
    <row r="76" spans="1:104" ht="15.75" thickBot="1" x14ac:dyDescent="0.3">
      <c r="A76" s="1"/>
      <c r="B76" s="8"/>
      <c r="C76" s="8"/>
      <c r="D76" s="1"/>
      <c r="E76" s="68"/>
      <c r="F76" s="29"/>
      <c r="G76" s="68"/>
      <c r="H76" s="68"/>
      <c r="I76" s="29"/>
      <c r="J76" s="68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69"/>
      <c r="AR76" s="69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181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</row>
    <row r="77" spans="1:104" ht="15.75" customHeight="1" thickBot="1" x14ac:dyDescent="0.3">
      <c r="A77" s="9"/>
      <c r="B77" s="153" t="s">
        <v>186</v>
      </c>
      <c r="C77" s="154" t="s">
        <v>187</v>
      </c>
      <c r="D77" s="14"/>
      <c r="E77" s="155"/>
      <c r="F77" s="156"/>
      <c r="G77" s="67"/>
      <c r="H77" s="73"/>
      <c r="I77" s="67"/>
      <c r="J77" s="73"/>
      <c r="K77" s="66"/>
      <c r="L77" s="74"/>
      <c r="M77" s="72"/>
      <c r="N77" s="73"/>
      <c r="O77" s="72"/>
      <c r="P77" s="74"/>
      <c r="Q77" s="72"/>
      <c r="R77" s="74"/>
      <c r="S77" s="72"/>
      <c r="T77" s="74"/>
      <c r="U77" s="72"/>
      <c r="V77" s="74"/>
      <c r="W77" s="72"/>
      <c r="X77" s="74"/>
      <c r="Y77" s="72"/>
      <c r="Z77" s="74"/>
      <c r="AA77" s="72"/>
      <c r="AB77" s="73"/>
      <c r="AC77" s="72"/>
      <c r="AD77" s="74"/>
      <c r="AE77" s="72"/>
      <c r="AF77" s="74"/>
      <c r="AG77" s="72"/>
      <c r="AH77" s="74"/>
      <c r="AI77" s="72"/>
      <c r="AJ77" s="74"/>
      <c r="AK77" s="72"/>
      <c r="AL77" s="74"/>
      <c r="AM77" s="72"/>
      <c r="AN77" s="74"/>
      <c r="AO77" s="72"/>
      <c r="AP77" s="74"/>
      <c r="AQ77" s="157"/>
      <c r="AR77" s="158"/>
      <c r="AS77" s="77"/>
      <c r="AT77" s="78"/>
      <c r="AU77" s="77"/>
      <c r="AV77" s="78"/>
      <c r="AW77" s="79"/>
      <c r="AX77" s="78"/>
      <c r="AY77" s="79"/>
      <c r="AZ77" s="78"/>
      <c r="BA77" s="79"/>
      <c r="BB77" s="78"/>
      <c r="BC77" s="79"/>
      <c r="BD77" s="78"/>
      <c r="BE77" s="79"/>
      <c r="BF77" s="78"/>
      <c r="BG77" s="188"/>
      <c r="BH77" s="184"/>
      <c r="BI77" s="79"/>
      <c r="BJ77" s="78"/>
      <c r="BK77" s="79"/>
      <c r="BL77" s="217"/>
      <c r="BM77" s="79"/>
      <c r="BN77" s="78"/>
      <c r="BO77" s="79"/>
      <c r="BP77" s="78"/>
      <c r="BQ77" s="79"/>
      <c r="BR77" s="78"/>
      <c r="BS77" s="79"/>
      <c r="BT77" s="78"/>
      <c r="BU77" s="79"/>
      <c r="BV77" s="78"/>
      <c r="BW77" s="79"/>
      <c r="BX77" s="78"/>
      <c r="BY77" s="79"/>
      <c r="BZ77" s="78"/>
      <c r="CA77" s="79"/>
      <c r="CB77" s="78"/>
      <c r="CC77" s="79"/>
      <c r="CD77" s="78"/>
      <c r="CE77" s="79"/>
      <c r="CF77" s="78"/>
      <c r="CG77" s="79"/>
      <c r="CH77" s="78"/>
      <c r="CI77" s="79"/>
      <c r="CJ77" s="78"/>
      <c r="CK77" s="79"/>
      <c r="CL77" s="78"/>
      <c r="CM77" s="79"/>
      <c r="CN77" s="78"/>
      <c r="CO77" s="79"/>
      <c r="CP77" s="78"/>
      <c r="CQ77" s="79"/>
      <c r="CR77" s="78"/>
      <c r="CS77" s="79"/>
      <c r="CT77" s="78"/>
      <c r="CU77" s="79"/>
      <c r="CV77" s="78"/>
      <c r="CW77" s="79"/>
      <c r="CX77" s="78"/>
      <c r="CY77" s="79"/>
      <c r="CZ77" s="78"/>
    </row>
    <row r="78" spans="1:104" ht="15.75" customHeight="1" x14ac:dyDescent="0.25">
      <c r="A78" s="9"/>
      <c r="B78" s="128" t="s">
        <v>188</v>
      </c>
      <c r="C78" s="1" t="s">
        <v>189</v>
      </c>
      <c r="D78" s="14"/>
      <c r="E78" s="27">
        <v>141918275</v>
      </c>
      <c r="F78" s="28">
        <v>140392284</v>
      </c>
      <c r="G78" s="32">
        <v>659855954</v>
      </c>
      <c r="H78" s="28">
        <v>654247641</v>
      </c>
      <c r="I78" s="37">
        <v>2344335905</v>
      </c>
      <c r="J78" s="43">
        <v>2424433073</v>
      </c>
      <c r="K78" s="32">
        <v>8716554</v>
      </c>
      <c r="L78" s="33">
        <v>10919772</v>
      </c>
      <c r="M78" s="27">
        <v>526655517</v>
      </c>
      <c r="N78" s="28">
        <v>498817021</v>
      </c>
      <c r="O78" s="27">
        <v>7311997</v>
      </c>
      <c r="P78" s="33">
        <v>3563831</v>
      </c>
      <c r="Q78" s="27">
        <v>32739609</v>
      </c>
      <c r="R78" s="33">
        <v>66635802</v>
      </c>
      <c r="S78" s="27">
        <v>9476611</v>
      </c>
      <c r="T78" s="33">
        <v>9894437</v>
      </c>
      <c r="U78" s="27">
        <v>2202116</v>
      </c>
      <c r="V78" s="33">
        <v>2248760</v>
      </c>
      <c r="W78" s="27">
        <v>1061405663</v>
      </c>
      <c r="X78" s="33">
        <v>909652773</v>
      </c>
      <c r="Y78" s="27">
        <v>45271011</v>
      </c>
      <c r="Z78" s="33">
        <v>41862953</v>
      </c>
      <c r="AA78" s="27">
        <v>138876965</v>
      </c>
      <c r="AB78" s="28">
        <v>150464322</v>
      </c>
      <c r="AC78" s="27">
        <v>13958926</v>
      </c>
      <c r="AD78" s="33">
        <v>14866361</v>
      </c>
      <c r="AE78" s="27">
        <v>387112787</v>
      </c>
      <c r="AF78" s="33">
        <v>578402755</v>
      </c>
      <c r="AG78" s="27">
        <v>75491172</v>
      </c>
      <c r="AH78" s="33">
        <v>72889514</v>
      </c>
      <c r="AI78" s="27">
        <v>33232340</v>
      </c>
      <c r="AJ78" s="33">
        <v>35455136</v>
      </c>
      <c r="AK78" s="27">
        <v>143937213</v>
      </c>
      <c r="AL78" s="33">
        <v>141080424</v>
      </c>
      <c r="AM78" s="27">
        <v>15754604</v>
      </c>
      <c r="AN78" s="33">
        <v>18383808</v>
      </c>
      <c r="AO78" s="27">
        <v>38181409</v>
      </c>
      <c r="AP78" s="81">
        <v>43003411</v>
      </c>
      <c r="AQ78" s="30">
        <v>20291368</v>
      </c>
      <c r="AR78" s="31">
        <v>28652345</v>
      </c>
      <c r="AS78" s="42">
        <v>43842744</v>
      </c>
      <c r="AT78" s="43">
        <v>46453776</v>
      </c>
      <c r="AU78" s="42">
        <v>1364486953</v>
      </c>
      <c r="AV78" s="42">
        <v>1072995503</v>
      </c>
      <c r="AW78" s="44">
        <v>537318278</v>
      </c>
      <c r="AX78" s="43">
        <v>418927868</v>
      </c>
      <c r="AY78" s="44">
        <v>387690757</v>
      </c>
      <c r="AZ78" s="43">
        <v>385220208</v>
      </c>
      <c r="BA78" s="44">
        <v>5162187845</v>
      </c>
      <c r="BB78" s="43">
        <v>5759541229</v>
      </c>
      <c r="BC78" s="44">
        <v>4284280854</v>
      </c>
      <c r="BD78" s="43">
        <v>3483047784</v>
      </c>
      <c r="BE78" s="44">
        <v>44383303</v>
      </c>
      <c r="BF78" s="43">
        <v>46661690</v>
      </c>
      <c r="BG78" s="45">
        <v>9173612</v>
      </c>
      <c r="BH78" s="184">
        <v>9790086</v>
      </c>
      <c r="BI78" s="44">
        <v>16162066</v>
      </c>
      <c r="BJ78" s="182">
        <v>16474752</v>
      </c>
      <c r="BK78" s="221">
        <v>128227480</v>
      </c>
      <c r="BL78" s="205">
        <v>134608260</v>
      </c>
      <c r="BM78" s="44">
        <v>13888990</v>
      </c>
      <c r="BN78" s="43">
        <v>14687880</v>
      </c>
      <c r="BO78" s="44">
        <v>2046844920</v>
      </c>
      <c r="BP78" s="43">
        <v>2513384050</v>
      </c>
      <c r="BQ78" s="44">
        <v>7680920</v>
      </c>
      <c r="BR78" s="43">
        <v>8066720</v>
      </c>
      <c r="BS78" s="44">
        <v>10081190</v>
      </c>
      <c r="BT78" s="43">
        <v>13534600</v>
      </c>
      <c r="BU78" s="44">
        <v>49495680</v>
      </c>
      <c r="BV78" s="43">
        <v>36358240</v>
      </c>
      <c r="BW78" s="44">
        <v>53625280</v>
      </c>
      <c r="BX78" s="43">
        <v>60705360</v>
      </c>
      <c r="BY78" s="44">
        <v>35692880</v>
      </c>
      <c r="BZ78" s="43">
        <v>50867440</v>
      </c>
      <c r="CA78" s="44">
        <v>7352620</v>
      </c>
      <c r="CB78" s="43">
        <v>7878320</v>
      </c>
      <c r="CC78" s="44">
        <v>9060610</v>
      </c>
      <c r="CD78" s="43">
        <v>7385300</v>
      </c>
      <c r="CE78" s="44">
        <v>1490536</v>
      </c>
      <c r="CF78" s="43">
        <v>1940376</v>
      </c>
      <c r="CG78" s="44">
        <v>2232239</v>
      </c>
      <c r="CH78" s="43">
        <v>2385476</v>
      </c>
      <c r="CI78" s="44">
        <v>1078848</v>
      </c>
      <c r="CJ78" s="43">
        <v>1216536</v>
      </c>
      <c r="CK78" s="44">
        <v>1577977</v>
      </c>
      <c r="CL78" s="43">
        <v>1749735</v>
      </c>
      <c r="CM78" s="44">
        <v>4840308</v>
      </c>
      <c r="CN78" s="43">
        <v>4897299</v>
      </c>
      <c r="CO78" s="44">
        <v>445103</v>
      </c>
      <c r="CP78" s="43">
        <v>769140</v>
      </c>
      <c r="CQ78" s="44">
        <v>187241</v>
      </c>
      <c r="CR78" s="43">
        <v>191116</v>
      </c>
      <c r="CS78" s="44">
        <v>161336</v>
      </c>
      <c r="CT78" s="43">
        <v>217614</v>
      </c>
      <c r="CU78" s="44">
        <v>25878734</v>
      </c>
      <c r="CV78" s="43">
        <v>27791985</v>
      </c>
      <c r="CW78" s="44">
        <v>1049000</v>
      </c>
      <c r="CX78" s="43">
        <v>805775</v>
      </c>
      <c r="CY78" s="44">
        <v>64914334</v>
      </c>
      <c r="CZ78" s="43">
        <v>48158161</v>
      </c>
    </row>
    <row r="79" spans="1:104" ht="15.75" customHeight="1" x14ac:dyDescent="0.25">
      <c r="A79" s="9"/>
      <c r="B79" s="128" t="s">
        <v>190</v>
      </c>
      <c r="C79" s="1" t="s">
        <v>191</v>
      </c>
      <c r="D79" s="14"/>
      <c r="E79" s="27">
        <v>94644904</v>
      </c>
      <c r="F79" s="28">
        <v>99765733</v>
      </c>
      <c r="G79" s="32">
        <v>559129926</v>
      </c>
      <c r="H79" s="28">
        <v>536330851</v>
      </c>
      <c r="I79" s="42">
        <v>2606019035</v>
      </c>
      <c r="J79" s="43">
        <v>2416117866</v>
      </c>
      <c r="K79" s="32">
        <v>4200663</v>
      </c>
      <c r="L79" s="33">
        <v>583240</v>
      </c>
      <c r="M79" s="27">
        <v>366347695</v>
      </c>
      <c r="N79" s="28">
        <v>395960396</v>
      </c>
      <c r="O79" s="27">
        <v>9405510</v>
      </c>
      <c r="P79" s="33">
        <v>5699839</v>
      </c>
      <c r="Q79" s="27">
        <v>26031996</v>
      </c>
      <c r="R79" s="33">
        <v>53082882</v>
      </c>
      <c r="S79" s="27">
        <v>6395099</v>
      </c>
      <c r="T79" s="33">
        <v>6609426</v>
      </c>
      <c r="U79" s="27">
        <v>1687202</v>
      </c>
      <c r="V79" s="33">
        <v>1404377</v>
      </c>
      <c r="W79" s="27">
        <v>1056643664</v>
      </c>
      <c r="X79" s="33">
        <v>897059765</v>
      </c>
      <c r="Y79" s="27">
        <v>163561</v>
      </c>
      <c r="Z79" s="33">
        <v>86197</v>
      </c>
      <c r="AA79" s="27">
        <v>107027141</v>
      </c>
      <c r="AB79" s="28">
        <v>122384523</v>
      </c>
      <c r="AC79" s="27">
        <v>6793375</v>
      </c>
      <c r="AD79" s="33">
        <v>7233899</v>
      </c>
      <c r="AE79" s="27">
        <v>465600878</v>
      </c>
      <c r="AF79" s="33">
        <v>500919076</v>
      </c>
      <c r="AG79" s="27">
        <v>53161764</v>
      </c>
      <c r="AH79" s="33">
        <v>50508695</v>
      </c>
      <c r="AI79" s="27">
        <v>22708089</v>
      </c>
      <c r="AJ79" s="33">
        <v>21320212</v>
      </c>
      <c r="AK79" s="27">
        <v>109798131</v>
      </c>
      <c r="AL79" s="33">
        <v>106796120</v>
      </c>
      <c r="AM79" s="27">
        <v>7082061</v>
      </c>
      <c r="AN79" s="33">
        <v>9227143</v>
      </c>
      <c r="AO79" s="27">
        <v>33919970</v>
      </c>
      <c r="AP79" s="33">
        <v>36166168</v>
      </c>
      <c r="AQ79" s="30">
        <v>14862335</v>
      </c>
      <c r="AR79" s="31">
        <v>19642529</v>
      </c>
      <c r="AS79" s="42">
        <v>41148210</v>
      </c>
      <c r="AT79" s="43">
        <v>40378656</v>
      </c>
      <c r="AU79" s="42">
        <v>1225130967</v>
      </c>
      <c r="AV79" s="42">
        <v>965013542</v>
      </c>
      <c r="AW79" s="44">
        <v>499856262</v>
      </c>
      <c r="AX79" s="43">
        <v>438285437</v>
      </c>
      <c r="AY79" s="44">
        <v>317781929</v>
      </c>
      <c r="AZ79" s="43">
        <v>295153298</v>
      </c>
      <c r="BA79" s="44">
        <v>4884934009</v>
      </c>
      <c r="BB79" s="43">
        <v>4030665159</v>
      </c>
      <c r="BC79" s="44">
        <v>4268860923</v>
      </c>
      <c r="BD79" s="43">
        <v>3464323718</v>
      </c>
      <c r="BE79" s="44">
        <v>28230634</v>
      </c>
      <c r="BF79" s="43">
        <v>33415060</v>
      </c>
      <c r="BG79" s="45">
        <v>3764888</v>
      </c>
      <c r="BH79" s="185">
        <v>6840120</v>
      </c>
      <c r="BI79" s="44">
        <v>7839916</v>
      </c>
      <c r="BJ79" s="43">
        <v>8905374</v>
      </c>
      <c r="BK79" s="45">
        <v>90489470</v>
      </c>
      <c r="BL79" s="205">
        <v>94428720</v>
      </c>
      <c r="BM79" s="44">
        <v>9734990</v>
      </c>
      <c r="BN79" s="43">
        <v>10630440</v>
      </c>
      <c r="BO79" s="44">
        <v>1863686380</v>
      </c>
      <c r="BP79" s="43">
        <v>2437315360</v>
      </c>
      <c r="BQ79" s="44">
        <v>4121790</v>
      </c>
      <c r="BR79" s="43">
        <v>2546400</v>
      </c>
      <c r="BS79" s="44">
        <v>7569680</v>
      </c>
      <c r="BT79" s="43">
        <v>10206720</v>
      </c>
      <c r="BU79" s="44">
        <v>33773970</v>
      </c>
      <c r="BV79" s="43">
        <v>22920000</v>
      </c>
      <c r="BW79" s="44">
        <v>43009100</v>
      </c>
      <c r="BX79" s="43">
        <v>48357980</v>
      </c>
      <c r="BY79" s="44">
        <v>16655840</v>
      </c>
      <c r="BZ79" s="43">
        <v>18074870</v>
      </c>
      <c r="CA79" s="44">
        <v>5157810</v>
      </c>
      <c r="CB79" s="43">
        <v>4872750</v>
      </c>
      <c r="CC79" s="44">
        <v>5070380</v>
      </c>
      <c r="CD79" s="43">
        <v>3409160</v>
      </c>
      <c r="CE79" s="44">
        <v>461882</v>
      </c>
      <c r="CF79" s="43">
        <v>424196</v>
      </c>
      <c r="CG79" s="44">
        <v>1191755</v>
      </c>
      <c r="CH79" s="43">
        <v>1437747</v>
      </c>
      <c r="CI79" s="44">
        <v>85776</v>
      </c>
      <c r="CJ79" s="43">
        <v>81464</v>
      </c>
      <c r="CK79" s="44">
        <v>1068215</v>
      </c>
      <c r="CL79" s="43">
        <v>1231071</v>
      </c>
      <c r="CM79" s="44">
        <v>3300920</v>
      </c>
      <c r="CN79" s="43">
        <v>4357145</v>
      </c>
      <c r="CO79" s="44">
        <v>462401</v>
      </c>
      <c r="CP79" s="43">
        <v>425811</v>
      </c>
      <c r="CQ79" s="44">
        <v>90883</v>
      </c>
      <c r="CR79" s="43">
        <v>86727</v>
      </c>
      <c r="CS79" s="44">
        <v>157376</v>
      </c>
      <c r="CT79" s="43">
        <v>212871</v>
      </c>
      <c r="CU79" s="44">
        <v>20323292</v>
      </c>
      <c r="CV79" s="43">
        <v>20458875</v>
      </c>
      <c r="CW79" s="44">
        <v>137860</v>
      </c>
      <c r="CX79" s="43">
        <v>113500</v>
      </c>
      <c r="CY79" s="44">
        <v>62245060</v>
      </c>
      <c r="CZ79" s="43">
        <v>43664455</v>
      </c>
    </row>
    <row r="80" spans="1:104" ht="15.75" customHeight="1" x14ac:dyDescent="0.25">
      <c r="A80" s="9"/>
      <c r="B80" s="128" t="s">
        <v>192</v>
      </c>
      <c r="C80" s="1" t="s">
        <v>193</v>
      </c>
      <c r="D80" s="14"/>
      <c r="E80" s="27">
        <v>47273371</v>
      </c>
      <c r="F80" s="28">
        <v>40626551</v>
      </c>
      <c r="G80" s="32">
        <v>100726028</v>
      </c>
      <c r="H80" s="28">
        <v>117916790</v>
      </c>
      <c r="I80" s="42">
        <f t="shared" ref="I80:CF80" si="16">I78-I79</f>
        <v>-261683130</v>
      </c>
      <c r="J80" s="43">
        <f t="shared" si="16"/>
        <v>8315207</v>
      </c>
      <c r="K80" s="31">
        <f t="shared" si="16"/>
        <v>4515891</v>
      </c>
      <c r="L80" s="31">
        <f t="shared" si="16"/>
        <v>10336532</v>
      </c>
      <c r="M80" s="27">
        <f t="shared" si="16"/>
        <v>160307822</v>
      </c>
      <c r="N80" s="28">
        <f t="shared" si="16"/>
        <v>102856625</v>
      </c>
      <c r="O80" s="27">
        <f t="shared" si="16"/>
        <v>-2093513</v>
      </c>
      <c r="P80" s="27">
        <f t="shared" si="16"/>
        <v>-2136008</v>
      </c>
      <c r="Q80" s="27">
        <f t="shared" si="16"/>
        <v>6707613</v>
      </c>
      <c r="R80" s="27">
        <f t="shared" si="16"/>
        <v>13552920</v>
      </c>
      <c r="S80" s="27">
        <f t="shared" si="16"/>
        <v>3081512</v>
      </c>
      <c r="T80" s="27">
        <f t="shared" si="16"/>
        <v>3285011</v>
      </c>
      <c r="U80" s="27">
        <f t="shared" si="16"/>
        <v>514914</v>
      </c>
      <c r="V80" s="33">
        <f t="shared" si="16"/>
        <v>844383</v>
      </c>
      <c r="W80" s="27">
        <f t="shared" si="16"/>
        <v>4761999</v>
      </c>
      <c r="X80" s="33">
        <f t="shared" si="16"/>
        <v>12593008</v>
      </c>
      <c r="Y80" s="27">
        <f t="shared" si="16"/>
        <v>45107450</v>
      </c>
      <c r="Z80" s="33">
        <f t="shared" si="16"/>
        <v>41776756</v>
      </c>
      <c r="AA80" s="27">
        <f t="shared" si="16"/>
        <v>31849824</v>
      </c>
      <c r="AB80" s="28">
        <f t="shared" si="16"/>
        <v>28079799</v>
      </c>
      <c r="AC80" s="27">
        <f t="shared" si="16"/>
        <v>7165551</v>
      </c>
      <c r="AD80" s="33">
        <f t="shared" si="16"/>
        <v>7632462</v>
      </c>
      <c r="AE80" s="27">
        <f t="shared" si="16"/>
        <v>-78488091</v>
      </c>
      <c r="AF80" s="33">
        <f t="shared" si="16"/>
        <v>77483679</v>
      </c>
      <c r="AG80" s="27">
        <f t="shared" si="16"/>
        <v>22329408</v>
      </c>
      <c r="AH80" s="33">
        <f t="shared" si="16"/>
        <v>22380819</v>
      </c>
      <c r="AI80" s="27">
        <f t="shared" si="16"/>
        <v>10524251</v>
      </c>
      <c r="AJ80" s="33">
        <f t="shared" si="16"/>
        <v>14134924</v>
      </c>
      <c r="AK80" s="33">
        <f t="shared" si="16"/>
        <v>34139082</v>
      </c>
      <c r="AL80" s="33">
        <f t="shared" si="16"/>
        <v>34284304</v>
      </c>
      <c r="AM80" s="27">
        <f t="shared" si="16"/>
        <v>8672543</v>
      </c>
      <c r="AN80" s="33">
        <f t="shared" si="16"/>
        <v>9156665</v>
      </c>
      <c r="AO80" s="27">
        <f t="shared" si="16"/>
        <v>4261439</v>
      </c>
      <c r="AP80" s="33">
        <f t="shared" si="16"/>
        <v>6837243</v>
      </c>
      <c r="AQ80" s="30">
        <f t="shared" si="16"/>
        <v>5429033</v>
      </c>
      <c r="AR80" s="31">
        <f t="shared" si="16"/>
        <v>9009816</v>
      </c>
      <c r="AS80" s="42">
        <f t="shared" si="16"/>
        <v>2694534</v>
      </c>
      <c r="AT80" s="43">
        <f t="shared" si="16"/>
        <v>6075120</v>
      </c>
      <c r="AU80" s="42">
        <f t="shared" si="16"/>
        <v>139355986</v>
      </c>
      <c r="AV80" s="42">
        <f t="shared" si="16"/>
        <v>107981961</v>
      </c>
      <c r="AW80" s="44">
        <f t="shared" si="16"/>
        <v>37462016</v>
      </c>
      <c r="AX80" s="43">
        <f t="shared" si="16"/>
        <v>-19357569</v>
      </c>
      <c r="AY80" s="44">
        <f t="shared" si="16"/>
        <v>69908828</v>
      </c>
      <c r="AZ80" s="43">
        <f t="shared" si="16"/>
        <v>90066910</v>
      </c>
      <c r="BA80" s="44">
        <f t="shared" si="16"/>
        <v>277253836</v>
      </c>
      <c r="BB80" s="43">
        <f t="shared" si="16"/>
        <v>1728876070</v>
      </c>
      <c r="BC80" s="44">
        <f t="shared" si="16"/>
        <v>15419931</v>
      </c>
      <c r="BD80" s="43">
        <f t="shared" si="16"/>
        <v>18724066</v>
      </c>
      <c r="BE80" s="44">
        <f t="shared" si="16"/>
        <v>16152669</v>
      </c>
      <c r="BF80" s="43">
        <f t="shared" si="16"/>
        <v>13246630</v>
      </c>
      <c r="BG80" s="45">
        <f>BG78-BG79</f>
        <v>5408724</v>
      </c>
      <c r="BH80" s="186">
        <f>BH78-BH79</f>
        <v>2949966</v>
      </c>
      <c r="BI80" s="44">
        <f t="shared" si="16"/>
        <v>8322150</v>
      </c>
      <c r="BJ80" s="43">
        <f t="shared" si="16"/>
        <v>7569378</v>
      </c>
      <c r="BK80" s="45">
        <f>BK78-BK79</f>
        <v>37738010</v>
      </c>
      <c r="BL80" s="205">
        <f t="shared" si="16"/>
        <v>40179540</v>
      </c>
      <c r="BM80" s="44">
        <f t="shared" si="16"/>
        <v>4154000</v>
      </c>
      <c r="BN80" s="43">
        <f t="shared" si="16"/>
        <v>4057440</v>
      </c>
      <c r="BO80" s="44">
        <f t="shared" si="16"/>
        <v>183158540</v>
      </c>
      <c r="BP80" s="43">
        <f t="shared" si="16"/>
        <v>76068690</v>
      </c>
      <c r="BQ80" s="44">
        <f t="shared" si="16"/>
        <v>3559130</v>
      </c>
      <c r="BR80" s="43">
        <f t="shared" si="16"/>
        <v>5520320</v>
      </c>
      <c r="BS80" s="44">
        <f t="shared" si="16"/>
        <v>2511510</v>
      </c>
      <c r="BT80" s="43">
        <f t="shared" si="16"/>
        <v>3327880</v>
      </c>
      <c r="BU80" s="44">
        <f t="shared" si="16"/>
        <v>15721710</v>
      </c>
      <c r="BV80" s="43">
        <f t="shared" si="16"/>
        <v>13438240</v>
      </c>
      <c r="BW80" s="44">
        <f t="shared" si="16"/>
        <v>10616180</v>
      </c>
      <c r="BX80" s="43">
        <f t="shared" si="16"/>
        <v>12347380</v>
      </c>
      <c r="BY80" s="44">
        <f t="shared" si="16"/>
        <v>19037040</v>
      </c>
      <c r="BZ80" s="43">
        <f t="shared" si="16"/>
        <v>32792570</v>
      </c>
      <c r="CA80" s="44">
        <f t="shared" si="16"/>
        <v>2194810</v>
      </c>
      <c r="CB80" s="43">
        <f t="shared" si="16"/>
        <v>3005570</v>
      </c>
      <c r="CC80" s="44">
        <f t="shared" si="16"/>
        <v>3990230</v>
      </c>
      <c r="CD80" s="43">
        <f t="shared" si="16"/>
        <v>3976140</v>
      </c>
      <c r="CE80" s="44">
        <f t="shared" si="16"/>
        <v>1028654</v>
      </c>
      <c r="CF80" s="43">
        <f t="shared" si="16"/>
        <v>1516180</v>
      </c>
      <c r="CG80" s="44">
        <f>CG78-CG79</f>
        <v>1040484</v>
      </c>
      <c r="CH80" s="44">
        <f>CH78-CH79</f>
        <v>947729</v>
      </c>
      <c r="CI80" s="44">
        <f t="shared" ref="CI80:CZ80" si="17">CI78-CI79</f>
        <v>993072</v>
      </c>
      <c r="CJ80" s="44">
        <f t="shared" si="17"/>
        <v>1135072</v>
      </c>
      <c r="CK80" s="44">
        <f t="shared" si="17"/>
        <v>509762</v>
      </c>
      <c r="CL80" s="43">
        <f t="shared" si="17"/>
        <v>518664</v>
      </c>
      <c r="CM80" s="43">
        <f t="shared" si="17"/>
        <v>1539388</v>
      </c>
      <c r="CN80" s="43">
        <f t="shared" si="17"/>
        <v>540154</v>
      </c>
      <c r="CO80" s="43">
        <f t="shared" si="17"/>
        <v>-17298</v>
      </c>
      <c r="CP80" s="43">
        <f t="shared" si="17"/>
        <v>343329</v>
      </c>
      <c r="CQ80" s="43">
        <f t="shared" si="17"/>
        <v>96358</v>
      </c>
      <c r="CR80" s="43">
        <f t="shared" si="17"/>
        <v>104389</v>
      </c>
      <c r="CS80" s="43">
        <f t="shared" si="17"/>
        <v>3960</v>
      </c>
      <c r="CT80" s="43">
        <f t="shared" si="17"/>
        <v>4743</v>
      </c>
      <c r="CU80" s="43">
        <f t="shared" si="17"/>
        <v>5555442</v>
      </c>
      <c r="CV80" s="43">
        <f t="shared" si="17"/>
        <v>7333110</v>
      </c>
      <c r="CW80" s="43">
        <f t="shared" si="17"/>
        <v>911140</v>
      </c>
      <c r="CX80" s="43">
        <f t="shared" si="17"/>
        <v>692275</v>
      </c>
      <c r="CY80" s="43">
        <f t="shared" si="17"/>
        <v>2669274</v>
      </c>
      <c r="CZ80" s="43">
        <f t="shared" si="17"/>
        <v>4493706</v>
      </c>
    </row>
    <row r="81" spans="1:104" ht="15.75" customHeight="1" x14ac:dyDescent="0.25">
      <c r="A81" s="9"/>
      <c r="B81" s="128" t="s">
        <v>194</v>
      </c>
      <c r="C81" s="1" t="s">
        <v>195</v>
      </c>
      <c r="D81" s="14"/>
      <c r="E81" s="27">
        <v>448366</v>
      </c>
      <c r="F81" s="28">
        <v>825006</v>
      </c>
      <c r="G81" s="32">
        <v>29075142</v>
      </c>
      <c r="H81" s="28">
        <v>45494347</v>
      </c>
      <c r="I81" s="42">
        <v>16533733</v>
      </c>
      <c r="J81" s="43">
        <v>40979903</v>
      </c>
      <c r="K81" s="32">
        <v>5424798</v>
      </c>
      <c r="L81" s="33">
        <v>1250517</v>
      </c>
      <c r="M81" s="27"/>
      <c r="N81" s="28"/>
      <c r="O81" s="27">
        <v>215634</v>
      </c>
      <c r="P81" s="33">
        <v>1065584</v>
      </c>
      <c r="Q81" s="27">
        <v>3540352</v>
      </c>
      <c r="R81" s="33">
        <v>100607</v>
      </c>
      <c r="S81" s="27">
        <v>223463</v>
      </c>
      <c r="T81" s="33">
        <v>917703</v>
      </c>
      <c r="U81" s="27">
        <v>10571957</v>
      </c>
      <c r="V81" s="33">
        <v>111717555</v>
      </c>
      <c r="W81" s="27">
        <v>40835755</v>
      </c>
      <c r="X81" s="33">
        <v>39463425</v>
      </c>
      <c r="Y81" s="27">
        <v>342822</v>
      </c>
      <c r="Z81" s="33">
        <v>1817550</v>
      </c>
      <c r="AA81" s="27">
        <v>2557088</v>
      </c>
      <c r="AB81" s="28">
        <v>4007360</v>
      </c>
      <c r="AC81" s="27">
        <v>356452</v>
      </c>
      <c r="AD81" s="33">
        <v>86136</v>
      </c>
      <c r="AE81" s="27">
        <v>3101349</v>
      </c>
      <c r="AF81" s="33">
        <v>10908967</v>
      </c>
      <c r="AG81" s="27">
        <v>78</v>
      </c>
      <c r="AH81" s="33">
        <v>479769</v>
      </c>
      <c r="AI81" s="27">
        <v>129318</v>
      </c>
      <c r="AJ81" s="33">
        <v>152016</v>
      </c>
      <c r="AK81" s="27">
        <v>1534053</v>
      </c>
      <c r="AL81" s="33">
        <v>1856089</v>
      </c>
      <c r="AM81" s="27">
        <v>74628</v>
      </c>
      <c r="AN81" s="33">
        <v>28950</v>
      </c>
      <c r="AO81" s="27">
        <v>2849017</v>
      </c>
      <c r="AP81" s="33">
        <v>2924884</v>
      </c>
      <c r="AQ81" s="30">
        <v>345344</v>
      </c>
      <c r="AR81" s="31">
        <v>338513</v>
      </c>
      <c r="AS81" s="42">
        <v>414313</v>
      </c>
      <c r="AT81" s="43">
        <v>240717</v>
      </c>
      <c r="AU81" s="42">
        <v>20999</v>
      </c>
      <c r="AV81" s="42">
        <v>51302</v>
      </c>
      <c r="AW81" s="44">
        <v>2588705</v>
      </c>
      <c r="AX81" s="43">
        <v>1981027</v>
      </c>
      <c r="AY81" s="44">
        <v>4665368</v>
      </c>
      <c r="AZ81" s="43">
        <v>3828252</v>
      </c>
      <c r="BA81" s="44">
        <v>19307963</v>
      </c>
      <c r="BB81" s="43">
        <v>14996683</v>
      </c>
      <c r="BC81" s="44">
        <v>2898484</v>
      </c>
      <c r="BD81" s="43">
        <v>8127341</v>
      </c>
      <c r="BE81" s="44">
        <v>7748108</v>
      </c>
      <c r="BF81" s="43">
        <v>7887513</v>
      </c>
      <c r="BG81" s="45">
        <v>68625</v>
      </c>
      <c r="BH81" s="185">
        <v>489027</v>
      </c>
      <c r="BI81" s="44">
        <v>379078</v>
      </c>
      <c r="BJ81" s="43">
        <v>360041</v>
      </c>
      <c r="BK81" s="45">
        <v>85800</v>
      </c>
      <c r="BL81" s="205">
        <v>816880</v>
      </c>
      <c r="BM81" s="44"/>
      <c r="BN81" s="43"/>
      <c r="BO81" s="44">
        <v>108370780</v>
      </c>
      <c r="BP81" s="43">
        <v>9826890</v>
      </c>
      <c r="BQ81" s="44">
        <v>56590</v>
      </c>
      <c r="BR81" s="43">
        <v>15670</v>
      </c>
      <c r="BS81" s="44"/>
      <c r="BT81" s="43"/>
      <c r="BU81" s="44">
        <v>985480</v>
      </c>
      <c r="BV81" s="43">
        <v>513930</v>
      </c>
      <c r="BW81" s="44">
        <v>442210</v>
      </c>
      <c r="BX81" s="43">
        <v>459860</v>
      </c>
      <c r="BY81" s="44">
        <v>1350</v>
      </c>
      <c r="BZ81" s="43">
        <v>9500</v>
      </c>
      <c r="CA81" s="44"/>
      <c r="CB81" s="43"/>
      <c r="CC81" s="44">
        <v>19550</v>
      </c>
      <c r="CD81" s="43">
        <v>13180</v>
      </c>
      <c r="CE81" s="44">
        <v>217528</v>
      </c>
      <c r="CF81" s="43">
        <v>293291</v>
      </c>
      <c r="CG81" s="44">
        <v>643</v>
      </c>
      <c r="CH81" s="43">
        <v>1</v>
      </c>
      <c r="CI81" s="44">
        <v>227205</v>
      </c>
      <c r="CJ81" s="43">
        <v>203098</v>
      </c>
      <c r="CK81" s="44"/>
      <c r="CL81" s="43"/>
      <c r="CM81" s="44">
        <v>142552</v>
      </c>
      <c r="CN81" s="43">
        <v>440110</v>
      </c>
      <c r="CO81" s="44">
        <v>11968</v>
      </c>
      <c r="CP81" s="43">
        <v>924</v>
      </c>
      <c r="CQ81" s="44">
        <v>378317</v>
      </c>
      <c r="CR81" s="43">
        <v>173706</v>
      </c>
      <c r="CS81" s="44">
        <v>69101</v>
      </c>
      <c r="CT81" s="43">
        <v>72226</v>
      </c>
      <c r="CU81" s="44">
        <v>763606</v>
      </c>
      <c r="CV81" s="43">
        <v>182983</v>
      </c>
      <c r="CW81" s="44">
        <v>146094</v>
      </c>
      <c r="CX81" s="43">
        <v>270541</v>
      </c>
      <c r="CY81" s="44">
        <v>3277983</v>
      </c>
      <c r="CZ81" s="43">
        <v>1917708</v>
      </c>
    </row>
    <row r="82" spans="1:104" ht="15.75" customHeight="1" x14ac:dyDescent="0.25">
      <c r="A82" s="9"/>
      <c r="B82" s="128" t="s">
        <v>196</v>
      </c>
      <c r="C82" s="1" t="s">
        <v>197</v>
      </c>
      <c r="D82" s="14"/>
      <c r="E82" s="27">
        <v>7024073</v>
      </c>
      <c r="F82" s="28">
        <v>5519784</v>
      </c>
      <c r="G82" s="32">
        <v>70250721</v>
      </c>
      <c r="H82" s="28">
        <v>70350363</v>
      </c>
      <c r="I82" s="42">
        <v>14565601</v>
      </c>
      <c r="J82" s="43">
        <v>17636590</v>
      </c>
      <c r="K82" s="32"/>
      <c r="L82" s="33"/>
      <c r="M82" s="27"/>
      <c r="N82" s="28"/>
      <c r="O82" s="27">
        <v>28230</v>
      </c>
      <c r="P82" s="33">
        <v>225</v>
      </c>
      <c r="Q82" s="27">
        <v>1572646</v>
      </c>
      <c r="R82" s="33">
        <v>4102527</v>
      </c>
      <c r="S82" s="27"/>
      <c r="T82" s="33">
        <v>7902</v>
      </c>
      <c r="U82" s="27"/>
      <c r="V82" s="33">
        <v>36291</v>
      </c>
      <c r="W82" s="27"/>
      <c r="X82" s="33"/>
      <c r="Y82" s="27">
        <v>391407555</v>
      </c>
      <c r="Z82" s="33">
        <v>629075568</v>
      </c>
      <c r="AA82" s="27">
        <v>8390</v>
      </c>
      <c r="AB82" s="28">
        <v>813</v>
      </c>
      <c r="AC82" s="27">
        <v>760</v>
      </c>
      <c r="AD82" s="33"/>
      <c r="AE82" s="27">
        <v>6688</v>
      </c>
      <c r="AF82" s="33">
        <v>5033</v>
      </c>
      <c r="AG82" s="27">
        <v>3698010</v>
      </c>
      <c r="AH82" s="33">
        <v>3206729</v>
      </c>
      <c r="AI82" s="27">
        <v>9625</v>
      </c>
      <c r="AJ82" s="33">
        <v>54457</v>
      </c>
      <c r="AK82" s="27">
        <v>333816</v>
      </c>
      <c r="AL82" s="33">
        <v>836241</v>
      </c>
      <c r="AM82" s="27">
        <v>21479</v>
      </c>
      <c r="AN82" s="33">
        <v>138405</v>
      </c>
      <c r="AO82" s="27">
        <v>71569</v>
      </c>
      <c r="AP82" s="33">
        <v>767945</v>
      </c>
      <c r="AQ82" s="30"/>
      <c r="AR82" s="31"/>
      <c r="AS82" s="42">
        <v>19838</v>
      </c>
      <c r="AT82" s="43"/>
      <c r="AU82" s="42">
        <v>48601426</v>
      </c>
      <c r="AV82" s="42">
        <v>42872770</v>
      </c>
      <c r="AW82" s="44">
        <v>27013491</v>
      </c>
      <c r="AX82" s="43">
        <v>24128726</v>
      </c>
      <c r="AY82" s="44">
        <v>7693424</v>
      </c>
      <c r="AZ82" s="43">
        <v>6853793</v>
      </c>
      <c r="BA82" s="44">
        <v>371137597</v>
      </c>
      <c r="BB82" s="43">
        <v>1174667490</v>
      </c>
      <c r="BC82" s="44"/>
      <c r="BD82" s="43"/>
      <c r="BE82" s="44">
        <v>10813</v>
      </c>
      <c r="BF82" s="43">
        <v>4584</v>
      </c>
      <c r="BG82" s="45">
        <v>17509</v>
      </c>
      <c r="BH82" s="185">
        <v>1624</v>
      </c>
      <c r="BI82" s="44"/>
      <c r="BJ82" s="43"/>
      <c r="BK82" s="45">
        <v>61970</v>
      </c>
      <c r="BL82" s="205">
        <v>76080</v>
      </c>
      <c r="BM82" s="44"/>
      <c r="BN82" s="43"/>
      <c r="BO82" s="44">
        <v>138220720</v>
      </c>
      <c r="BP82" s="43">
        <v>188379340</v>
      </c>
      <c r="BQ82" s="44"/>
      <c r="BR82" s="43"/>
      <c r="BS82" s="44"/>
      <c r="BT82" s="43"/>
      <c r="BU82" s="44">
        <v>99750</v>
      </c>
      <c r="BV82" s="43">
        <v>708900</v>
      </c>
      <c r="BW82" s="44">
        <v>793470</v>
      </c>
      <c r="BX82" s="43">
        <v>869300</v>
      </c>
      <c r="BY82" s="44">
        <v>47960</v>
      </c>
      <c r="BZ82" s="43">
        <v>110350</v>
      </c>
      <c r="CA82" s="44"/>
      <c r="CB82" s="43"/>
      <c r="CC82" s="44">
        <v>215170</v>
      </c>
      <c r="CD82" s="43"/>
      <c r="CE82" s="44"/>
      <c r="CF82" s="43"/>
      <c r="CG82" s="44">
        <v>1699</v>
      </c>
      <c r="CH82" s="43">
        <v>2000</v>
      </c>
      <c r="CI82" s="44">
        <v>5438</v>
      </c>
      <c r="CJ82" s="43"/>
      <c r="CK82" s="44"/>
      <c r="CL82" s="43"/>
      <c r="CM82" s="44">
        <v>163151</v>
      </c>
      <c r="CN82" s="43">
        <v>115285</v>
      </c>
      <c r="CO82" s="44"/>
      <c r="CP82" s="43"/>
      <c r="CQ82" s="44"/>
      <c r="CR82" s="43"/>
      <c r="CS82" s="44"/>
      <c r="CT82" s="43"/>
      <c r="CU82" s="44">
        <v>31131</v>
      </c>
      <c r="CV82" s="43">
        <v>56135</v>
      </c>
      <c r="CW82" s="44"/>
      <c r="CX82" s="43"/>
      <c r="CY82" s="44"/>
      <c r="CZ82" s="43">
        <v>5000</v>
      </c>
    </row>
    <row r="83" spans="1:104" ht="15.75" customHeight="1" x14ac:dyDescent="0.25">
      <c r="A83" s="9"/>
      <c r="B83" s="128" t="s">
        <v>198</v>
      </c>
      <c r="C83" s="1" t="s">
        <v>199</v>
      </c>
      <c r="D83" s="14"/>
      <c r="E83" s="27">
        <v>12751630</v>
      </c>
      <c r="F83" s="28">
        <v>12576264</v>
      </c>
      <c r="G83" s="32">
        <v>41017090</v>
      </c>
      <c r="H83" s="28">
        <v>44873000</v>
      </c>
      <c r="I83" s="42">
        <v>67302591</v>
      </c>
      <c r="J83" s="43">
        <v>49974458</v>
      </c>
      <c r="K83" s="32">
        <v>9659783</v>
      </c>
      <c r="L83" s="33">
        <v>8132778</v>
      </c>
      <c r="M83" s="27"/>
      <c r="N83" s="28"/>
      <c r="O83" s="27">
        <v>1716184</v>
      </c>
      <c r="P83" s="33">
        <v>1383782</v>
      </c>
      <c r="Q83" s="27">
        <v>5941440</v>
      </c>
      <c r="R83" s="33">
        <v>5880246</v>
      </c>
      <c r="S83" s="27">
        <v>3385819</v>
      </c>
      <c r="T83" s="33">
        <v>3643310</v>
      </c>
      <c r="U83" s="27">
        <v>10556250</v>
      </c>
      <c r="V83" s="33">
        <v>12022340</v>
      </c>
      <c r="W83" s="27">
        <v>46931103</v>
      </c>
      <c r="X83" s="33">
        <v>41533562</v>
      </c>
      <c r="Y83" s="27"/>
      <c r="Z83" s="33"/>
      <c r="AA83" s="27">
        <v>25797019</v>
      </c>
      <c r="AB83" s="28">
        <v>21967401</v>
      </c>
      <c r="AC83" s="27">
        <v>3657620</v>
      </c>
      <c r="AD83" s="33">
        <v>3733663</v>
      </c>
      <c r="AE83" s="27">
        <v>30923382</v>
      </c>
      <c r="AF83" s="33">
        <v>38452112</v>
      </c>
      <c r="AG83" s="27">
        <v>14968405</v>
      </c>
      <c r="AH83" s="33">
        <v>16092990</v>
      </c>
      <c r="AI83" s="27">
        <v>11519723</v>
      </c>
      <c r="AJ83" s="33">
        <v>10196154</v>
      </c>
      <c r="AK83" s="27">
        <v>29540563</v>
      </c>
      <c r="AL83" s="33">
        <v>31044397</v>
      </c>
      <c r="AM83" s="27">
        <v>7715067</v>
      </c>
      <c r="AN83" s="33">
        <v>7784207</v>
      </c>
      <c r="AO83" s="27">
        <v>7012508</v>
      </c>
      <c r="AP83" s="33">
        <v>7709374</v>
      </c>
      <c r="AQ83" s="30">
        <v>5802253</v>
      </c>
      <c r="AR83" s="31">
        <v>7737197</v>
      </c>
      <c r="AS83" s="42">
        <v>2812013</v>
      </c>
      <c r="AT83" s="43">
        <v>6845879</v>
      </c>
      <c r="AU83" s="42">
        <v>22412244</v>
      </c>
      <c r="AV83" s="42">
        <v>25328221</v>
      </c>
      <c r="AW83" s="44">
        <v>17484309</v>
      </c>
      <c r="AX83" s="43">
        <v>16830391</v>
      </c>
      <c r="AY83" s="44">
        <v>64876990</v>
      </c>
      <c r="AZ83" s="43">
        <v>72890550</v>
      </c>
      <c r="BA83" s="44">
        <v>75312271</v>
      </c>
      <c r="BB83" s="43">
        <v>81560222</v>
      </c>
      <c r="BC83" s="44">
        <v>3757289</v>
      </c>
      <c r="BD83" s="43">
        <v>3776354</v>
      </c>
      <c r="BE83" s="44">
        <v>18482716</v>
      </c>
      <c r="BF83" s="43">
        <v>14407217</v>
      </c>
      <c r="BG83" s="45">
        <v>6016472</v>
      </c>
      <c r="BH83" s="183">
        <v>2829117</v>
      </c>
      <c r="BI83" s="220">
        <v>7065331</v>
      </c>
      <c r="BJ83" s="43">
        <v>6742754</v>
      </c>
      <c r="BK83" s="45">
        <v>37735360</v>
      </c>
      <c r="BL83" s="205">
        <v>35988510</v>
      </c>
      <c r="BM83" s="44">
        <v>2701110</v>
      </c>
      <c r="BN83" s="43">
        <v>3086250</v>
      </c>
      <c r="BO83" s="44">
        <v>42171520</v>
      </c>
      <c r="BP83" s="43">
        <v>46839620</v>
      </c>
      <c r="BQ83" s="44">
        <v>2454070</v>
      </c>
      <c r="BR83" s="43">
        <v>2591990</v>
      </c>
      <c r="BS83" s="44">
        <v>2141300</v>
      </c>
      <c r="BT83" s="43">
        <v>2723860</v>
      </c>
      <c r="BU83" s="44">
        <v>14974570</v>
      </c>
      <c r="BV83" s="43">
        <v>12064640</v>
      </c>
      <c r="BW83" s="44">
        <v>8462290</v>
      </c>
      <c r="BX83" s="43">
        <v>9875700</v>
      </c>
      <c r="BY83" s="44">
        <v>5136560</v>
      </c>
      <c r="BZ83" s="43">
        <v>5792760</v>
      </c>
      <c r="CA83" s="44">
        <v>5951900</v>
      </c>
      <c r="CB83" s="43">
        <v>5484960</v>
      </c>
      <c r="CC83" s="44">
        <v>2375450</v>
      </c>
      <c r="CD83" s="43">
        <v>2577300</v>
      </c>
      <c r="CE83" s="44">
        <v>1967716</v>
      </c>
      <c r="CF83" s="43">
        <v>2798607</v>
      </c>
      <c r="CG83" s="44">
        <v>755022</v>
      </c>
      <c r="CH83" s="43">
        <v>606682</v>
      </c>
      <c r="CI83" s="44">
        <v>1114682</v>
      </c>
      <c r="CJ83" s="43">
        <v>1235564</v>
      </c>
      <c r="CK83" s="44">
        <v>496938</v>
      </c>
      <c r="CL83" s="43">
        <v>497557</v>
      </c>
      <c r="CM83" s="44">
        <v>1268472</v>
      </c>
      <c r="CN83" s="43">
        <v>1270032</v>
      </c>
      <c r="CO83" s="44">
        <v>306996</v>
      </c>
      <c r="CP83" s="43">
        <v>286704</v>
      </c>
      <c r="CQ83" s="44">
        <v>304123</v>
      </c>
      <c r="CR83" s="43">
        <v>279520</v>
      </c>
      <c r="CS83" s="44">
        <v>103755</v>
      </c>
      <c r="CT83" s="43">
        <v>115711</v>
      </c>
      <c r="CU83" s="44">
        <v>4588205</v>
      </c>
      <c r="CV83" s="43">
        <v>6017515</v>
      </c>
      <c r="CW83" s="44">
        <v>1689834</v>
      </c>
      <c r="CX83" s="43">
        <v>1750501</v>
      </c>
      <c r="CY83" s="44">
        <v>3414011</v>
      </c>
      <c r="CZ83" s="43">
        <v>4216633</v>
      </c>
    </row>
    <row r="84" spans="1:104" ht="15.75" customHeight="1" x14ac:dyDescent="0.25">
      <c r="A84" s="9"/>
      <c r="B84" s="128" t="s">
        <v>200</v>
      </c>
      <c r="C84" s="1" t="s">
        <v>201</v>
      </c>
      <c r="D84" s="14"/>
      <c r="E84" s="27">
        <v>8866336</v>
      </c>
      <c r="F84" s="28">
        <v>6427287</v>
      </c>
      <c r="G84" s="32">
        <v>14022958</v>
      </c>
      <c r="H84" s="28">
        <v>28169103</v>
      </c>
      <c r="I84" s="42">
        <v>32687105</v>
      </c>
      <c r="J84" s="43">
        <v>55809824</v>
      </c>
      <c r="K84" s="27">
        <v>4035656</v>
      </c>
      <c r="L84" s="33">
        <v>888732</v>
      </c>
      <c r="M84" s="27"/>
      <c r="N84" s="28"/>
      <c r="O84" s="27">
        <v>572193</v>
      </c>
      <c r="P84" s="33">
        <v>1704074</v>
      </c>
      <c r="Q84" s="27">
        <v>1400494</v>
      </c>
      <c r="R84" s="33">
        <v>248361</v>
      </c>
      <c r="S84" s="27">
        <v>1790</v>
      </c>
      <c r="T84" s="33">
        <v>1987</v>
      </c>
      <c r="U84" s="27">
        <v>84810</v>
      </c>
      <c r="V84" s="33">
        <v>29409</v>
      </c>
      <c r="W84" s="27">
        <v>109166765</v>
      </c>
      <c r="X84" s="33">
        <v>90564842</v>
      </c>
      <c r="Y84" s="27">
        <v>1496915</v>
      </c>
      <c r="Z84" s="33">
        <v>1024755</v>
      </c>
      <c r="AA84" s="27">
        <v>5469048</v>
      </c>
      <c r="AB84" s="28">
        <v>3870249</v>
      </c>
      <c r="AC84" s="27">
        <v>836438</v>
      </c>
      <c r="AD84" s="33">
        <v>981325</v>
      </c>
      <c r="AE84" s="27">
        <v>31890471</v>
      </c>
      <c r="AF84" s="33">
        <v>34817524</v>
      </c>
      <c r="AG84" s="27">
        <v>1653025</v>
      </c>
      <c r="AH84" s="33">
        <v>1596594</v>
      </c>
      <c r="AI84" s="27">
        <v>54798</v>
      </c>
      <c r="AJ84" s="33">
        <v>912288</v>
      </c>
      <c r="AK84" s="27">
        <v>1801909</v>
      </c>
      <c r="AL84" s="33">
        <v>1001244</v>
      </c>
      <c r="AM84" s="27">
        <v>715623</v>
      </c>
      <c r="AN84" s="33">
        <v>775143</v>
      </c>
      <c r="AO84" s="27">
        <v>46</v>
      </c>
      <c r="AP84" s="33"/>
      <c r="AQ84" s="30">
        <v>3553</v>
      </c>
      <c r="AR84" s="31">
        <v>5894</v>
      </c>
      <c r="AS84" s="42">
        <v>205789</v>
      </c>
      <c r="AT84" s="43">
        <v>143164</v>
      </c>
      <c r="AU84" s="42">
        <v>8898869</v>
      </c>
      <c r="AV84" s="42">
        <v>10333460</v>
      </c>
      <c r="AW84" s="44">
        <v>1245865</v>
      </c>
      <c r="AX84" s="43">
        <v>6674072</v>
      </c>
      <c r="AY84" s="44">
        <v>3252059</v>
      </c>
      <c r="AZ84" s="43">
        <v>3215551</v>
      </c>
      <c r="BA84" s="44">
        <v>1895893</v>
      </c>
      <c r="BB84" s="43">
        <v>2837259</v>
      </c>
      <c r="BC84" s="44">
        <v>3077357</v>
      </c>
      <c r="BD84" s="43">
        <v>343554</v>
      </c>
      <c r="BE84" s="44">
        <v>79109</v>
      </c>
      <c r="BF84" s="43">
        <v>93481</v>
      </c>
      <c r="BG84" s="45">
        <v>349030</v>
      </c>
      <c r="BH84" s="185">
        <v>659786</v>
      </c>
      <c r="BI84" s="44">
        <v>279569</v>
      </c>
      <c r="BJ84" s="43">
        <v>205640</v>
      </c>
      <c r="BK84" s="45">
        <v>545630</v>
      </c>
      <c r="BL84" s="205">
        <v>4059010</v>
      </c>
      <c r="BM84" s="44">
        <v>47710</v>
      </c>
      <c r="BN84" s="43">
        <v>71410</v>
      </c>
      <c r="BO84" s="44">
        <v>58229090</v>
      </c>
      <c r="BP84" s="43">
        <v>48204470</v>
      </c>
      <c r="BQ84" s="44">
        <v>55880</v>
      </c>
      <c r="BR84" s="43">
        <v>12750</v>
      </c>
      <c r="BS84" s="44"/>
      <c r="BT84" s="43"/>
      <c r="BU84" s="44">
        <v>136660</v>
      </c>
      <c r="BV84" s="43">
        <v>692240</v>
      </c>
      <c r="BW84" s="44">
        <v>283010</v>
      </c>
      <c r="BX84" s="43">
        <v>273800</v>
      </c>
      <c r="BY84" s="44">
        <v>878690</v>
      </c>
      <c r="BZ84" s="43">
        <v>985980</v>
      </c>
      <c r="CA84" s="44">
        <v>24000</v>
      </c>
      <c r="CB84" s="43">
        <v>11000</v>
      </c>
      <c r="CC84" s="44">
        <v>37570</v>
      </c>
      <c r="CD84" s="43">
        <v>757070</v>
      </c>
      <c r="CE84" s="44">
        <v>162417</v>
      </c>
      <c r="CF84" s="43">
        <v>99538</v>
      </c>
      <c r="CG84" s="44"/>
      <c r="CH84" s="43">
        <v>13500</v>
      </c>
      <c r="CI84" s="44">
        <v>57840</v>
      </c>
      <c r="CJ84" s="43">
        <v>9709</v>
      </c>
      <c r="CK84" s="44">
        <v>525</v>
      </c>
      <c r="CL84" s="43">
        <v>130</v>
      </c>
      <c r="CM84" s="44">
        <v>241903</v>
      </c>
      <c r="CN84" s="43">
        <v>275054</v>
      </c>
      <c r="CO84" s="44">
        <v>1746</v>
      </c>
      <c r="CP84" s="43">
        <v>5172</v>
      </c>
      <c r="CQ84" s="44">
        <v>172452</v>
      </c>
      <c r="CR84" s="43">
        <v>8701</v>
      </c>
      <c r="CS84" s="44">
        <v>254100</v>
      </c>
      <c r="CT84" s="43">
        <v>67684</v>
      </c>
      <c r="CU84" s="44">
        <v>766395</v>
      </c>
      <c r="CV84" s="43">
        <v>351277</v>
      </c>
      <c r="CW84" s="44"/>
      <c r="CX84" s="43"/>
      <c r="CY84" s="44">
        <v>2388482</v>
      </c>
      <c r="CZ84" s="43">
        <v>1901116</v>
      </c>
    </row>
    <row r="85" spans="1:104" ht="15.75" customHeight="1" x14ac:dyDescent="0.25">
      <c r="A85" s="9"/>
      <c r="B85" s="128" t="s">
        <v>203</v>
      </c>
      <c r="C85" s="108" t="s">
        <v>204</v>
      </c>
      <c r="D85" s="14"/>
      <c r="E85" s="27">
        <v>19079698</v>
      </c>
      <c r="F85" s="28">
        <v>16928222</v>
      </c>
      <c r="G85" s="32">
        <v>4510851</v>
      </c>
      <c r="H85" s="28">
        <v>20018671</v>
      </c>
      <c r="I85" s="42">
        <v>-359704694</v>
      </c>
      <c r="J85" s="43">
        <v>-74125762</v>
      </c>
      <c r="K85" s="32">
        <v>-3754750</v>
      </c>
      <c r="L85" s="33">
        <v>-2704461</v>
      </c>
      <c r="M85" s="27"/>
      <c r="N85" s="28"/>
      <c r="O85" s="27">
        <v>-4194486</v>
      </c>
      <c r="P85" s="33">
        <v>-4158504</v>
      </c>
      <c r="Q85" s="27">
        <v>1333385</v>
      </c>
      <c r="R85" s="33">
        <v>3422393</v>
      </c>
      <c r="S85" s="27">
        <v>-82634</v>
      </c>
      <c r="T85" s="33">
        <v>549515</v>
      </c>
      <c r="U85" s="27">
        <v>445811</v>
      </c>
      <c r="V85" s="33">
        <v>473898</v>
      </c>
      <c r="W85" s="27">
        <v>-110500114</v>
      </c>
      <c r="X85" s="33">
        <v>-80041971</v>
      </c>
      <c r="Y85" s="27">
        <v>-347454198</v>
      </c>
      <c r="Z85" s="33">
        <v>-586506017</v>
      </c>
      <c r="AA85" s="27">
        <v>3132455</v>
      </c>
      <c r="AB85" s="28">
        <v>6248696</v>
      </c>
      <c r="AC85" s="27">
        <v>3027185</v>
      </c>
      <c r="AD85" s="33">
        <v>2983610</v>
      </c>
      <c r="AE85" s="27">
        <v>-357866790</v>
      </c>
      <c r="AF85" s="33">
        <v>-5367365</v>
      </c>
      <c r="AG85" s="27">
        <v>2010046</v>
      </c>
      <c r="AH85" s="33">
        <v>1964275</v>
      </c>
      <c r="AI85" s="27">
        <v>-930577</v>
      </c>
      <c r="AJ85" s="33">
        <v>3124041</v>
      </c>
      <c r="AK85" s="27">
        <v>3996847</v>
      </c>
      <c r="AL85" s="33">
        <v>3258511</v>
      </c>
      <c r="AM85" s="27">
        <v>295002</v>
      </c>
      <c r="AN85" s="33">
        <v>487860</v>
      </c>
      <c r="AO85" s="27">
        <v>26333</v>
      </c>
      <c r="AP85" s="33">
        <v>1284808</v>
      </c>
      <c r="AQ85" s="30">
        <v>31429</v>
      </c>
      <c r="AR85" s="31">
        <v>1605238</v>
      </c>
      <c r="AS85" s="42">
        <v>71207</v>
      </c>
      <c r="AT85" s="43">
        <v>-675146</v>
      </c>
      <c r="AU85" s="42">
        <v>59464446</v>
      </c>
      <c r="AV85" s="42">
        <v>29498882</v>
      </c>
      <c r="AW85" s="44">
        <v>-5692944</v>
      </c>
      <c r="AX85" s="43">
        <v>-65009731</v>
      </c>
      <c r="AY85" s="44">
        <v>-1248277</v>
      </c>
      <c r="AZ85" s="43">
        <v>10935268</v>
      </c>
      <c r="BA85" s="44">
        <v>-151783962</v>
      </c>
      <c r="BB85" s="43">
        <v>-484807782</v>
      </c>
      <c r="BC85" s="44">
        <v>11483469</v>
      </c>
      <c r="BD85" s="43">
        <v>22731499</v>
      </c>
      <c r="BE85" s="44">
        <v>5328139</v>
      </c>
      <c r="BF85" s="43">
        <v>6628861</v>
      </c>
      <c r="BG85" s="45">
        <v>-905662</v>
      </c>
      <c r="BH85" s="185">
        <v>-51534</v>
      </c>
      <c r="BI85" s="44">
        <v>1356328</v>
      </c>
      <c r="BJ85" s="43">
        <v>979572</v>
      </c>
      <c r="BK85" s="45">
        <v>-519150</v>
      </c>
      <c r="BL85" s="205">
        <v>872820</v>
      </c>
      <c r="BM85" s="44">
        <v>1405170</v>
      </c>
      <c r="BN85" s="43">
        <v>899780</v>
      </c>
      <c r="BO85" s="44">
        <v>52907990</v>
      </c>
      <c r="BP85" s="43">
        <v>-197527850</v>
      </c>
      <c r="BQ85" s="44">
        <v>1105760</v>
      </c>
      <c r="BR85" s="43">
        <v>2931250</v>
      </c>
      <c r="BS85" s="44">
        <v>370210</v>
      </c>
      <c r="BT85" s="43">
        <v>604030</v>
      </c>
      <c r="BU85" s="44">
        <v>1496200</v>
      </c>
      <c r="BV85" s="43">
        <v>486380</v>
      </c>
      <c r="BW85" s="44">
        <v>1519610</v>
      </c>
      <c r="BX85" s="43">
        <v>1788450</v>
      </c>
      <c r="BY85" s="44">
        <v>12975180</v>
      </c>
      <c r="BZ85" s="43">
        <v>25912970</v>
      </c>
      <c r="CA85" s="44">
        <v>-3781100</v>
      </c>
      <c r="CB85" s="43">
        <v>-2490390</v>
      </c>
      <c r="CC85" s="44">
        <v>1381590</v>
      </c>
      <c r="CD85" s="43">
        <v>654960</v>
      </c>
      <c r="CE85" s="44">
        <v>-883951</v>
      </c>
      <c r="CF85" s="43">
        <v>-1088674</v>
      </c>
      <c r="CG85" s="44">
        <v>284406</v>
      </c>
      <c r="CH85" s="43">
        <v>325548</v>
      </c>
      <c r="CI85" s="44">
        <v>42317</v>
      </c>
      <c r="CJ85" s="43">
        <v>92897</v>
      </c>
      <c r="CK85" s="44">
        <v>12299</v>
      </c>
      <c r="CL85" s="43">
        <v>20977</v>
      </c>
      <c r="CM85" s="44">
        <v>8414</v>
      </c>
      <c r="CN85" s="43">
        <v>-680107</v>
      </c>
      <c r="CO85" s="44">
        <v>-314072</v>
      </c>
      <c r="CP85" s="43">
        <v>52377</v>
      </c>
      <c r="CQ85" s="44">
        <v>-1900</v>
      </c>
      <c r="CR85" s="43">
        <v>-3126</v>
      </c>
      <c r="CS85" s="44">
        <v>-284794</v>
      </c>
      <c r="CT85" s="43">
        <v>-108226</v>
      </c>
      <c r="CU85" s="44">
        <v>933317</v>
      </c>
      <c r="CV85" s="43">
        <v>1091166</v>
      </c>
      <c r="CW85" s="44">
        <v>-632600</v>
      </c>
      <c r="CX85" s="43">
        <v>-787685</v>
      </c>
      <c r="CY85" s="44">
        <v>144764</v>
      </c>
      <c r="CZ85" s="43">
        <v>288665</v>
      </c>
    </row>
    <row r="86" spans="1:104" ht="30.95" customHeight="1" x14ac:dyDescent="0.25">
      <c r="A86" s="9"/>
      <c r="B86" s="128" t="s">
        <v>208</v>
      </c>
      <c r="C86" s="159" t="s">
        <v>209</v>
      </c>
      <c r="D86" s="14"/>
      <c r="E86" s="27"/>
      <c r="F86" s="28"/>
      <c r="G86" s="32">
        <v>4064149</v>
      </c>
      <c r="H86" s="28">
        <v>740617</v>
      </c>
      <c r="I86" s="42"/>
      <c r="J86" s="43"/>
      <c r="K86" s="32"/>
      <c r="L86" s="33"/>
      <c r="M86" s="27"/>
      <c r="N86" s="28"/>
      <c r="O86" s="27"/>
      <c r="P86" s="33"/>
      <c r="Q86" s="27"/>
      <c r="R86" s="33"/>
      <c r="S86" s="27"/>
      <c r="T86" s="33"/>
      <c r="U86" s="27"/>
      <c r="V86" s="33"/>
      <c r="W86" s="27"/>
      <c r="X86" s="33"/>
      <c r="Y86" s="27"/>
      <c r="Z86" s="33"/>
      <c r="AA86" s="27"/>
      <c r="AB86" s="28"/>
      <c r="AC86" s="27"/>
      <c r="AD86" s="33"/>
      <c r="AE86" s="27"/>
      <c r="AF86" s="33"/>
      <c r="AG86" s="27"/>
      <c r="AH86" s="33"/>
      <c r="AI86" s="27"/>
      <c r="AJ86" s="33"/>
      <c r="AK86" s="27"/>
      <c r="AL86" s="33"/>
      <c r="AM86" s="27"/>
      <c r="AN86" s="33"/>
      <c r="AO86" s="27"/>
      <c r="AP86" s="33"/>
      <c r="AQ86" s="30"/>
      <c r="AR86" s="31"/>
      <c r="AS86" s="42"/>
      <c r="AT86" s="43"/>
      <c r="AU86" s="42">
        <v>11522614</v>
      </c>
      <c r="AV86" s="42"/>
      <c r="AW86" s="44">
        <v>1613559</v>
      </c>
      <c r="AX86" s="43">
        <v>2711714</v>
      </c>
      <c r="AY86" s="44"/>
      <c r="AZ86" s="43"/>
      <c r="BA86" s="44"/>
      <c r="BB86" s="43"/>
      <c r="BC86" s="44"/>
      <c r="BD86" s="43"/>
      <c r="BE86" s="44"/>
      <c r="BF86" s="43"/>
      <c r="BG86" s="45"/>
      <c r="BH86" s="185"/>
      <c r="BI86" s="44"/>
      <c r="BJ86" s="43"/>
      <c r="BK86" s="45"/>
      <c r="BL86" s="205"/>
      <c r="BM86" s="44"/>
      <c r="BN86" s="43"/>
      <c r="BO86" s="44"/>
      <c r="BP86" s="43"/>
      <c r="BQ86" s="44"/>
      <c r="BR86" s="43"/>
      <c r="BS86" s="44"/>
      <c r="BT86" s="43"/>
      <c r="BU86" s="44"/>
      <c r="BV86" s="43"/>
      <c r="BW86" s="44"/>
      <c r="BX86" s="43"/>
      <c r="BY86" s="44"/>
      <c r="BZ86" s="43"/>
      <c r="CA86" s="44"/>
      <c r="CB86" s="43"/>
      <c r="CC86" s="44"/>
      <c r="CD86" s="43"/>
      <c r="CE86" s="44"/>
      <c r="CF86" s="43"/>
      <c r="CG86" s="44"/>
      <c r="CH86" s="43"/>
      <c r="CI86" s="44"/>
      <c r="CJ86" s="43"/>
      <c r="CK86" s="44"/>
      <c r="CL86" s="43"/>
      <c r="CM86" s="44"/>
      <c r="CN86" s="43"/>
      <c r="CO86" s="44"/>
      <c r="CP86" s="43"/>
      <c r="CQ86" s="44"/>
      <c r="CR86" s="43"/>
      <c r="CS86" s="44"/>
      <c r="CT86" s="43"/>
      <c r="CU86" s="44"/>
      <c r="CV86" s="43"/>
      <c r="CW86" s="44"/>
      <c r="CX86" s="43"/>
      <c r="CY86" s="44"/>
      <c r="CZ86" s="43"/>
    </row>
    <row r="87" spans="1:104" ht="15.75" customHeight="1" x14ac:dyDescent="0.25">
      <c r="A87" s="9"/>
      <c r="B87" s="128" t="s">
        <v>210</v>
      </c>
      <c r="C87" s="159" t="s">
        <v>211</v>
      </c>
      <c r="D87" s="14"/>
      <c r="E87" s="27"/>
      <c r="F87" s="28"/>
      <c r="G87" s="32">
        <v>-6323704</v>
      </c>
      <c r="H87" s="28">
        <v>-407132</v>
      </c>
      <c r="I87" s="42"/>
      <c r="J87" s="43"/>
      <c r="K87" s="32"/>
      <c r="L87" s="33"/>
      <c r="M87" s="27"/>
      <c r="N87" s="28"/>
      <c r="O87" s="27"/>
      <c r="P87" s="33"/>
      <c r="Q87" s="27"/>
      <c r="R87" s="33"/>
      <c r="S87" s="27"/>
      <c r="T87" s="33"/>
      <c r="U87" s="27"/>
      <c r="V87" s="33"/>
      <c r="W87" s="27"/>
      <c r="X87" s="33"/>
      <c r="Y87" s="27"/>
      <c r="Z87" s="33"/>
      <c r="AA87" s="27"/>
      <c r="AB87" s="28"/>
      <c r="AC87" s="27"/>
      <c r="AD87" s="33"/>
      <c r="AE87" s="27"/>
      <c r="AF87" s="33"/>
      <c r="AG87" s="27"/>
      <c r="AH87" s="33"/>
      <c r="AI87" s="27"/>
      <c r="AJ87" s="33"/>
      <c r="AK87" s="27"/>
      <c r="AL87" s="33"/>
      <c r="AM87" s="27"/>
      <c r="AN87" s="33"/>
      <c r="AO87" s="27"/>
      <c r="AP87" s="33"/>
      <c r="AQ87" s="30"/>
      <c r="AR87" s="31"/>
      <c r="AS87" s="42"/>
      <c r="AT87" s="43"/>
      <c r="AU87" s="42"/>
      <c r="AV87" s="42"/>
      <c r="AW87" s="44"/>
      <c r="AX87" s="43"/>
      <c r="AY87" s="44"/>
      <c r="AZ87" s="43"/>
      <c r="BA87" s="44"/>
      <c r="BB87" s="43"/>
      <c r="BC87" s="44"/>
      <c r="BD87" s="43"/>
      <c r="BE87" s="44"/>
      <c r="BF87" s="43"/>
      <c r="BG87" s="45"/>
      <c r="BH87" s="185"/>
      <c r="BI87" s="44"/>
      <c r="BJ87" s="43"/>
      <c r="BK87" s="45"/>
      <c r="BL87" s="205"/>
      <c r="BM87" s="44"/>
      <c r="BN87" s="43"/>
      <c r="BO87" s="44"/>
      <c r="BP87" s="43"/>
      <c r="BQ87" s="44"/>
      <c r="BR87" s="43"/>
      <c r="BS87" s="44"/>
      <c r="BT87" s="43"/>
      <c r="BU87" s="44"/>
      <c r="BV87" s="43"/>
      <c r="BW87" s="44"/>
      <c r="BX87" s="43"/>
      <c r="BY87" s="44"/>
      <c r="BZ87" s="43"/>
      <c r="CA87" s="44"/>
      <c r="CB87" s="43"/>
      <c r="CC87" s="44"/>
      <c r="CD87" s="43"/>
      <c r="CE87" s="44"/>
      <c r="CF87" s="43"/>
      <c r="CG87" s="44"/>
      <c r="CH87" s="43"/>
      <c r="CI87" s="44"/>
      <c r="CJ87" s="43"/>
      <c r="CK87" s="44"/>
      <c r="CL87" s="43"/>
      <c r="CM87" s="44"/>
      <c r="CN87" s="43"/>
      <c r="CO87" s="44"/>
      <c r="CP87" s="43"/>
      <c r="CQ87" s="44"/>
      <c r="CR87" s="43"/>
      <c r="CS87" s="44"/>
      <c r="CT87" s="43"/>
      <c r="CU87" s="44"/>
      <c r="CV87" s="43"/>
      <c r="CW87" s="44"/>
      <c r="CX87" s="43"/>
      <c r="CY87" s="44"/>
      <c r="CZ87" s="43"/>
    </row>
    <row r="88" spans="1:104" ht="15.75" customHeight="1" x14ac:dyDescent="0.25">
      <c r="A88" s="9"/>
      <c r="B88" s="128" t="s">
        <v>212</v>
      </c>
      <c r="C88" s="108" t="s">
        <v>213</v>
      </c>
      <c r="D88" s="14"/>
      <c r="E88" s="27">
        <v>-1055387</v>
      </c>
      <c r="F88" s="28">
        <v>506730</v>
      </c>
      <c r="G88" s="32"/>
      <c r="H88" s="28"/>
      <c r="I88" s="42">
        <v>-1658194</v>
      </c>
      <c r="J88" s="43">
        <v>2146112</v>
      </c>
      <c r="K88" s="32">
        <v>4052808</v>
      </c>
      <c r="L88" s="33">
        <v>1378674</v>
      </c>
      <c r="M88" s="27"/>
      <c r="N88" s="28"/>
      <c r="O88" s="27">
        <v>303140</v>
      </c>
      <c r="P88" s="33">
        <v>287993</v>
      </c>
      <c r="Q88" s="27">
        <v>135940</v>
      </c>
      <c r="R88" s="33">
        <v>-319846</v>
      </c>
      <c r="S88" s="27">
        <v>810647</v>
      </c>
      <c r="T88" s="33">
        <v>1211718</v>
      </c>
      <c r="U88" s="27">
        <v>-60993</v>
      </c>
      <c r="V88" s="33">
        <v>-21369</v>
      </c>
      <c r="W88" s="27">
        <v>5264259</v>
      </c>
      <c r="X88" s="33">
        <v>26805101</v>
      </c>
      <c r="Y88" s="27">
        <v>350390890</v>
      </c>
      <c r="Z88" s="33">
        <v>587954313</v>
      </c>
      <c r="AA88" s="27">
        <v>7349695</v>
      </c>
      <c r="AB88" s="28">
        <v>-3038036</v>
      </c>
      <c r="AC88" s="27">
        <v>158871</v>
      </c>
      <c r="AD88" s="33">
        <v>-60899</v>
      </c>
      <c r="AE88" s="27"/>
      <c r="AF88" s="33"/>
      <c r="AG88" s="27">
        <v>884132</v>
      </c>
      <c r="AH88" s="33">
        <v>371823</v>
      </c>
      <c r="AI88" s="27">
        <v>107177</v>
      </c>
      <c r="AJ88" s="33">
        <v>4955</v>
      </c>
      <c r="AK88" s="27">
        <v>-335257</v>
      </c>
      <c r="AL88" s="33">
        <v>-872361</v>
      </c>
      <c r="AM88" s="27">
        <v>69116</v>
      </c>
      <c r="AN88" s="33">
        <v>-59170</v>
      </c>
      <c r="AO88" s="27">
        <v>27930</v>
      </c>
      <c r="AP88" s="33">
        <v>-106459</v>
      </c>
      <c r="AQ88" s="30">
        <v>274045</v>
      </c>
      <c r="AR88" s="31">
        <v>121697</v>
      </c>
      <c r="AS88" s="42">
        <v>292</v>
      </c>
      <c r="AT88" s="43">
        <v>26360</v>
      </c>
      <c r="AU88" s="42"/>
      <c r="AV88" s="42">
        <v>173944228</v>
      </c>
      <c r="AW88" s="44"/>
      <c r="AX88" s="43"/>
      <c r="AY88" s="44">
        <v>7047687</v>
      </c>
      <c r="AZ88" s="43">
        <v>1545408</v>
      </c>
      <c r="BA88" s="44">
        <v>-2959944788</v>
      </c>
      <c r="BB88" s="43">
        <v>-222441399</v>
      </c>
      <c r="BC88" s="44">
        <v>-8651732</v>
      </c>
      <c r="BD88" s="43">
        <v>-107181</v>
      </c>
      <c r="BE88" s="44">
        <v>253983</v>
      </c>
      <c r="BF88" s="43">
        <v>326760</v>
      </c>
      <c r="BG88" s="45">
        <v>228247</v>
      </c>
      <c r="BH88" s="185">
        <v>185414</v>
      </c>
      <c r="BI88" s="44">
        <v>150754</v>
      </c>
      <c r="BJ88" s="43">
        <v>59</v>
      </c>
      <c r="BK88" s="45">
        <v>2142140</v>
      </c>
      <c r="BL88" s="205">
        <v>1389530</v>
      </c>
      <c r="BM88" s="44">
        <v>68390</v>
      </c>
      <c r="BN88" s="43">
        <v>165540</v>
      </c>
      <c r="BO88" s="44">
        <v>-48146470</v>
      </c>
      <c r="BP88" s="43">
        <v>-29379940</v>
      </c>
      <c r="BQ88" s="44">
        <v>320</v>
      </c>
      <c r="BR88" s="43"/>
      <c r="BS88" s="44"/>
      <c r="BT88" s="43">
        <v>-80</v>
      </c>
      <c r="BU88" s="44">
        <v>410640</v>
      </c>
      <c r="BV88" s="43">
        <v>77000</v>
      </c>
      <c r="BW88" s="44">
        <v>35630</v>
      </c>
      <c r="BX88" s="43">
        <v>17600</v>
      </c>
      <c r="BY88" s="44">
        <v>4102460</v>
      </c>
      <c r="BZ88" s="43">
        <v>4894240</v>
      </c>
      <c r="CA88" s="44">
        <v>3237460</v>
      </c>
      <c r="CB88" s="43">
        <v>1718660</v>
      </c>
      <c r="CC88" s="44">
        <v>-53290</v>
      </c>
      <c r="CD88" s="43">
        <v>3160</v>
      </c>
      <c r="CE88" s="44">
        <v>815758</v>
      </c>
      <c r="CF88" s="43">
        <v>1151412</v>
      </c>
      <c r="CG88" s="44">
        <v>28669</v>
      </c>
      <c r="CH88" s="43">
        <v>-439699</v>
      </c>
      <c r="CI88" s="44">
        <v>201</v>
      </c>
      <c r="CJ88" s="43">
        <v>-27</v>
      </c>
      <c r="CK88" s="44"/>
      <c r="CL88" s="43"/>
      <c r="CM88" s="44">
        <v>3999</v>
      </c>
      <c r="CN88" s="43">
        <v>258076</v>
      </c>
      <c r="CO88" s="44"/>
      <c r="CP88" s="43"/>
      <c r="CQ88" s="44"/>
      <c r="CR88" s="43"/>
      <c r="CS88" s="44">
        <v>300000</v>
      </c>
      <c r="CT88" s="43">
        <v>136899</v>
      </c>
      <c r="CU88" s="44">
        <v>53336</v>
      </c>
      <c r="CV88" s="43">
        <v>54653</v>
      </c>
      <c r="CW88" s="44"/>
      <c r="CX88" s="43"/>
      <c r="CY88" s="44"/>
      <c r="CZ88" s="43">
        <v>-48339</v>
      </c>
    </row>
    <row r="89" spans="1:104" ht="15.75" customHeight="1" x14ac:dyDescent="0.25">
      <c r="A89" s="9"/>
      <c r="B89" s="128" t="s">
        <v>214</v>
      </c>
      <c r="C89" s="1" t="s">
        <v>215</v>
      </c>
      <c r="D89" s="14"/>
      <c r="E89" s="27">
        <v>18024311</v>
      </c>
      <c r="F89" s="28">
        <v>17434952</v>
      </c>
      <c r="G89" s="32">
        <v>2251296</v>
      </c>
      <c r="H89" s="28">
        <v>20349898</v>
      </c>
      <c r="I89" s="42">
        <v>-361362888</v>
      </c>
      <c r="J89" s="43">
        <v>-71979650</v>
      </c>
      <c r="K89" s="32">
        <v>298058</v>
      </c>
      <c r="L89" s="33">
        <v>-1325757</v>
      </c>
      <c r="M89" s="27"/>
      <c r="N89" s="28"/>
      <c r="O89" s="27">
        <v>-3891346</v>
      </c>
      <c r="P89" s="33">
        <v>-3870512</v>
      </c>
      <c r="Q89" s="27">
        <v>1469325</v>
      </c>
      <c r="R89" s="33">
        <v>3102547</v>
      </c>
      <c r="S89" s="27">
        <v>728013</v>
      </c>
      <c r="T89" s="33">
        <v>1761233</v>
      </c>
      <c r="U89" s="27">
        <v>384818</v>
      </c>
      <c r="V89" s="33">
        <v>452529</v>
      </c>
      <c r="W89" s="27">
        <v>-105235855</v>
      </c>
      <c r="X89" s="33">
        <v>-53236870</v>
      </c>
      <c r="Y89" s="27">
        <v>2936692</v>
      </c>
      <c r="Z89" s="33">
        <v>1448296</v>
      </c>
      <c r="AA89" s="27">
        <v>10482150</v>
      </c>
      <c r="AB89" s="28">
        <v>3210660</v>
      </c>
      <c r="AC89" s="27">
        <v>3186056</v>
      </c>
      <c r="AD89" s="33">
        <v>2922711</v>
      </c>
      <c r="AE89" s="27">
        <v>-496074073</v>
      </c>
      <c r="AF89" s="33">
        <v>9750612</v>
      </c>
      <c r="AG89" s="27">
        <v>1125914</v>
      </c>
      <c r="AH89" s="33">
        <v>1592452</v>
      </c>
      <c r="AI89" s="27">
        <v>-823400</v>
      </c>
      <c r="AJ89" s="33">
        <v>3128996</v>
      </c>
      <c r="AK89" s="27">
        <v>3661590</v>
      </c>
      <c r="AL89" s="33">
        <v>2386150</v>
      </c>
      <c r="AM89" s="27">
        <v>364118</v>
      </c>
      <c r="AN89" s="33">
        <v>428690</v>
      </c>
      <c r="AO89" s="27">
        <v>54263</v>
      </c>
      <c r="AP89" s="33">
        <v>1178349</v>
      </c>
      <c r="AQ89" s="30">
        <v>242616</v>
      </c>
      <c r="AR89" s="31">
        <v>1726935</v>
      </c>
      <c r="AS89" s="42">
        <v>71499</v>
      </c>
      <c r="AT89" s="43">
        <v>-648786</v>
      </c>
      <c r="AU89" s="42">
        <v>70987060</v>
      </c>
      <c r="AV89" s="42">
        <v>46893040</v>
      </c>
      <c r="AW89" s="44">
        <v>-4079385</v>
      </c>
      <c r="AX89" s="43">
        <v>-62298017</v>
      </c>
      <c r="AY89" s="44">
        <v>5799410</v>
      </c>
      <c r="AZ89" s="43">
        <v>12480676</v>
      </c>
      <c r="BA89" s="44">
        <v>-3111728750</v>
      </c>
      <c r="BB89" s="43">
        <v>262366383</v>
      </c>
      <c r="BC89" s="44">
        <v>2832037</v>
      </c>
      <c r="BD89" s="43">
        <v>22624318</v>
      </c>
      <c r="BE89" s="44">
        <v>5582122</v>
      </c>
      <c r="BF89" s="43">
        <v>6955621</v>
      </c>
      <c r="BG89" s="45">
        <v>-677415</v>
      </c>
      <c r="BH89" s="185">
        <v>133880</v>
      </c>
      <c r="BI89" s="44">
        <v>1507082</v>
      </c>
      <c r="BJ89" s="43">
        <v>979631</v>
      </c>
      <c r="BK89" s="45">
        <v>1622990</v>
      </c>
      <c r="BL89" s="205">
        <v>2262350</v>
      </c>
      <c r="BM89" s="44">
        <v>1473560</v>
      </c>
      <c r="BN89" s="43">
        <v>1065320</v>
      </c>
      <c r="BO89" s="44">
        <v>4761520</v>
      </c>
      <c r="BP89" s="43">
        <v>-226907780</v>
      </c>
      <c r="BQ89" s="44">
        <v>1106080</v>
      </c>
      <c r="BR89" s="43">
        <v>2931250</v>
      </c>
      <c r="BS89" s="44">
        <v>370210</v>
      </c>
      <c r="BT89" s="43">
        <v>603940</v>
      </c>
      <c r="BU89" s="44">
        <v>1906840</v>
      </c>
      <c r="BV89" s="43">
        <v>563390</v>
      </c>
      <c r="BW89" s="44">
        <v>1555240</v>
      </c>
      <c r="BX89" s="43">
        <v>1806050</v>
      </c>
      <c r="BY89" s="44">
        <v>17077630</v>
      </c>
      <c r="BZ89" s="43">
        <v>30807220</v>
      </c>
      <c r="CA89" s="44">
        <v>-543630</v>
      </c>
      <c r="CB89" s="43">
        <v>-771730</v>
      </c>
      <c r="CC89" s="44">
        <v>1328290</v>
      </c>
      <c r="CD89" s="43">
        <v>658120</v>
      </c>
      <c r="CE89" s="44">
        <v>-68193</v>
      </c>
      <c r="CF89" s="43">
        <v>62738</v>
      </c>
      <c r="CG89" s="44">
        <v>313075</v>
      </c>
      <c r="CH89" s="43">
        <v>-114151</v>
      </c>
      <c r="CI89" s="44">
        <v>42518</v>
      </c>
      <c r="CJ89" s="43">
        <v>92870</v>
      </c>
      <c r="CK89" s="44">
        <v>12299</v>
      </c>
      <c r="CL89" s="43">
        <v>20977</v>
      </c>
      <c r="CM89" s="44">
        <v>12413</v>
      </c>
      <c r="CN89" s="43">
        <v>-422031</v>
      </c>
      <c r="CO89" s="44">
        <v>-314072</v>
      </c>
      <c r="CP89" s="43">
        <v>52377</v>
      </c>
      <c r="CQ89" s="44">
        <v>-1900</v>
      </c>
      <c r="CR89" s="43">
        <v>-3126</v>
      </c>
      <c r="CS89" s="44">
        <v>15206</v>
      </c>
      <c r="CT89" s="43">
        <v>28673</v>
      </c>
      <c r="CU89" s="44">
        <v>986653</v>
      </c>
      <c r="CV89" s="43">
        <v>1145819</v>
      </c>
      <c r="CW89" s="44">
        <v>-632600</v>
      </c>
      <c r="CX89" s="43">
        <v>-787685</v>
      </c>
      <c r="CY89" s="44">
        <v>144764</v>
      </c>
      <c r="CZ89" s="43">
        <v>240326</v>
      </c>
    </row>
    <row r="90" spans="1:104" ht="15.75" customHeight="1" thickBot="1" x14ac:dyDescent="0.3">
      <c r="A90" s="9"/>
      <c r="B90" s="128" t="s">
        <v>216</v>
      </c>
      <c r="C90" s="1" t="s">
        <v>217</v>
      </c>
      <c r="D90" s="14"/>
      <c r="E90" s="27">
        <v>2772917</v>
      </c>
      <c r="F90" s="28">
        <v>2537587</v>
      </c>
      <c r="G90" s="32"/>
      <c r="H90" s="28">
        <v>3746793</v>
      </c>
      <c r="I90" s="42"/>
      <c r="J90" s="43"/>
      <c r="K90" s="32">
        <v>201112</v>
      </c>
      <c r="L90" s="33">
        <v>216035</v>
      </c>
      <c r="M90" s="27"/>
      <c r="N90" s="28"/>
      <c r="O90" s="27"/>
      <c r="P90" s="33"/>
      <c r="Q90" s="27">
        <v>266019</v>
      </c>
      <c r="R90" s="33">
        <v>496891</v>
      </c>
      <c r="S90" s="27">
        <v>173858</v>
      </c>
      <c r="T90" s="33">
        <v>95856</v>
      </c>
      <c r="U90" s="27">
        <v>38322</v>
      </c>
      <c r="V90" s="33">
        <v>59183</v>
      </c>
      <c r="W90" s="47"/>
      <c r="X90" s="33"/>
      <c r="Y90" s="27">
        <v>825325</v>
      </c>
      <c r="Z90" s="33">
        <v>518282</v>
      </c>
      <c r="AA90" s="27">
        <v>2665472</v>
      </c>
      <c r="AB90" s="28">
        <v>380021</v>
      </c>
      <c r="AC90" s="27">
        <v>532225</v>
      </c>
      <c r="AD90" s="33">
        <v>530174</v>
      </c>
      <c r="AE90" s="27"/>
      <c r="AF90" s="33">
        <v>4138162</v>
      </c>
      <c r="AG90" s="27">
        <v>371738</v>
      </c>
      <c r="AH90" s="33">
        <v>352680</v>
      </c>
      <c r="AI90" s="47">
        <v>439804</v>
      </c>
      <c r="AJ90" s="33">
        <v>861802</v>
      </c>
      <c r="AK90" s="47">
        <v>940523</v>
      </c>
      <c r="AL90" s="48">
        <v>695941</v>
      </c>
      <c r="AM90" s="47">
        <v>88629</v>
      </c>
      <c r="AN90" s="33">
        <v>298819</v>
      </c>
      <c r="AO90" s="47"/>
      <c r="AP90" s="48">
        <v>345929</v>
      </c>
      <c r="AQ90" s="49">
        <v>212804</v>
      </c>
      <c r="AR90" s="31">
        <v>378983</v>
      </c>
      <c r="AS90" s="50">
        <v>29326</v>
      </c>
      <c r="AT90" s="43"/>
      <c r="AU90" s="50">
        <v>8352796</v>
      </c>
      <c r="AV90" s="50">
        <v>5555633</v>
      </c>
      <c r="AW90" s="44"/>
      <c r="AX90" s="43"/>
      <c r="AY90" s="44">
        <v>1236338</v>
      </c>
      <c r="AZ90" s="43">
        <v>1969163</v>
      </c>
      <c r="BA90" s="44"/>
      <c r="BB90" s="43"/>
      <c r="BC90" s="44">
        <v>389120</v>
      </c>
      <c r="BD90" s="43">
        <v>2550975</v>
      </c>
      <c r="BE90" s="44">
        <v>1037609</v>
      </c>
      <c r="BF90" s="43">
        <v>1140934</v>
      </c>
      <c r="BG90" s="45"/>
      <c r="BH90" s="187">
        <v>48368</v>
      </c>
      <c r="BI90" s="44">
        <v>193112</v>
      </c>
      <c r="BJ90" s="43"/>
      <c r="BK90" s="45">
        <v>421050</v>
      </c>
      <c r="BL90" s="205">
        <v>1036710</v>
      </c>
      <c r="BM90" s="44">
        <v>190580</v>
      </c>
      <c r="BN90" s="43">
        <v>144180</v>
      </c>
      <c r="BO90" s="44">
        <v>3563690</v>
      </c>
      <c r="BP90" s="43"/>
      <c r="BQ90" s="44">
        <v>201430</v>
      </c>
      <c r="BR90" s="43">
        <v>398630</v>
      </c>
      <c r="BS90" s="44">
        <v>116700</v>
      </c>
      <c r="BT90" s="43">
        <v>166220</v>
      </c>
      <c r="BU90" s="44">
        <v>127880</v>
      </c>
      <c r="BV90" s="43">
        <v>67610</v>
      </c>
      <c r="BW90" s="44">
        <v>386010</v>
      </c>
      <c r="BX90" s="43">
        <v>575720</v>
      </c>
      <c r="BY90" s="44">
        <v>2108650</v>
      </c>
      <c r="BZ90" s="43">
        <v>3808930</v>
      </c>
      <c r="CA90" s="44"/>
      <c r="CB90" s="43"/>
      <c r="CC90" s="44">
        <v>251170</v>
      </c>
      <c r="CD90" s="43">
        <v>226390</v>
      </c>
      <c r="CE90" s="44"/>
      <c r="CF90" s="43"/>
      <c r="CG90" s="44">
        <v>38428</v>
      </c>
      <c r="CH90" s="43">
        <v>7345</v>
      </c>
      <c r="CI90" s="44">
        <v>13773</v>
      </c>
      <c r="CJ90" s="43">
        <v>5079</v>
      </c>
      <c r="CK90" s="44">
        <v>1801</v>
      </c>
      <c r="CL90" s="43">
        <v>2953</v>
      </c>
      <c r="CM90" s="44"/>
      <c r="CN90" s="43"/>
      <c r="CO90" s="44"/>
      <c r="CP90" s="43"/>
      <c r="CQ90" s="44"/>
      <c r="CR90" s="43">
        <v>-71</v>
      </c>
      <c r="CS90" s="44">
        <v>6462</v>
      </c>
      <c r="CT90" s="43">
        <v>10145</v>
      </c>
      <c r="CU90" s="44"/>
      <c r="CV90" s="43"/>
      <c r="CW90" s="44"/>
      <c r="CX90" s="43"/>
      <c r="CY90" s="44"/>
      <c r="CZ90" s="43"/>
    </row>
    <row r="91" spans="1:104" ht="31.5" customHeight="1" thickBot="1" x14ac:dyDescent="0.3">
      <c r="A91" s="51"/>
      <c r="B91" s="160" t="s">
        <v>218</v>
      </c>
      <c r="C91" s="161" t="s">
        <v>219</v>
      </c>
      <c r="D91" s="162"/>
      <c r="E91" s="163">
        <f t="shared" ref="E91:L91" si="18">E89-E90</f>
        <v>15251394</v>
      </c>
      <c r="F91" s="164">
        <f t="shared" si="18"/>
        <v>14897365</v>
      </c>
      <c r="G91" s="165">
        <f t="shared" si="18"/>
        <v>2251296</v>
      </c>
      <c r="H91" s="164">
        <f t="shared" si="18"/>
        <v>16603105</v>
      </c>
      <c r="I91" s="164">
        <f t="shared" si="18"/>
        <v>-361362888</v>
      </c>
      <c r="J91" s="164">
        <f t="shared" si="18"/>
        <v>-71979650</v>
      </c>
      <c r="K91" s="165">
        <f t="shared" si="18"/>
        <v>96946</v>
      </c>
      <c r="L91" s="166">
        <f t="shared" si="18"/>
        <v>-1541792</v>
      </c>
      <c r="M91" s="166">
        <v>160307822</v>
      </c>
      <c r="N91" s="166">
        <v>102856625</v>
      </c>
      <c r="O91" s="166">
        <f t="shared" ref="O91:CF91" si="19">O89-O90</f>
        <v>-3891346</v>
      </c>
      <c r="P91" s="166">
        <f t="shared" si="19"/>
        <v>-3870512</v>
      </c>
      <c r="Q91" s="166">
        <f t="shared" si="19"/>
        <v>1203306</v>
      </c>
      <c r="R91" s="166">
        <f t="shared" si="19"/>
        <v>2605656</v>
      </c>
      <c r="S91" s="166">
        <f t="shared" si="19"/>
        <v>554155</v>
      </c>
      <c r="T91" s="166">
        <f t="shared" si="19"/>
        <v>1665377</v>
      </c>
      <c r="U91" s="166">
        <f t="shared" si="19"/>
        <v>346496</v>
      </c>
      <c r="V91" s="166">
        <f t="shared" si="19"/>
        <v>393346</v>
      </c>
      <c r="W91" s="167">
        <f t="shared" si="19"/>
        <v>-105235855</v>
      </c>
      <c r="X91" s="164">
        <f t="shared" si="19"/>
        <v>-53236870</v>
      </c>
      <c r="Y91" s="164">
        <f t="shared" si="19"/>
        <v>2111367</v>
      </c>
      <c r="Z91" s="164">
        <f t="shared" si="19"/>
        <v>930014</v>
      </c>
      <c r="AA91" s="164">
        <f t="shared" si="19"/>
        <v>7816678</v>
      </c>
      <c r="AB91" s="164">
        <f t="shared" si="19"/>
        <v>2830639</v>
      </c>
      <c r="AC91" s="164">
        <f t="shared" si="19"/>
        <v>2653831</v>
      </c>
      <c r="AD91" s="164">
        <f t="shared" si="19"/>
        <v>2392537</v>
      </c>
      <c r="AE91" s="164">
        <f t="shared" si="19"/>
        <v>-496074073</v>
      </c>
      <c r="AF91" s="164">
        <f t="shared" si="19"/>
        <v>5612450</v>
      </c>
      <c r="AG91" s="164">
        <f t="shared" si="19"/>
        <v>754176</v>
      </c>
      <c r="AH91" s="164">
        <f t="shared" si="19"/>
        <v>1239772</v>
      </c>
      <c r="AI91" s="168">
        <f t="shared" si="19"/>
        <v>-1263204</v>
      </c>
      <c r="AJ91" s="169">
        <f t="shared" si="19"/>
        <v>2267194</v>
      </c>
      <c r="AK91" s="166">
        <f t="shared" si="19"/>
        <v>2721067</v>
      </c>
      <c r="AL91" s="164">
        <f t="shared" si="19"/>
        <v>1690209</v>
      </c>
      <c r="AM91" s="164">
        <f t="shared" si="19"/>
        <v>275489</v>
      </c>
      <c r="AN91" s="169">
        <f t="shared" si="19"/>
        <v>129871</v>
      </c>
      <c r="AO91" s="166">
        <f t="shared" si="19"/>
        <v>54263</v>
      </c>
      <c r="AP91" s="164">
        <f t="shared" si="19"/>
        <v>832420</v>
      </c>
      <c r="AQ91" s="170">
        <f t="shared" si="19"/>
        <v>29812</v>
      </c>
      <c r="AR91" s="171">
        <f t="shared" si="19"/>
        <v>1347952</v>
      </c>
      <c r="AS91" s="172">
        <f t="shared" si="19"/>
        <v>42173</v>
      </c>
      <c r="AT91" s="173">
        <f t="shared" si="19"/>
        <v>-648786</v>
      </c>
      <c r="AU91" s="172">
        <f t="shared" si="19"/>
        <v>62634264</v>
      </c>
      <c r="AV91" s="173">
        <f t="shared" si="19"/>
        <v>41337407</v>
      </c>
      <c r="AW91" s="172">
        <f t="shared" si="19"/>
        <v>-4079385</v>
      </c>
      <c r="AX91" s="173">
        <f t="shared" si="19"/>
        <v>-62298017</v>
      </c>
      <c r="AY91" s="172">
        <f t="shared" si="19"/>
        <v>4563072</v>
      </c>
      <c r="AZ91" s="173">
        <f t="shared" si="19"/>
        <v>10511513</v>
      </c>
      <c r="BA91" s="172">
        <f t="shared" si="19"/>
        <v>-3111728750</v>
      </c>
      <c r="BB91" s="173">
        <f t="shared" si="19"/>
        <v>262366383</v>
      </c>
      <c r="BC91" s="172">
        <f t="shared" si="19"/>
        <v>2442917</v>
      </c>
      <c r="BD91" s="173">
        <f t="shared" si="19"/>
        <v>20073343</v>
      </c>
      <c r="BE91" s="172">
        <f t="shared" si="19"/>
        <v>4544513</v>
      </c>
      <c r="BF91" s="173">
        <f t="shared" si="19"/>
        <v>5814687</v>
      </c>
      <c r="BG91" s="189">
        <f>BG89-BG90</f>
        <v>-677415</v>
      </c>
      <c r="BH91" s="173">
        <f>BH89-BH90</f>
        <v>85512</v>
      </c>
      <c r="BI91" s="172">
        <f t="shared" si="19"/>
        <v>1313970</v>
      </c>
      <c r="BJ91" s="173">
        <f t="shared" si="19"/>
        <v>979631</v>
      </c>
      <c r="BK91" s="189">
        <f>BK89-BK90</f>
        <v>1201940</v>
      </c>
      <c r="BL91" s="206">
        <f t="shared" si="19"/>
        <v>1225640</v>
      </c>
      <c r="BM91" s="172">
        <f t="shared" si="19"/>
        <v>1282980</v>
      </c>
      <c r="BN91" s="173">
        <f t="shared" si="19"/>
        <v>921140</v>
      </c>
      <c r="BO91" s="172">
        <f t="shared" si="19"/>
        <v>1197830</v>
      </c>
      <c r="BP91" s="173">
        <f t="shared" si="19"/>
        <v>-226907780</v>
      </c>
      <c r="BQ91" s="172">
        <f t="shared" si="19"/>
        <v>904650</v>
      </c>
      <c r="BR91" s="173">
        <f t="shared" si="19"/>
        <v>2532620</v>
      </c>
      <c r="BS91" s="172">
        <f t="shared" si="19"/>
        <v>253510</v>
      </c>
      <c r="BT91" s="173">
        <f t="shared" si="19"/>
        <v>437720</v>
      </c>
      <c r="BU91" s="172">
        <f t="shared" si="19"/>
        <v>1778960</v>
      </c>
      <c r="BV91" s="173">
        <f t="shared" si="19"/>
        <v>495780</v>
      </c>
      <c r="BW91" s="172">
        <f t="shared" si="19"/>
        <v>1169230</v>
      </c>
      <c r="BX91" s="173">
        <f t="shared" si="19"/>
        <v>1230330</v>
      </c>
      <c r="BY91" s="172">
        <f t="shared" si="19"/>
        <v>14968980</v>
      </c>
      <c r="BZ91" s="173">
        <f t="shared" si="19"/>
        <v>26998290</v>
      </c>
      <c r="CA91" s="172">
        <f t="shared" si="19"/>
        <v>-543630</v>
      </c>
      <c r="CB91" s="173">
        <f t="shared" si="19"/>
        <v>-771730</v>
      </c>
      <c r="CC91" s="172">
        <f t="shared" si="19"/>
        <v>1077120</v>
      </c>
      <c r="CD91" s="173">
        <f t="shared" si="19"/>
        <v>431730</v>
      </c>
      <c r="CE91" s="172">
        <f t="shared" si="19"/>
        <v>-68193</v>
      </c>
      <c r="CF91" s="173">
        <f t="shared" si="19"/>
        <v>62738</v>
      </c>
      <c r="CG91" s="172">
        <f t="shared" ref="CG91:CZ91" si="20">CG89-CG90</f>
        <v>274647</v>
      </c>
      <c r="CH91" s="172">
        <f t="shared" si="20"/>
        <v>-121496</v>
      </c>
      <c r="CI91" s="172">
        <f t="shared" si="20"/>
        <v>28745</v>
      </c>
      <c r="CJ91" s="172">
        <f t="shared" si="20"/>
        <v>87791</v>
      </c>
      <c r="CK91" s="172">
        <f t="shared" si="20"/>
        <v>10498</v>
      </c>
      <c r="CL91" s="173">
        <f t="shared" si="20"/>
        <v>18024</v>
      </c>
      <c r="CM91" s="173">
        <f t="shared" si="20"/>
        <v>12413</v>
      </c>
      <c r="CN91" s="173">
        <f t="shared" si="20"/>
        <v>-422031</v>
      </c>
      <c r="CO91" s="173">
        <f t="shared" si="20"/>
        <v>-314072</v>
      </c>
      <c r="CP91" s="173">
        <f t="shared" si="20"/>
        <v>52377</v>
      </c>
      <c r="CQ91" s="173">
        <f t="shared" si="20"/>
        <v>-1900</v>
      </c>
      <c r="CR91" s="173">
        <f t="shared" si="20"/>
        <v>-3055</v>
      </c>
      <c r="CS91" s="173">
        <f t="shared" si="20"/>
        <v>8744</v>
      </c>
      <c r="CT91" s="173">
        <f t="shared" si="20"/>
        <v>18528</v>
      </c>
      <c r="CU91" s="173">
        <f t="shared" si="20"/>
        <v>986653</v>
      </c>
      <c r="CV91" s="173">
        <f t="shared" si="20"/>
        <v>1145819</v>
      </c>
      <c r="CW91" s="173">
        <f t="shared" si="20"/>
        <v>-632600</v>
      </c>
      <c r="CX91" s="173">
        <f t="shared" si="20"/>
        <v>-787685</v>
      </c>
      <c r="CY91" s="173">
        <f t="shared" si="20"/>
        <v>144764</v>
      </c>
      <c r="CZ91" s="173">
        <f t="shared" si="20"/>
        <v>240326</v>
      </c>
    </row>
    <row r="92" spans="1:104" ht="15.75" customHeight="1" x14ac:dyDescent="0.25">
      <c r="A92" s="1"/>
      <c r="B92" s="1"/>
      <c r="C92" s="1"/>
      <c r="D92" s="1"/>
      <c r="E92" s="174"/>
      <c r="F92" s="174"/>
      <c r="G92" s="174"/>
      <c r="H92" s="174"/>
      <c r="I92" s="174"/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4"/>
      <c r="AH92" s="174"/>
      <c r="AI92" s="174"/>
      <c r="AJ92" s="174"/>
      <c r="AK92" s="174"/>
      <c r="AL92" s="174"/>
      <c r="AM92" s="174"/>
      <c r="AN92" s="174"/>
      <c r="AO92" s="174"/>
      <c r="AP92" s="174"/>
      <c r="AQ92" s="2"/>
      <c r="AR92" s="2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</row>
    <row r="93" spans="1:104" ht="15.75" customHeight="1" x14ac:dyDescent="0.25">
      <c r="A93" s="1"/>
      <c r="B93" s="1" t="s">
        <v>220</v>
      </c>
      <c r="C93" s="1" t="s">
        <v>221</v>
      </c>
      <c r="D93" s="1"/>
      <c r="E93" s="175" t="b">
        <f t="shared" ref="E93:CF93" si="21">E36-E60=E73</f>
        <v>1</v>
      </c>
      <c r="F93" s="175" t="b">
        <f t="shared" si="21"/>
        <v>1</v>
      </c>
      <c r="G93" s="175" t="b">
        <f t="shared" si="21"/>
        <v>1</v>
      </c>
      <c r="H93" s="175" t="b">
        <f t="shared" si="21"/>
        <v>1</v>
      </c>
      <c r="I93" s="175" t="b">
        <f t="shared" si="21"/>
        <v>0</v>
      </c>
      <c r="J93" s="175" t="b">
        <f t="shared" si="21"/>
        <v>0</v>
      </c>
      <c r="K93" s="175" t="b">
        <f t="shared" si="21"/>
        <v>1</v>
      </c>
      <c r="L93" s="175" t="b">
        <f t="shared" si="21"/>
        <v>1</v>
      </c>
      <c r="M93" s="175" t="b">
        <f t="shared" si="21"/>
        <v>1</v>
      </c>
      <c r="N93" s="175" t="b">
        <f t="shared" si="21"/>
        <v>1</v>
      </c>
      <c r="O93" s="175" t="b">
        <f t="shared" si="21"/>
        <v>1</v>
      </c>
      <c r="P93" s="175" t="b">
        <f t="shared" si="21"/>
        <v>1</v>
      </c>
      <c r="Q93" s="175" t="b">
        <f t="shared" si="21"/>
        <v>1</v>
      </c>
      <c r="R93" s="175" t="b">
        <f t="shared" si="21"/>
        <v>1</v>
      </c>
      <c r="S93" s="175" t="b">
        <f t="shared" si="21"/>
        <v>1</v>
      </c>
      <c r="T93" s="175" t="b">
        <f t="shared" si="21"/>
        <v>1</v>
      </c>
      <c r="U93" s="175" t="b">
        <f t="shared" si="21"/>
        <v>1</v>
      </c>
      <c r="V93" s="175" t="b">
        <f t="shared" si="21"/>
        <v>1</v>
      </c>
      <c r="W93" s="175" t="b">
        <f t="shared" si="21"/>
        <v>1</v>
      </c>
      <c r="X93" s="175" t="b">
        <f t="shared" si="21"/>
        <v>1</v>
      </c>
      <c r="Y93" s="175" t="b">
        <f t="shared" si="21"/>
        <v>1</v>
      </c>
      <c r="Z93" s="175" t="b">
        <f t="shared" si="21"/>
        <v>1</v>
      </c>
      <c r="AA93" s="175" t="b">
        <f t="shared" si="21"/>
        <v>1</v>
      </c>
      <c r="AB93" s="175" t="b">
        <f t="shared" si="21"/>
        <v>1</v>
      </c>
      <c r="AC93" s="175" t="b">
        <f t="shared" si="21"/>
        <v>1</v>
      </c>
      <c r="AD93" s="175" t="b">
        <f t="shared" si="21"/>
        <v>1</v>
      </c>
      <c r="AE93" s="175" t="b">
        <f t="shared" si="21"/>
        <v>1</v>
      </c>
      <c r="AF93" s="175" t="b">
        <f t="shared" si="21"/>
        <v>1</v>
      </c>
      <c r="AG93" s="175" t="b">
        <f t="shared" si="21"/>
        <v>1</v>
      </c>
      <c r="AH93" s="175" t="b">
        <f t="shared" si="21"/>
        <v>1</v>
      </c>
      <c r="AI93" s="175" t="b">
        <f t="shared" si="21"/>
        <v>0</v>
      </c>
      <c r="AJ93" s="175" t="b">
        <f t="shared" si="21"/>
        <v>0</v>
      </c>
      <c r="AK93" s="175" t="b">
        <f t="shared" si="21"/>
        <v>1</v>
      </c>
      <c r="AL93" s="175" t="b">
        <f t="shared" si="21"/>
        <v>1</v>
      </c>
      <c r="AM93" s="175" t="b">
        <f t="shared" si="21"/>
        <v>1</v>
      </c>
      <c r="AN93" s="175" t="b">
        <f t="shared" si="21"/>
        <v>1</v>
      </c>
      <c r="AO93" s="175" t="b">
        <f t="shared" si="21"/>
        <v>1</v>
      </c>
      <c r="AP93" s="175" t="b">
        <f t="shared" si="21"/>
        <v>1</v>
      </c>
      <c r="AQ93" s="176" t="b">
        <f t="shared" si="21"/>
        <v>1</v>
      </c>
      <c r="AR93" s="176" t="b">
        <f t="shared" si="21"/>
        <v>1</v>
      </c>
      <c r="AS93" s="175" t="b">
        <f t="shared" si="21"/>
        <v>1</v>
      </c>
      <c r="AT93" s="175" t="b">
        <f t="shared" si="21"/>
        <v>1</v>
      </c>
      <c r="AU93" s="175" t="b">
        <f t="shared" si="21"/>
        <v>1</v>
      </c>
      <c r="AV93" s="175" t="b">
        <f t="shared" si="21"/>
        <v>1</v>
      </c>
      <c r="AW93" s="175" t="b">
        <f t="shared" si="21"/>
        <v>1</v>
      </c>
      <c r="AX93" s="175" t="b">
        <f t="shared" si="21"/>
        <v>1</v>
      </c>
      <c r="AY93" s="175" t="b">
        <f t="shared" si="21"/>
        <v>1</v>
      </c>
      <c r="AZ93" s="175" t="b">
        <f t="shared" si="21"/>
        <v>1</v>
      </c>
      <c r="BA93" s="175" t="b">
        <f t="shared" si="21"/>
        <v>1</v>
      </c>
      <c r="BB93" s="175" t="b">
        <f t="shared" si="21"/>
        <v>1</v>
      </c>
      <c r="BC93" s="175" t="b">
        <f t="shared" si="21"/>
        <v>1</v>
      </c>
      <c r="BD93" s="175" t="b">
        <f t="shared" si="21"/>
        <v>1</v>
      </c>
      <c r="BE93" s="175" t="b">
        <f t="shared" si="21"/>
        <v>1</v>
      </c>
      <c r="BF93" s="175" t="b">
        <f t="shared" si="21"/>
        <v>1</v>
      </c>
      <c r="BG93" s="175" t="b">
        <f t="shared" si="21"/>
        <v>1</v>
      </c>
      <c r="BH93" s="175" t="b">
        <f>BG36-BG60=BG73</f>
        <v>1</v>
      </c>
      <c r="BI93" s="175" t="b">
        <f t="shared" si="21"/>
        <v>1</v>
      </c>
      <c r="BJ93" s="175" t="b">
        <f t="shared" si="21"/>
        <v>1</v>
      </c>
      <c r="BK93" s="175" t="b">
        <f t="shared" si="21"/>
        <v>1</v>
      </c>
      <c r="BL93" s="175" t="b">
        <f t="shared" si="21"/>
        <v>1</v>
      </c>
      <c r="BM93" s="175" t="b">
        <f t="shared" si="21"/>
        <v>1</v>
      </c>
      <c r="BN93" s="175" t="b">
        <f t="shared" si="21"/>
        <v>1</v>
      </c>
      <c r="BO93" s="175" t="b">
        <f t="shared" si="21"/>
        <v>1</v>
      </c>
      <c r="BP93" s="175" t="b">
        <f t="shared" si="21"/>
        <v>1</v>
      </c>
      <c r="BQ93" s="175" t="b">
        <f t="shared" si="21"/>
        <v>1</v>
      </c>
      <c r="BR93" s="175" t="b">
        <f t="shared" si="21"/>
        <v>1</v>
      </c>
      <c r="BS93" s="175" t="b">
        <f t="shared" si="21"/>
        <v>1</v>
      </c>
      <c r="BT93" s="175" t="b">
        <f t="shared" si="21"/>
        <v>1</v>
      </c>
      <c r="BU93" s="175" t="b">
        <f t="shared" si="21"/>
        <v>1</v>
      </c>
      <c r="BV93" s="175" t="b">
        <f t="shared" si="21"/>
        <v>1</v>
      </c>
      <c r="BW93" s="175" t="b">
        <f t="shared" si="21"/>
        <v>1</v>
      </c>
      <c r="BX93" s="175" t="b">
        <f t="shared" si="21"/>
        <v>1</v>
      </c>
      <c r="BY93" s="175" t="b">
        <f t="shared" si="21"/>
        <v>1</v>
      </c>
      <c r="BZ93" s="175" t="b">
        <f t="shared" si="21"/>
        <v>1</v>
      </c>
      <c r="CA93" s="175" t="b">
        <f t="shared" si="21"/>
        <v>1</v>
      </c>
      <c r="CB93" s="175" t="b">
        <f t="shared" si="21"/>
        <v>1</v>
      </c>
      <c r="CC93" s="175" t="b">
        <f t="shared" si="21"/>
        <v>1</v>
      </c>
      <c r="CD93" s="175" t="b">
        <f t="shared" si="21"/>
        <v>1</v>
      </c>
      <c r="CE93" s="175" t="b">
        <f t="shared" si="21"/>
        <v>1</v>
      </c>
      <c r="CF93" s="175" t="b">
        <f t="shared" si="21"/>
        <v>1</v>
      </c>
      <c r="CG93" s="175" t="b">
        <f t="shared" ref="CG93:CZ93" si="22">CG36-CG60=CG73</f>
        <v>1</v>
      </c>
      <c r="CH93" s="175" t="b">
        <f t="shared" si="22"/>
        <v>1</v>
      </c>
      <c r="CI93" s="175" t="b">
        <f t="shared" si="22"/>
        <v>1</v>
      </c>
      <c r="CJ93" s="175" t="b">
        <f t="shared" si="22"/>
        <v>1</v>
      </c>
      <c r="CK93" s="175" t="b">
        <f t="shared" si="22"/>
        <v>1</v>
      </c>
      <c r="CL93" s="175" t="b">
        <f t="shared" si="22"/>
        <v>1</v>
      </c>
      <c r="CM93" s="175" t="b">
        <f t="shared" si="22"/>
        <v>1</v>
      </c>
      <c r="CN93" s="175" t="b">
        <f t="shared" si="22"/>
        <v>1</v>
      </c>
      <c r="CO93" s="175" t="b">
        <f t="shared" si="22"/>
        <v>1</v>
      </c>
      <c r="CP93" s="175" t="b">
        <f t="shared" si="22"/>
        <v>1</v>
      </c>
      <c r="CQ93" s="175" t="b">
        <f t="shared" si="22"/>
        <v>1</v>
      </c>
      <c r="CR93" s="175" t="b">
        <f t="shared" si="22"/>
        <v>1</v>
      </c>
      <c r="CS93" s="175" t="b">
        <f t="shared" si="22"/>
        <v>1</v>
      </c>
      <c r="CT93" s="175" t="b">
        <f t="shared" si="22"/>
        <v>1</v>
      </c>
      <c r="CU93" s="175" t="b">
        <f t="shared" si="22"/>
        <v>1</v>
      </c>
      <c r="CV93" s="175" t="b">
        <f t="shared" si="22"/>
        <v>1</v>
      </c>
      <c r="CW93" s="175" t="b">
        <f t="shared" si="22"/>
        <v>1</v>
      </c>
      <c r="CX93" s="175" t="b">
        <f t="shared" si="22"/>
        <v>1</v>
      </c>
      <c r="CY93" s="175" t="b">
        <f t="shared" si="22"/>
        <v>1</v>
      </c>
      <c r="CZ93" s="175" t="b">
        <f t="shared" si="22"/>
        <v>1</v>
      </c>
    </row>
    <row r="94" spans="1:104" ht="15.75" customHeight="1" x14ac:dyDescent="0.25">
      <c r="A94" s="1"/>
      <c r="B94" s="1" t="s">
        <v>222</v>
      </c>
      <c r="C94" s="1" t="s">
        <v>223</v>
      </c>
      <c r="D94" s="1"/>
      <c r="E94" s="177" t="b">
        <f t="shared" ref="E94:CF94" si="23">E75=E36</f>
        <v>1</v>
      </c>
      <c r="F94" s="177" t="b">
        <f t="shared" si="23"/>
        <v>1</v>
      </c>
      <c r="G94" s="177" t="b">
        <f t="shared" si="23"/>
        <v>1</v>
      </c>
      <c r="H94" s="177" t="b">
        <f t="shared" si="23"/>
        <v>1</v>
      </c>
      <c r="I94" s="177" t="b">
        <f t="shared" si="23"/>
        <v>0</v>
      </c>
      <c r="J94" s="177" t="b">
        <f t="shared" si="23"/>
        <v>0</v>
      </c>
      <c r="K94" s="177" t="b">
        <f t="shared" si="23"/>
        <v>1</v>
      </c>
      <c r="L94" s="177" t="b">
        <f t="shared" si="23"/>
        <v>1</v>
      </c>
      <c r="M94" s="177" t="b">
        <f t="shared" si="23"/>
        <v>1</v>
      </c>
      <c r="N94" s="177" t="b">
        <f t="shared" si="23"/>
        <v>1</v>
      </c>
      <c r="O94" s="177" t="b">
        <f t="shared" si="23"/>
        <v>1</v>
      </c>
      <c r="P94" s="177" t="b">
        <f t="shared" si="23"/>
        <v>1</v>
      </c>
      <c r="Q94" s="177" t="b">
        <f t="shared" si="23"/>
        <v>1</v>
      </c>
      <c r="R94" s="177" t="b">
        <f t="shared" si="23"/>
        <v>1</v>
      </c>
      <c r="S94" s="177" t="b">
        <f t="shared" si="23"/>
        <v>1</v>
      </c>
      <c r="T94" s="177" t="b">
        <f t="shared" si="23"/>
        <v>1</v>
      </c>
      <c r="U94" s="177" t="b">
        <f t="shared" si="23"/>
        <v>1</v>
      </c>
      <c r="V94" s="177" t="b">
        <f t="shared" si="23"/>
        <v>1</v>
      </c>
      <c r="W94" s="177" t="b">
        <f t="shared" si="23"/>
        <v>1</v>
      </c>
      <c r="X94" s="177" t="b">
        <f t="shared" si="23"/>
        <v>1</v>
      </c>
      <c r="Y94" s="177" t="b">
        <f t="shared" si="23"/>
        <v>1</v>
      </c>
      <c r="Z94" s="177" t="b">
        <f t="shared" si="23"/>
        <v>1</v>
      </c>
      <c r="AA94" s="177" t="b">
        <f t="shared" si="23"/>
        <v>1</v>
      </c>
      <c r="AB94" s="177" t="b">
        <f t="shared" si="23"/>
        <v>1</v>
      </c>
      <c r="AC94" s="177" t="b">
        <f t="shared" si="23"/>
        <v>1</v>
      </c>
      <c r="AD94" s="177" t="b">
        <f t="shared" si="23"/>
        <v>1</v>
      </c>
      <c r="AE94" s="177" t="b">
        <f t="shared" si="23"/>
        <v>1</v>
      </c>
      <c r="AF94" s="177" t="b">
        <f t="shared" si="23"/>
        <v>1</v>
      </c>
      <c r="AG94" s="177" t="b">
        <f t="shared" si="23"/>
        <v>1</v>
      </c>
      <c r="AH94" s="177" t="b">
        <f t="shared" si="23"/>
        <v>1</v>
      </c>
      <c r="AI94" s="177" t="b">
        <f t="shared" si="23"/>
        <v>0</v>
      </c>
      <c r="AJ94" s="177" t="b">
        <f t="shared" si="23"/>
        <v>0</v>
      </c>
      <c r="AK94" s="177" t="b">
        <f t="shared" si="23"/>
        <v>1</v>
      </c>
      <c r="AL94" s="177" t="b">
        <f t="shared" si="23"/>
        <v>1</v>
      </c>
      <c r="AM94" s="177" t="b">
        <f t="shared" si="23"/>
        <v>1</v>
      </c>
      <c r="AN94" s="177" t="b">
        <f t="shared" si="23"/>
        <v>1</v>
      </c>
      <c r="AO94" s="177" t="b">
        <f t="shared" si="23"/>
        <v>1</v>
      </c>
      <c r="AP94" s="177" t="b">
        <f t="shared" si="23"/>
        <v>1</v>
      </c>
      <c r="AQ94" s="178" t="b">
        <f t="shared" si="23"/>
        <v>1</v>
      </c>
      <c r="AR94" s="178" t="b">
        <f t="shared" si="23"/>
        <v>1</v>
      </c>
      <c r="AS94" s="177" t="b">
        <f t="shared" si="23"/>
        <v>1</v>
      </c>
      <c r="AT94" s="177" t="b">
        <f t="shared" si="23"/>
        <v>1</v>
      </c>
      <c r="AU94" s="177" t="b">
        <f t="shared" si="23"/>
        <v>1</v>
      </c>
      <c r="AV94" s="177" t="b">
        <f t="shared" si="23"/>
        <v>1</v>
      </c>
      <c r="AW94" s="177" t="b">
        <f t="shared" si="23"/>
        <v>1</v>
      </c>
      <c r="AX94" s="177" t="b">
        <f t="shared" si="23"/>
        <v>1</v>
      </c>
      <c r="AY94" s="177" t="b">
        <f t="shared" si="23"/>
        <v>1</v>
      </c>
      <c r="AZ94" s="177" t="b">
        <f t="shared" si="23"/>
        <v>1</v>
      </c>
      <c r="BA94" s="177" t="b">
        <f t="shared" si="23"/>
        <v>1</v>
      </c>
      <c r="BB94" s="177" t="b">
        <f t="shared" si="23"/>
        <v>1</v>
      </c>
      <c r="BC94" s="177" t="b">
        <f t="shared" si="23"/>
        <v>1</v>
      </c>
      <c r="BD94" s="177" t="b">
        <f t="shared" si="23"/>
        <v>1</v>
      </c>
      <c r="BE94" s="177" t="b">
        <f t="shared" si="23"/>
        <v>1</v>
      </c>
      <c r="BF94" s="177" t="b">
        <f t="shared" si="23"/>
        <v>1</v>
      </c>
      <c r="BG94" s="177" t="b">
        <f t="shared" si="23"/>
        <v>1</v>
      </c>
      <c r="BH94" s="177" t="b">
        <f>BG75=BG36</f>
        <v>1</v>
      </c>
      <c r="BI94" s="177" t="b">
        <f t="shared" si="23"/>
        <v>1</v>
      </c>
      <c r="BJ94" s="177" t="b">
        <f t="shared" si="23"/>
        <v>1</v>
      </c>
      <c r="BK94" s="177" t="b">
        <f t="shared" si="23"/>
        <v>1</v>
      </c>
      <c r="BL94" s="177" t="b">
        <f t="shared" si="23"/>
        <v>1</v>
      </c>
      <c r="BM94" s="177" t="b">
        <f t="shared" si="23"/>
        <v>1</v>
      </c>
      <c r="BN94" s="177" t="b">
        <f t="shared" si="23"/>
        <v>1</v>
      </c>
      <c r="BO94" s="177" t="b">
        <f t="shared" si="23"/>
        <v>1</v>
      </c>
      <c r="BP94" s="177" t="b">
        <f t="shared" si="23"/>
        <v>1</v>
      </c>
      <c r="BQ94" s="177" t="b">
        <f t="shared" si="23"/>
        <v>1</v>
      </c>
      <c r="BR94" s="177" t="b">
        <f t="shared" si="23"/>
        <v>1</v>
      </c>
      <c r="BS94" s="177" t="b">
        <f t="shared" si="23"/>
        <v>1</v>
      </c>
      <c r="BT94" s="177" t="b">
        <f t="shared" si="23"/>
        <v>1</v>
      </c>
      <c r="BU94" s="177" t="b">
        <f t="shared" si="23"/>
        <v>1</v>
      </c>
      <c r="BV94" s="177" t="b">
        <f t="shared" si="23"/>
        <v>1</v>
      </c>
      <c r="BW94" s="177" t="b">
        <f t="shared" si="23"/>
        <v>1</v>
      </c>
      <c r="BX94" s="177" t="b">
        <f t="shared" si="23"/>
        <v>1</v>
      </c>
      <c r="BY94" s="177" t="b">
        <f t="shared" si="23"/>
        <v>1</v>
      </c>
      <c r="BZ94" s="177" t="b">
        <f t="shared" si="23"/>
        <v>1</v>
      </c>
      <c r="CA94" s="177" t="b">
        <f t="shared" si="23"/>
        <v>1</v>
      </c>
      <c r="CB94" s="177" t="b">
        <f t="shared" si="23"/>
        <v>1</v>
      </c>
      <c r="CC94" s="177" t="b">
        <f t="shared" si="23"/>
        <v>1</v>
      </c>
      <c r="CD94" s="177" t="b">
        <f t="shared" si="23"/>
        <v>1</v>
      </c>
      <c r="CE94" s="177" t="b">
        <f t="shared" si="23"/>
        <v>1</v>
      </c>
      <c r="CF94" s="177" t="b">
        <f t="shared" si="23"/>
        <v>1</v>
      </c>
      <c r="CG94" s="177" t="b">
        <f t="shared" ref="CG94:CZ94" si="24">CG75=CG36</f>
        <v>1</v>
      </c>
      <c r="CH94" s="177" t="b">
        <f t="shared" si="24"/>
        <v>1</v>
      </c>
      <c r="CI94" s="177" t="b">
        <f t="shared" si="24"/>
        <v>1</v>
      </c>
      <c r="CJ94" s="177" t="b">
        <f t="shared" si="24"/>
        <v>1</v>
      </c>
      <c r="CK94" s="177" t="b">
        <f t="shared" si="24"/>
        <v>1</v>
      </c>
      <c r="CL94" s="177" t="b">
        <f t="shared" si="24"/>
        <v>1</v>
      </c>
      <c r="CM94" s="177" t="b">
        <f t="shared" si="24"/>
        <v>1</v>
      </c>
      <c r="CN94" s="177" t="b">
        <f t="shared" si="24"/>
        <v>1</v>
      </c>
      <c r="CO94" s="177" t="b">
        <f t="shared" si="24"/>
        <v>1</v>
      </c>
      <c r="CP94" s="177" t="b">
        <f t="shared" si="24"/>
        <v>1</v>
      </c>
      <c r="CQ94" s="177" t="b">
        <f t="shared" si="24"/>
        <v>1</v>
      </c>
      <c r="CR94" s="177" t="b">
        <f t="shared" si="24"/>
        <v>1</v>
      </c>
      <c r="CS94" s="177" t="b">
        <f t="shared" si="24"/>
        <v>1</v>
      </c>
      <c r="CT94" s="177" t="b">
        <f t="shared" si="24"/>
        <v>1</v>
      </c>
      <c r="CU94" s="177" t="b">
        <f t="shared" si="24"/>
        <v>1</v>
      </c>
      <c r="CV94" s="177" t="b">
        <f t="shared" si="24"/>
        <v>1</v>
      </c>
      <c r="CW94" s="177" t="b">
        <f t="shared" si="24"/>
        <v>1</v>
      </c>
      <c r="CX94" s="177" t="b">
        <f t="shared" si="24"/>
        <v>1</v>
      </c>
      <c r="CY94" s="177" t="b">
        <f t="shared" si="24"/>
        <v>1</v>
      </c>
      <c r="CZ94" s="177" t="b">
        <f t="shared" si="24"/>
        <v>1</v>
      </c>
    </row>
    <row r="95" spans="1:104" ht="15.75" customHeight="1" x14ac:dyDescent="0.25">
      <c r="A95" s="1"/>
      <c r="B95" s="1"/>
      <c r="C95" s="1"/>
      <c r="D95" s="1"/>
      <c r="E95" s="1"/>
      <c r="F95" s="1"/>
      <c r="G95" s="1"/>
      <c r="H95" s="1"/>
      <c r="I95" s="603" t="s">
        <v>224</v>
      </c>
      <c r="J95" s="60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603" t="s">
        <v>225</v>
      </c>
      <c r="AJ95" s="604"/>
      <c r="AK95" s="1"/>
      <c r="AL95" s="1"/>
      <c r="AM95" s="1"/>
      <c r="AN95" s="1"/>
      <c r="AO95" s="1"/>
      <c r="AP95" s="1"/>
      <c r="AQ95" s="2"/>
      <c r="AR95" s="2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</row>
    <row r="96" spans="1:104" ht="15.75" customHeight="1" x14ac:dyDescent="0.25">
      <c r="A96" s="1"/>
      <c r="B96" s="1"/>
      <c r="C96" s="222"/>
      <c r="D96" s="1"/>
      <c r="E96" s="44"/>
      <c r="F96" s="4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2"/>
      <c r="AR96" s="2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</row>
    <row r="97" spans="1:8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2"/>
      <c r="AR97" s="2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</row>
    <row r="98" spans="1:86" ht="15.75" customHeight="1" x14ac:dyDescent="0.25">
      <c r="A98" s="1"/>
      <c r="B98" s="1"/>
      <c r="C98" s="1"/>
      <c r="D98" s="1"/>
      <c r="E98" s="44"/>
      <c r="F98" s="22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2"/>
      <c r="AR98" s="2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</row>
    <row r="99" spans="1:86" ht="15.75" customHeight="1" x14ac:dyDescent="0.25">
      <c r="A99" s="1"/>
      <c r="B99" s="1"/>
      <c r="C99" s="1"/>
      <c r="D99" s="1"/>
      <c r="E99" s="4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2"/>
      <c r="AR99" s="2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</row>
    <row r="100" spans="1:8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2"/>
      <c r="AR100" s="2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</row>
    <row r="101" spans="1:8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2"/>
      <c r="AR101" s="2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</row>
    <row r="102" spans="1:8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2"/>
      <c r="AR102" s="2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</row>
    <row r="103" spans="1:8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2"/>
      <c r="AR103" s="2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</row>
    <row r="104" spans="1:8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2"/>
      <c r="AR104" s="2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</row>
    <row r="105" spans="1:8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2"/>
      <c r="AR105" s="2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</row>
    <row r="106" spans="1:8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2"/>
      <c r="AR106" s="2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</row>
    <row r="107" spans="1:8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2"/>
      <c r="AR107" s="2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</row>
    <row r="108" spans="1:8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2"/>
      <c r="AR108" s="2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</row>
    <row r="109" spans="1:8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2"/>
      <c r="AR109" s="2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</row>
    <row r="110" spans="1:8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2"/>
      <c r="AR110" s="2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</row>
    <row r="111" spans="1:8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2"/>
      <c r="AR111" s="2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</row>
    <row r="112" spans="1:8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2"/>
      <c r="AR112" s="2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</row>
    <row r="113" spans="1:8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2"/>
      <c r="AR113" s="2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</row>
    <row r="114" spans="1:8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2"/>
      <c r="AR114" s="2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</row>
    <row r="115" spans="1:8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2"/>
      <c r="AR115" s="2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</row>
    <row r="116" spans="1:8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2"/>
      <c r="AR116" s="2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</row>
    <row r="117" spans="1:8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2"/>
      <c r="AR117" s="2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</row>
    <row r="118" spans="1:8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2"/>
      <c r="AR118" s="2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</row>
    <row r="119" spans="1:8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2"/>
      <c r="AR119" s="2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</row>
    <row r="120" spans="1:8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2"/>
      <c r="AR120" s="2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</row>
    <row r="121" spans="1:8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2"/>
      <c r="AR121" s="2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</row>
    <row r="122" spans="1:8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2"/>
      <c r="AR122" s="2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</row>
    <row r="123" spans="1:8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2"/>
      <c r="AR123" s="2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</row>
    <row r="124" spans="1:8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2"/>
      <c r="AR124" s="2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</row>
    <row r="125" spans="1:8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2"/>
      <c r="AR125" s="2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</row>
    <row r="126" spans="1:8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2"/>
      <c r="AR126" s="2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</row>
    <row r="127" spans="1:8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2"/>
      <c r="AR127" s="2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</row>
    <row r="128" spans="1:8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2"/>
      <c r="AR128" s="2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</row>
    <row r="129" spans="1:8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2"/>
      <c r="AR129" s="2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</row>
    <row r="130" spans="1:8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2"/>
      <c r="AR130" s="2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</row>
    <row r="131" spans="1:8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2"/>
      <c r="AR131" s="2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</row>
    <row r="132" spans="1:8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2"/>
      <c r="AR132" s="2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</row>
    <row r="133" spans="1:8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2"/>
      <c r="AR133" s="2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</row>
    <row r="134" spans="1:8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2"/>
      <c r="AR134" s="2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</row>
    <row r="135" spans="1:8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2"/>
      <c r="AR135" s="2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</row>
    <row r="136" spans="1:8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2"/>
      <c r="AR136" s="2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</row>
    <row r="137" spans="1:8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2"/>
      <c r="AR137" s="2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</row>
    <row r="138" spans="1:8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2"/>
      <c r="AR138" s="2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</row>
    <row r="139" spans="1:8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2"/>
      <c r="AR139" s="2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</row>
    <row r="140" spans="1:8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2"/>
      <c r="AR140" s="2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</row>
    <row r="141" spans="1:8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2"/>
      <c r="AR141" s="2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</row>
    <row r="142" spans="1:8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2"/>
      <c r="AR142" s="2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</row>
    <row r="143" spans="1:8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2"/>
      <c r="AR143" s="2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</row>
    <row r="144" spans="1:8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2"/>
      <c r="AR144" s="2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</row>
    <row r="145" spans="1:8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2"/>
      <c r="AR145" s="2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</row>
    <row r="146" spans="1:8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2"/>
      <c r="AR146" s="2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</row>
    <row r="147" spans="1:8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2"/>
      <c r="AR147" s="2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</row>
    <row r="148" spans="1:8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2"/>
      <c r="AR148" s="2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</row>
    <row r="149" spans="1:8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2"/>
      <c r="AR149" s="2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</row>
    <row r="150" spans="1:8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2"/>
      <c r="AR150" s="2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</row>
    <row r="151" spans="1:8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2"/>
      <c r="AR151" s="2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</row>
    <row r="152" spans="1:8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2"/>
      <c r="AR152" s="2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</row>
    <row r="153" spans="1:8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2"/>
      <c r="AR153" s="2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</row>
    <row r="154" spans="1:8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2"/>
      <c r="AR154" s="2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</row>
    <row r="155" spans="1:8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2"/>
      <c r="AR155" s="2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</row>
    <row r="156" spans="1:8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2"/>
      <c r="AR156" s="2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</row>
    <row r="157" spans="1:8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2"/>
      <c r="AR157" s="2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</row>
    <row r="158" spans="1:8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2"/>
      <c r="AR158" s="2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</row>
    <row r="159" spans="1:8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2"/>
      <c r="AR159" s="2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</row>
    <row r="160" spans="1:8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2"/>
      <c r="AR160" s="2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</row>
    <row r="161" spans="1:8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2"/>
      <c r="AR161" s="2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</row>
    <row r="162" spans="1:8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2"/>
      <c r="AR162" s="2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</row>
    <row r="163" spans="1:8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2"/>
      <c r="AR163" s="2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</row>
    <row r="164" spans="1:8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2"/>
      <c r="AR164" s="2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</row>
    <row r="165" spans="1:8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2"/>
      <c r="AR165" s="2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</row>
    <row r="166" spans="1:8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2"/>
      <c r="AR166" s="2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</row>
    <row r="167" spans="1:8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2"/>
      <c r="AR167" s="2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</row>
    <row r="168" spans="1:8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2"/>
      <c r="AR168" s="2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</row>
    <row r="169" spans="1:8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2"/>
      <c r="AR169" s="2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</row>
    <row r="170" spans="1:8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2"/>
      <c r="AR170" s="2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</row>
    <row r="171" spans="1:8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2"/>
      <c r="AR171" s="2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</row>
    <row r="172" spans="1:8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2"/>
      <c r="AR172" s="2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</row>
    <row r="173" spans="1:8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2"/>
      <c r="AR173" s="2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</row>
    <row r="174" spans="1:8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2"/>
      <c r="AR174" s="2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</row>
    <row r="175" spans="1:8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2"/>
      <c r="AR175" s="2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</row>
    <row r="176" spans="1:8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2"/>
      <c r="AR176" s="2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</row>
    <row r="177" spans="1:8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2"/>
      <c r="AR177" s="2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</row>
    <row r="178" spans="1:8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2"/>
      <c r="AR178" s="2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</row>
    <row r="179" spans="1:8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2"/>
      <c r="AR179" s="2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</row>
    <row r="180" spans="1:8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2"/>
      <c r="AR180" s="2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</row>
    <row r="181" spans="1:8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2"/>
      <c r="AR181" s="2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</row>
    <row r="182" spans="1:8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2"/>
      <c r="AR182" s="2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</row>
    <row r="183" spans="1:8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2"/>
      <c r="AR183" s="2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</row>
    <row r="184" spans="1:8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2"/>
      <c r="AR184" s="2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</row>
    <row r="185" spans="1:8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2"/>
      <c r="AR185" s="2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</row>
    <row r="186" spans="1:8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2"/>
      <c r="AR186" s="2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</row>
    <row r="187" spans="1:8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2"/>
      <c r="AR187" s="2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</row>
    <row r="188" spans="1:8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2"/>
      <c r="AR188" s="2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</row>
    <row r="189" spans="1:8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2"/>
      <c r="AR189" s="2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</row>
    <row r="190" spans="1:8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2"/>
      <c r="AR190" s="2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</row>
    <row r="191" spans="1:8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2"/>
      <c r="AR191" s="2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</row>
    <row r="192" spans="1:8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2"/>
      <c r="AR192" s="2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</row>
    <row r="193" spans="1:8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2"/>
      <c r="AR193" s="2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</row>
    <row r="194" spans="1:8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2"/>
      <c r="AR194" s="2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</row>
    <row r="195" spans="1:8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2"/>
      <c r="AR195" s="2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</row>
    <row r="196" spans="1:8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2"/>
      <c r="AR196" s="2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</row>
    <row r="197" spans="1:8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2"/>
      <c r="AR197" s="2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</row>
    <row r="198" spans="1:8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2"/>
      <c r="AR198" s="2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</row>
    <row r="199" spans="1:8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2"/>
      <c r="AR199" s="2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</row>
    <row r="200" spans="1:8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2"/>
      <c r="AR200" s="2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</row>
    <row r="201" spans="1:8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2"/>
      <c r="AR201" s="2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</row>
    <row r="202" spans="1:8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2"/>
      <c r="AR202" s="2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</row>
    <row r="203" spans="1:8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2"/>
      <c r="AR203" s="2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</row>
    <row r="204" spans="1:8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2"/>
      <c r="AR204" s="2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</row>
    <row r="205" spans="1:8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2"/>
      <c r="AR205" s="2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</row>
    <row r="206" spans="1:8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2"/>
      <c r="AR206" s="2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</row>
    <row r="207" spans="1:8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2"/>
      <c r="AR207" s="2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</row>
    <row r="208" spans="1:8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2"/>
      <c r="AR208" s="2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</row>
    <row r="209" spans="1:8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2"/>
      <c r="AR209" s="2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</row>
    <row r="210" spans="1:8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2"/>
      <c r="AR210" s="2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</row>
    <row r="211" spans="1:8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2"/>
      <c r="AR211" s="2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</row>
    <row r="212" spans="1:8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2"/>
      <c r="AR212" s="2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</row>
    <row r="213" spans="1:8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2"/>
      <c r="AR213" s="2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</row>
    <row r="214" spans="1:8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2"/>
      <c r="AR214" s="2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</row>
    <row r="215" spans="1:8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2"/>
      <c r="AR215" s="2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</row>
    <row r="216" spans="1:8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2"/>
      <c r="AR216" s="2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</row>
    <row r="217" spans="1:8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2"/>
      <c r="AR217" s="2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</row>
    <row r="218" spans="1:8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2"/>
      <c r="AR218" s="2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</row>
    <row r="219" spans="1:8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2"/>
      <c r="AR219" s="2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</row>
    <row r="220" spans="1:8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2"/>
      <c r="AR220" s="2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</row>
    <row r="221" spans="1:8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2"/>
      <c r="AR221" s="2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</row>
    <row r="222" spans="1:8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2"/>
      <c r="AR222" s="2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</row>
    <row r="223" spans="1:8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2"/>
      <c r="AR223" s="2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</row>
    <row r="224" spans="1:8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2"/>
      <c r="AR224" s="2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</row>
    <row r="225" spans="1:8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2"/>
      <c r="AR225" s="2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</row>
    <row r="226" spans="1:8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2"/>
      <c r="AR226" s="2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</row>
    <row r="227" spans="1:8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2"/>
      <c r="AR227" s="2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</row>
    <row r="228" spans="1:8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2"/>
      <c r="AR228" s="2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</row>
    <row r="229" spans="1:8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2"/>
      <c r="AR229" s="2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</row>
    <row r="230" spans="1:8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2"/>
      <c r="AR230" s="2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</row>
    <row r="231" spans="1:8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2"/>
      <c r="AR231" s="2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</row>
    <row r="232" spans="1:8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2"/>
      <c r="AR232" s="2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</row>
    <row r="233" spans="1:8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2"/>
      <c r="AR233" s="2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</row>
    <row r="234" spans="1:8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2"/>
      <c r="AR234" s="2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</row>
    <row r="235" spans="1:8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2"/>
      <c r="AR235" s="2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</row>
    <row r="236" spans="1:8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2"/>
      <c r="AR236" s="2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</row>
    <row r="237" spans="1:8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2"/>
      <c r="AR237" s="2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</row>
    <row r="238" spans="1:8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2"/>
      <c r="AR238" s="2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</row>
    <row r="239" spans="1:8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2"/>
      <c r="AR239" s="2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</row>
    <row r="240" spans="1:8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2"/>
      <c r="AR240" s="2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</row>
    <row r="241" spans="1:8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2"/>
      <c r="AR241" s="2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</row>
    <row r="242" spans="1:8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2"/>
      <c r="AR242" s="2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</row>
    <row r="243" spans="1:8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2"/>
      <c r="AR243" s="2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</row>
    <row r="244" spans="1:8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2"/>
      <c r="AR244" s="2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</row>
    <row r="245" spans="1:8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2"/>
      <c r="AR245" s="2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</row>
    <row r="246" spans="1:8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2"/>
      <c r="AR246" s="2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</row>
    <row r="247" spans="1:8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2"/>
      <c r="AR247" s="2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</row>
    <row r="248" spans="1:8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2"/>
      <c r="AR248" s="2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</row>
    <row r="249" spans="1:8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2"/>
      <c r="AR249" s="2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</row>
    <row r="250" spans="1:8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2"/>
      <c r="AR250" s="2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</row>
    <row r="251" spans="1:8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2"/>
      <c r="AR251" s="2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</row>
    <row r="252" spans="1:8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2"/>
      <c r="AR252" s="2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</row>
    <row r="253" spans="1:8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2"/>
      <c r="AR253" s="2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</row>
    <row r="254" spans="1:8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2"/>
      <c r="AR254" s="2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</row>
    <row r="255" spans="1:8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2"/>
      <c r="AR255" s="2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</row>
    <row r="256" spans="1:8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2"/>
      <c r="AR256" s="2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</row>
    <row r="257" spans="1:8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2"/>
      <c r="AR257" s="2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</row>
    <row r="258" spans="1:8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2"/>
      <c r="AR258" s="2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</row>
    <row r="259" spans="1:8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2"/>
      <c r="AR259" s="2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</row>
    <row r="260" spans="1:8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2"/>
      <c r="AR260" s="2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</row>
    <row r="261" spans="1:8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2"/>
      <c r="AR261" s="2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</row>
    <row r="262" spans="1:8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2"/>
      <c r="AR262" s="2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</row>
    <row r="263" spans="1:8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2"/>
      <c r="AR263" s="2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</row>
    <row r="264" spans="1:8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2"/>
      <c r="AR264" s="2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</row>
    <row r="265" spans="1:8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2"/>
      <c r="AR265" s="2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</row>
    <row r="266" spans="1:8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2"/>
      <c r="AR266" s="2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</row>
    <row r="267" spans="1:8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2"/>
      <c r="AR267" s="2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</row>
    <row r="268" spans="1:8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2"/>
      <c r="AR268" s="2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</row>
    <row r="269" spans="1:8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2"/>
      <c r="AR269" s="2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</row>
    <row r="270" spans="1:8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2"/>
      <c r="AR270" s="2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</row>
    <row r="271" spans="1:8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2"/>
      <c r="AR271" s="2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</row>
    <row r="272" spans="1:8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2"/>
      <c r="AR272" s="2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</row>
    <row r="273" spans="1:8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2"/>
      <c r="AR273" s="2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</row>
    <row r="274" spans="1:8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2"/>
      <c r="AR274" s="2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</row>
    <row r="275" spans="1:8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2"/>
      <c r="AR275" s="2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</row>
    <row r="276" spans="1:8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2"/>
      <c r="AR276" s="2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</row>
    <row r="277" spans="1:8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2"/>
      <c r="AR277" s="2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</row>
    <row r="278" spans="1:8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2"/>
      <c r="AR278" s="2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</row>
    <row r="279" spans="1:8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2"/>
      <c r="AR279" s="2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</row>
    <row r="280" spans="1:8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2"/>
      <c r="AR280" s="2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</row>
    <row r="281" spans="1:8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2"/>
      <c r="AR281" s="2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</row>
    <row r="282" spans="1:8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2"/>
      <c r="AR282" s="2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</row>
    <row r="283" spans="1:8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2"/>
      <c r="AR283" s="2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</row>
    <row r="284" spans="1:8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2"/>
      <c r="AR284" s="2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</row>
    <row r="285" spans="1:8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2"/>
      <c r="AR285" s="2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</row>
    <row r="286" spans="1:8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2"/>
      <c r="AR286" s="2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</row>
    <row r="287" spans="1:8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2"/>
      <c r="AR287" s="2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</row>
    <row r="288" spans="1:8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2"/>
      <c r="AR288" s="2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</row>
    <row r="289" spans="1:8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2"/>
      <c r="AR289" s="2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</row>
    <row r="290" spans="1:8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2"/>
      <c r="AR290" s="2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</row>
    <row r="291" spans="1:8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2"/>
      <c r="AR291" s="2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</row>
    <row r="292" spans="1:8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2"/>
      <c r="AR292" s="2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</row>
    <row r="293" spans="1:8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2"/>
      <c r="AR293" s="2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</row>
    <row r="294" spans="1:8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2"/>
      <c r="AR294" s="2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</row>
    <row r="295" spans="1:8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2"/>
      <c r="AR295" s="2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</row>
    <row r="296" spans="1:8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2"/>
      <c r="AR296" s="2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</row>
    <row r="297" spans="1:8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2"/>
      <c r="AR297" s="2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</row>
    <row r="298" spans="1:8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2"/>
      <c r="AR298" s="2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</row>
    <row r="299" spans="1:8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2"/>
      <c r="AR299" s="2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</row>
    <row r="300" spans="1:8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2"/>
      <c r="AR300" s="2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</row>
    <row r="301" spans="1:8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2"/>
      <c r="AR301" s="2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</row>
    <row r="302" spans="1:8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2"/>
      <c r="AR302" s="2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</row>
    <row r="303" spans="1:8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2"/>
      <c r="AR303" s="2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</row>
    <row r="304" spans="1:8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2"/>
      <c r="AR304" s="2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</row>
    <row r="305" spans="1:8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2"/>
      <c r="AR305" s="2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</row>
    <row r="306" spans="1:8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2"/>
      <c r="AR306" s="2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</row>
    <row r="307" spans="1:8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2"/>
      <c r="AR307" s="2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</row>
    <row r="308" spans="1:8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2"/>
      <c r="AR308" s="2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</row>
    <row r="309" spans="1:8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2"/>
      <c r="AR309" s="2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</row>
    <row r="310" spans="1:8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2"/>
      <c r="AR310" s="2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</row>
    <row r="311" spans="1:8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2"/>
      <c r="AR311" s="2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</row>
    <row r="312" spans="1:8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2"/>
      <c r="AR312" s="2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</row>
    <row r="313" spans="1:8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2"/>
      <c r="AR313" s="2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</row>
    <row r="314" spans="1:8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2"/>
      <c r="AR314" s="2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</row>
    <row r="315" spans="1:8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2"/>
      <c r="AR315" s="2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</row>
    <row r="316" spans="1:8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2"/>
      <c r="AR316" s="2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</row>
    <row r="317" spans="1:8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2"/>
      <c r="AR317" s="2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</row>
    <row r="318" spans="1:8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2"/>
      <c r="AR318" s="2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</row>
    <row r="319" spans="1:8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2"/>
      <c r="AR319" s="2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</row>
    <row r="320" spans="1:8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2"/>
      <c r="AR320" s="2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</row>
    <row r="321" spans="1:8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2"/>
      <c r="AR321" s="2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</row>
    <row r="322" spans="1:8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2"/>
      <c r="AR322" s="2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</row>
    <row r="323" spans="1:8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2"/>
      <c r="AR323" s="2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</row>
    <row r="324" spans="1:8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2"/>
      <c r="AR324" s="2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</row>
    <row r="325" spans="1:8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2"/>
      <c r="AR325" s="2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</row>
    <row r="326" spans="1:8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2"/>
      <c r="AR326" s="2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</row>
    <row r="327" spans="1:8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2"/>
      <c r="AR327" s="2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</row>
    <row r="328" spans="1:8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2"/>
      <c r="AR328" s="2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</row>
    <row r="329" spans="1:8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2"/>
      <c r="AR329" s="2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</row>
    <row r="330" spans="1:8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2"/>
      <c r="AR330" s="2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</row>
    <row r="331" spans="1:8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2"/>
      <c r="AR331" s="2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</row>
    <row r="332" spans="1:8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2"/>
      <c r="AR332" s="2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</row>
    <row r="333" spans="1:8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2"/>
      <c r="AR333" s="2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</row>
    <row r="334" spans="1:8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2"/>
      <c r="AR334" s="2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</row>
    <row r="335" spans="1:8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2"/>
      <c r="AR335" s="2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</row>
    <row r="336" spans="1:8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2"/>
      <c r="AR336" s="2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</row>
    <row r="337" spans="1:8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2"/>
      <c r="AR337" s="2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</row>
    <row r="338" spans="1:8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2"/>
      <c r="AR338" s="2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</row>
    <row r="339" spans="1:8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2"/>
      <c r="AR339" s="2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</row>
    <row r="340" spans="1:8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2"/>
      <c r="AR340" s="2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</row>
    <row r="341" spans="1:8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2"/>
      <c r="AR341" s="2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</row>
    <row r="342" spans="1:8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2"/>
      <c r="AR342" s="2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</row>
    <row r="343" spans="1:8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2"/>
      <c r="AR343" s="2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</row>
    <row r="344" spans="1:8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2"/>
      <c r="AR344" s="2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</row>
    <row r="345" spans="1:8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2"/>
      <c r="AR345" s="2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</row>
    <row r="346" spans="1:8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2"/>
      <c r="AR346" s="2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</row>
    <row r="347" spans="1:8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2"/>
      <c r="AR347" s="2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</row>
    <row r="348" spans="1:8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2"/>
      <c r="AR348" s="2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</row>
    <row r="349" spans="1:8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2"/>
      <c r="AR349" s="2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</row>
    <row r="350" spans="1:8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2"/>
      <c r="AR350" s="2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</row>
    <row r="351" spans="1:8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2"/>
      <c r="AR351" s="2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</row>
    <row r="352" spans="1:8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2"/>
      <c r="AR352" s="2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</row>
    <row r="353" spans="1:8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2"/>
      <c r="AR353" s="2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</row>
    <row r="354" spans="1:8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2"/>
      <c r="AR354" s="2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</row>
    <row r="355" spans="1:8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2"/>
      <c r="AR355" s="2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</row>
    <row r="356" spans="1:8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2"/>
      <c r="AR356" s="2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</row>
    <row r="357" spans="1:8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2"/>
      <c r="AR357" s="2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</row>
    <row r="358" spans="1:8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2"/>
      <c r="AR358" s="2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</row>
    <row r="359" spans="1:8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2"/>
      <c r="AR359" s="2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</row>
    <row r="360" spans="1:8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2"/>
      <c r="AR360" s="2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</row>
    <row r="361" spans="1:8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2"/>
      <c r="AR361" s="2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</row>
    <row r="362" spans="1:8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2"/>
      <c r="AR362" s="2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</row>
    <row r="363" spans="1:8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2"/>
      <c r="AR363" s="2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</row>
    <row r="364" spans="1:8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2"/>
      <c r="AR364" s="2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</row>
    <row r="365" spans="1:8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2"/>
      <c r="AR365" s="2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</row>
    <row r="366" spans="1:8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2"/>
      <c r="AR366" s="2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</row>
    <row r="367" spans="1:8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2"/>
      <c r="AR367" s="2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</row>
    <row r="368" spans="1:8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2"/>
      <c r="AR368" s="2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</row>
    <row r="369" spans="1:8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2"/>
      <c r="AR369" s="2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</row>
    <row r="370" spans="1:8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2"/>
      <c r="AR370" s="2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</row>
    <row r="371" spans="1:8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2"/>
      <c r="AR371" s="2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</row>
    <row r="372" spans="1:8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2"/>
      <c r="AR372" s="2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</row>
    <row r="373" spans="1:8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2"/>
      <c r="AR373" s="2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</row>
    <row r="374" spans="1:8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2"/>
      <c r="AR374" s="2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</row>
    <row r="375" spans="1:8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2"/>
      <c r="AR375" s="2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</row>
    <row r="376" spans="1:8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2"/>
      <c r="AR376" s="2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</row>
    <row r="377" spans="1:8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2"/>
      <c r="AR377" s="2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</row>
    <row r="378" spans="1:8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2"/>
      <c r="AR378" s="2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</row>
    <row r="379" spans="1:8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2"/>
      <c r="AR379" s="2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</row>
    <row r="380" spans="1:8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2"/>
      <c r="AR380" s="2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</row>
    <row r="381" spans="1:8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2"/>
      <c r="AR381" s="2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</row>
    <row r="382" spans="1:8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2"/>
      <c r="AR382" s="2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</row>
    <row r="383" spans="1:8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2"/>
      <c r="AR383" s="2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</row>
    <row r="384" spans="1:8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2"/>
      <c r="AR384" s="2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</row>
    <row r="385" spans="1:8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2"/>
      <c r="AR385" s="2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</row>
    <row r="386" spans="1:8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2"/>
      <c r="AR386" s="2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</row>
    <row r="387" spans="1:8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2"/>
      <c r="AR387" s="2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</row>
    <row r="388" spans="1:8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2"/>
      <c r="AR388" s="2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</row>
    <row r="389" spans="1:8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2"/>
      <c r="AR389" s="2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</row>
    <row r="390" spans="1:8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2"/>
      <c r="AR390" s="2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</row>
    <row r="391" spans="1:8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2"/>
      <c r="AR391" s="2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</row>
    <row r="392" spans="1:8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2"/>
      <c r="AR392" s="2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</row>
    <row r="393" spans="1:8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2"/>
      <c r="AR393" s="2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</row>
    <row r="394" spans="1:8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2"/>
      <c r="AR394" s="2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</row>
    <row r="395" spans="1:8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2"/>
      <c r="AR395" s="2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</row>
    <row r="396" spans="1:8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2"/>
      <c r="AR396" s="2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</row>
    <row r="397" spans="1:8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2"/>
      <c r="AR397" s="2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</row>
    <row r="398" spans="1:8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2"/>
      <c r="AR398" s="2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</row>
    <row r="399" spans="1:8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2"/>
      <c r="AR399" s="2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</row>
    <row r="400" spans="1:8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2"/>
      <c r="AR400" s="2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</row>
    <row r="401" spans="1:8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2"/>
      <c r="AR401" s="2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</row>
    <row r="402" spans="1:8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2"/>
      <c r="AR402" s="2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</row>
    <row r="403" spans="1:8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2"/>
      <c r="AR403" s="2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</row>
    <row r="404" spans="1:8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2"/>
      <c r="AR404" s="2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</row>
    <row r="405" spans="1:8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2"/>
      <c r="AR405" s="2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</row>
    <row r="406" spans="1:8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2"/>
      <c r="AR406" s="2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</row>
    <row r="407" spans="1:8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2"/>
      <c r="AR407" s="2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</row>
    <row r="408" spans="1:8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2"/>
      <c r="AR408" s="2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</row>
    <row r="409" spans="1:8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2"/>
      <c r="AR409" s="2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</row>
    <row r="410" spans="1:8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2"/>
      <c r="AR410" s="2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</row>
    <row r="411" spans="1:8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2"/>
      <c r="AR411" s="2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</row>
    <row r="412" spans="1:8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2"/>
      <c r="AR412" s="2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</row>
    <row r="413" spans="1:8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2"/>
      <c r="AR413" s="2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</row>
    <row r="414" spans="1:8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2"/>
      <c r="AR414" s="2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</row>
    <row r="415" spans="1:8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2"/>
      <c r="AR415" s="2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</row>
    <row r="416" spans="1:8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2"/>
      <c r="AR416" s="2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</row>
    <row r="417" spans="1:8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2"/>
      <c r="AR417" s="2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</row>
    <row r="418" spans="1:8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2"/>
      <c r="AR418" s="2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</row>
    <row r="419" spans="1:8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2"/>
      <c r="AR419" s="2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</row>
    <row r="420" spans="1:8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2"/>
      <c r="AR420" s="2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</row>
    <row r="421" spans="1:8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2"/>
      <c r="AR421" s="2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</row>
    <row r="422" spans="1:8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2"/>
      <c r="AR422" s="2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</row>
    <row r="423" spans="1:8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2"/>
      <c r="AR423" s="2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</row>
    <row r="424" spans="1:8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2"/>
      <c r="AR424" s="2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</row>
    <row r="425" spans="1:8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2"/>
      <c r="AR425" s="2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</row>
    <row r="426" spans="1:8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2"/>
      <c r="AR426" s="2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</row>
    <row r="427" spans="1:8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2"/>
      <c r="AR427" s="2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</row>
    <row r="428" spans="1:8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2"/>
      <c r="AR428" s="2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</row>
    <row r="429" spans="1:8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2"/>
      <c r="AR429" s="2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</row>
    <row r="430" spans="1:8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2"/>
      <c r="AR430" s="2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</row>
    <row r="431" spans="1:8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2"/>
      <c r="AR431" s="2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</row>
    <row r="432" spans="1:8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2"/>
      <c r="AR432" s="2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</row>
    <row r="433" spans="1:8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2"/>
      <c r="AR433" s="2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</row>
    <row r="434" spans="1:8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2"/>
      <c r="AR434" s="2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</row>
    <row r="435" spans="1:8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2"/>
      <c r="AR435" s="2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</row>
    <row r="436" spans="1:8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2"/>
      <c r="AR436" s="2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</row>
    <row r="437" spans="1:8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2"/>
      <c r="AR437" s="2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</row>
    <row r="438" spans="1:8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2"/>
      <c r="AR438" s="2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</row>
    <row r="439" spans="1:8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2"/>
      <c r="AR439" s="2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</row>
    <row r="440" spans="1:8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2"/>
      <c r="AR440" s="2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</row>
    <row r="441" spans="1:8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2"/>
      <c r="AR441" s="2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</row>
    <row r="442" spans="1:8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2"/>
      <c r="AR442" s="2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</row>
    <row r="443" spans="1:8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2"/>
      <c r="AR443" s="2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</row>
    <row r="444" spans="1:8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2"/>
      <c r="AR444" s="2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</row>
    <row r="445" spans="1:8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2"/>
      <c r="AR445" s="2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</row>
    <row r="446" spans="1:8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2"/>
      <c r="AR446" s="2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</row>
    <row r="447" spans="1:8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2"/>
      <c r="AR447" s="2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</row>
    <row r="448" spans="1:8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2"/>
      <c r="AR448" s="2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</row>
    <row r="449" spans="1:8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2"/>
      <c r="AR449" s="2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</row>
    <row r="450" spans="1:8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2"/>
      <c r="AR450" s="2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</row>
    <row r="451" spans="1:8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2"/>
      <c r="AR451" s="2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</row>
    <row r="452" spans="1:8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2"/>
      <c r="AR452" s="2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</row>
    <row r="453" spans="1:8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2"/>
      <c r="AR453" s="2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</row>
    <row r="454" spans="1:8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2"/>
      <c r="AR454" s="2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</row>
    <row r="455" spans="1:8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2"/>
      <c r="AR455" s="2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</row>
    <row r="456" spans="1:8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2"/>
      <c r="AR456" s="2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</row>
    <row r="457" spans="1:8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2"/>
      <c r="AR457" s="2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</row>
    <row r="458" spans="1:8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2"/>
      <c r="AR458" s="2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</row>
    <row r="459" spans="1:8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2"/>
      <c r="AR459" s="2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</row>
    <row r="460" spans="1:8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2"/>
      <c r="AR460" s="2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</row>
    <row r="461" spans="1:8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2"/>
      <c r="AR461" s="2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</row>
    <row r="462" spans="1:8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2"/>
      <c r="AR462" s="2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</row>
    <row r="463" spans="1:8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2"/>
      <c r="AR463" s="2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</row>
    <row r="464" spans="1:8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2"/>
      <c r="AR464" s="2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</row>
    <row r="465" spans="1:8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2"/>
      <c r="AR465" s="2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</row>
    <row r="466" spans="1:8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2"/>
      <c r="AR466" s="2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</row>
    <row r="467" spans="1:8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2"/>
      <c r="AR467" s="2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</row>
    <row r="468" spans="1:8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2"/>
      <c r="AR468" s="2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</row>
    <row r="469" spans="1:8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2"/>
      <c r="AR469" s="2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</row>
    <row r="470" spans="1:8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2"/>
      <c r="AR470" s="2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</row>
    <row r="471" spans="1:8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2"/>
      <c r="AR471" s="2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</row>
    <row r="472" spans="1:8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2"/>
      <c r="AR472" s="2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</row>
    <row r="473" spans="1:8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2"/>
      <c r="AR473" s="2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</row>
    <row r="474" spans="1:8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2"/>
      <c r="AR474" s="2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</row>
    <row r="475" spans="1:8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2"/>
      <c r="AR475" s="2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</row>
    <row r="476" spans="1:8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2"/>
      <c r="AR476" s="2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</row>
    <row r="477" spans="1:8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2"/>
      <c r="AR477" s="2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</row>
    <row r="478" spans="1:8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2"/>
      <c r="AR478" s="2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</row>
    <row r="479" spans="1:8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2"/>
      <c r="AR479" s="2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</row>
    <row r="480" spans="1:8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2"/>
      <c r="AR480" s="2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</row>
    <row r="481" spans="1:8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2"/>
      <c r="AR481" s="2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</row>
    <row r="482" spans="1:8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2"/>
      <c r="AR482" s="2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</row>
    <row r="483" spans="1:8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2"/>
      <c r="AR483" s="2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</row>
    <row r="484" spans="1:8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2"/>
      <c r="AR484" s="2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</row>
    <row r="485" spans="1:8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2"/>
      <c r="AR485" s="2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</row>
    <row r="486" spans="1:8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2"/>
      <c r="AR486" s="2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</row>
    <row r="487" spans="1:8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2"/>
      <c r="AR487" s="2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</row>
    <row r="488" spans="1:8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2"/>
      <c r="AR488" s="2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</row>
    <row r="489" spans="1:8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2"/>
      <c r="AR489" s="2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</row>
    <row r="490" spans="1:8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2"/>
      <c r="AR490" s="2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</row>
    <row r="491" spans="1:8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2"/>
      <c r="AR491" s="2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</row>
    <row r="492" spans="1:8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2"/>
      <c r="AR492" s="2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</row>
    <row r="493" spans="1:8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2"/>
      <c r="AR493" s="2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</row>
    <row r="494" spans="1:8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2"/>
      <c r="AR494" s="2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</row>
    <row r="495" spans="1:8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2"/>
      <c r="AR495" s="2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</row>
    <row r="496" spans="1:8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2"/>
      <c r="AR496" s="2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</row>
    <row r="497" spans="1:8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2"/>
      <c r="AR497" s="2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</row>
    <row r="498" spans="1:8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2"/>
      <c r="AR498" s="2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</row>
    <row r="499" spans="1:8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2"/>
      <c r="AR499" s="2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</row>
    <row r="500" spans="1:8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2"/>
      <c r="AR500" s="2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</row>
    <row r="501" spans="1:8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2"/>
      <c r="AR501" s="2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</row>
    <row r="502" spans="1:8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2"/>
      <c r="AR502" s="2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</row>
    <row r="503" spans="1:8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2"/>
      <c r="AR503" s="2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</row>
    <row r="504" spans="1:8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2"/>
      <c r="AR504" s="2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</row>
    <row r="505" spans="1:8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2"/>
      <c r="AR505" s="2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</row>
    <row r="506" spans="1:8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2"/>
      <c r="AR506" s="2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</row>
    <row r="507" spans="1:8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2"/>
      <c r="AR507" s="2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</row>
    <row r="508" spans="1:8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2"/>
      <c r="AR508" s="2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</row>
    <row r="509" spans="1:8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2"/>
      <c r="AR509" s="2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</row>
    <row r="510" spans="1:8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2"/>
      <c r="AR510" s="2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</row>
    <row r="511" spans="1:8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2"/>
      <c r="AR511" s="2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</row>
    <row r="512" spans="1:8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2"/>
      <c r="AR512" s="2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</row>
    <row r="513" spans="1:8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2"/>
      <c r="AR513" s="2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</row>
    <row r="514" spans="1:8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2"/>
      <c r="AR514" s="2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</row>
    <row r="515" spans="1:8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2"/>
      <c r="AR515" s="2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</row>
    <row r="516" spans="1:8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2"/>
      <c r="AR516" s="2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</row>
    <row r="517" spans="1:8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2"/>
      <c r="AR517" s="2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</row>
    <row r="518" spans="1:8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2"/>
      <c r="AR518" s="2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</row>
    <row r="519" spans="1:8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2"/>
      <c r="AR519" s="2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</row>
    <row r="520" spans="1:8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2"/>
      <c r="AR520" s="2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</row>
    <row r="521" spans="1:8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2"/>
      <c r="AR521" s="2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</row>
    <row r="522" spans="1:8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2"/>
      <c r="AR522" s="2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</row>
    <row r="523" spans="1:8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2"/>
      <c r="AR523" s="2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</row>
    <row r="524" spans="1:8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2"/>
      <c r="AR524" s="2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</row>
    <row r="525" spans="1:8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2"/>
      <c r="AR525" s="2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</row>
    <row r="526" spans="1:8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2"/>
      <c r="AR526" s="2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</row>
    <row r="527" spans="1:8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2"/>
      <c r="AR527" s="2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</row>
    <row r="528" spans="1:8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2"/>
      <c r="AR528" s="2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</row>
    <row r="529" spans="1:8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2"/>
      <c r="AR529" s="2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</row>
    <row r="530" spans="1:8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2"/>
      <c r="AR530" s="2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</row>
    <row r="531" spans="1:8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2"/>
      <c r="AR531" s="2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</row>
    <row r="532" spans="1:8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2"/>
      <c r="AR532" s="2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</row>
    <row r="533" spans="1:8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2"/>
      <c r="AR533" s="2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</row>
    <row r="534" spans="1:8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2"/>
      <c r="AR534" s="2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</row>
    <row r="535" spans="1:8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2"/>
      <c r="AR535" s="2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</row>
    <row r="536" spans="1:8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2"/>
      <c r="AR536" s="2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</row>
    <row r="537" spans="1:8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2"/>
      <c r="AR537" s="2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</row>
    <row r="538" spans="1:8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2"/>
      <c r="AR538" s="2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</row>
    <row r="539" spans="1:8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2"/>
      <c r="AR539" s="2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</row>
    <row r="540" spans="1:8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2"/>
      <c r="AR540" s="2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</row>
    <row r="541" spans="1:8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2"/>
      <c r="AR541" s="2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</row>
    <row r="542" spans="1:8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2"/>
      <c r="AR542" s="2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</row>
    <row r="543" spans="1:8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2"/>
      <c r="AR543" s="2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</row>
    <row r="544" spans="1:8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2"/>
      <c r="AR544" s="2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</row>
    <row r="545" spans="1:8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2"/>
      <c r="AR545" s="2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</row>
    <row r="546" spans="1:8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2"/>
      <c r="AR546" s="2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</row>
    <row r="547" spans="1:8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2"/>
      <c r="AR547" s="2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</row>
    <row r="548" spans="1:8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2"/>
      <c r="AR548" s="2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</row>
    <row r="549" spans="1:8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2"/>
      <c r="AR549" s="2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</row>
    <row r="550" spans="1:8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2"/>
      <c r="AR550" s="2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</row>
    <row r="551" spans="1:8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2"/>
      <c r="AR551" s="2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</row>
    <row r="552" spans="1:8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2"/>
      <c r="AR552" s="2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</row>
    <row r="553" spans="1:8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2"/>
      <c r="AR553" s="2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</row>
    <row r="554" spans="1:8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2"/>
      <c r="AR554" s="2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</row>
    <row r="555" spans="1:8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2"/>
      <c r="AR555" s="2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</row>
    <row r="556" spans="1:8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2"/>
      <c r="AR556" s="2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</row>
    <row r="557" spans="1:8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2"/>
      <c r="AR557" s="2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</row>
    <row r="558" spans="1:8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2"/>
      <c r="AR558" s="2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</row>
    <row r="559" spans="1:8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2"/>
      <c r="AR559" s="2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</row>
    <row r="560" spans="1:8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2"/>
      <c r="AR560" s="2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</row>
    <row r="561" spans="1:8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2"/>
      <c r="AR561" s="2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</row>
    <row r="562" spans="1:8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2"/>
      <c r="AR562" s="2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</row>
    <row r="563" spans="1:8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2"/>
      <c r="AR563" s="2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</row>
    <row r="564" spans="1:8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2"/>
      <c r="AR564" s="2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</row>
    <row r="565" spans="1:8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2"/>
      <c r="AR565" s="2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</row>
    <row r="566" spans="1:8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2"/>
      <c r="AR566" s="2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</row>
    <row r="567" spans="1:8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2"/>
      <c r="AR567" s="2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</row>
    <row r="568" spans="1:8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2"/>
      <c r="AR568" s="2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</row>
    <row r="569" spans="1:8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2"/>
      <c r="AR569" s="2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</row>
    <row r="570" spans="1:8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2"/>
      <c r="AR570" s="2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</row>
    <row r="571" spans="1:8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2"/>
      <c r="AR571" s="2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</row>
    <row r="572" spans="1:8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2"/>
      <c r="AR572" s="2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</row>
    <row r="573" spans="1:8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2"/>
      <c r="AR573" s="2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</row>
    <row r="574" spans="1:8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2"/>
      <c r="AR574" s="2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</row>
    <row r="575" spans="1:8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2"/>
      <c r="AR575" s="2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</row>
    <row r="576" spans="1:8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2"/>
      <c r="AR576" s="2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</row>
    <row r="577" spans="1:8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2"/>
      <c r="AR577" s="2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</row>
    <row r="578" spans="1:8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2"/>
      <c r="AR578" s="2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</row>
    <row r="579" spans="1:8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2"/>
      <c r="AR579" s="2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</row>
    <row r="580" spans="1:8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2"/>
      <c r="AR580" s="2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</row>
    <row r="581" spans="1:8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2"/>
      <c r="AR581" s="2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</row>
    <row r="582" spans="1:8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2"/>
      <c r="AR582" s="2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</row>
    <row r="583" spans="1:8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2"/>
      <c r="AR583" s="2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</row>
    <row r="584" spans="1:8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2"/>
      <c r="AR584" s="2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</row>
    <row r="585" spans="1:8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2"/>
      <c r="AR585" s="2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</row>
    <row r="586" spans="1:8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2"/>
      <c r="AR586" s="2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</row>
    <row r="587" spans="1:8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2"/>
      <c r="AR587" s="2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</row>
    <row r="588" spans="1:8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2"/>
      <c r="AR588" s="2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</row>
    <row r="589" spans="1:8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2"/>
      <c r="AR589" s="2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</row>
    <row r="590" spans="1:8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2"/>
      <c r="AR590" s="2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</row>
    <row r="591" spans="1:8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2"/>
      <c r="AR591" s="2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</row>
    <row r="592" spans="1:8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2"/>
      <c r="AR592" s="2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</row>
    <row r="593" spans="1:8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2"/>
      <c r="AR593" s="2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</row>
    <row r="594" spans="1:8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2"/>
      <c r="AR594" s="2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</row>
    <row r="595" spans="1:8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2"/>
      <c r="AR595" s="2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</row>
    <row r="596" spans="1:8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2"/>
      <c r="AR596" s="2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</row>
    <row r="597" spans="1:8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2"/>
      <c r="AR597" s="2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</row>
    <row r="598" spans="1:8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2"/>
      <c r="AR598" s="2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</row>
    <row r="599" spans="1:8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2"/>
      <c r="AR599" s="2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</row>
    <row r="600" spans="1:8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2"/>
      <c r="AR600" s="2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</row>
    <row r="601" spans="1:8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2"/>
      <c r="AR601" s="2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</row>
    <row r="602" spans="1:8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2"/>
      <c r="AR602" s="2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</row>
    <row r="603" spans="1:8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2"/>
      <c r="AR603" s="2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</row>
    <row r="604" spans="1:8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2"/>
      <c r="AR604" s="2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</row>
    <row r="605" spans="1:8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2"/>
      <c r="AR605" s="2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</row>
    <row r="606" spans="1:8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2"/>
      <c r="AR606" s="2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</row>
    <row r="607" spans="1:8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2"/>
      <c r="AR607" s="2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</row>
    <row r="608" spans="1:8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2"/>
      <c r="AR608" s="2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</row>
    <row r="609" spans="1:8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2"/>
      <c r="AR609" s="2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</row>
    <row r="610" spans="1:8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2"/>
      <c r="AR610" s="2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</row>
    <row r="611" spans="1:8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2"/>
      <c r="AR611" s="2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</row>
    <row r="612" spans="1:8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2"/>
      <c r="AR612" s="2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</row>
    <row r="613" spans="1:8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2"/>
      <c r="AR613" s="2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</row>
    <row r="614" spans="1:8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2"/>
      <c r="AR614" s="2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</row>
    <row r="615" spans="1:8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2"/>
      <c r="AR615" s="2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</row>
    <row r="616" spans="1:8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2"/>
      <c r="AR616" s="2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</row>
    <row r="617" spans="1:8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2"/>
      <c r="AR617" s="2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</row>
    <row r="618" spans="1:8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2"/>
      <c r="AR618" s="2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</row>
    <row r="619" spans="1:8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2"/>
      <c r="AR619" s="2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</row>
    <row r="620" spans="1:8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2"/>
      <c r="AR620" s="2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</row>
    <row r="621" spans="1:8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2"/>
      <c r="AR621" s="2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</row>
    <row r="622" spans="1:8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2"/>
      <c r="AR622" s="2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</row>
    <row r="623" spans="1:8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2"/>
      <c r="AR623" s="2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</row>
    <row r="624" spans="1:8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2"/>
      <c r="AR624" s="2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</row>
    <row r="625" spans="1:8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2"/>
      <c r="AR625" s="2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</row>
    <row r="626" spans="1:8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2"/>
      <c r="AR626" s="2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</row>
    <row r="627" spans="1:8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2"/>
      <c r="AR627" s="2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</row>
    <row r="628" spans="1:8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2"/>
      <c r="AR628" s="2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</row>
    <row r="629" spans="1:8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2"/>
      <c r="AR629" s="2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</row>
    <row r="630" spans="1:8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2"/>
      <c r="AR630" s="2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</row>
    <row r="631" spans="1:8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2"/>
      <c r="AR631" s="2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</row>
    <row r="632" spans="1:8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2"/>
      <c r="AR632" s="2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</row>
    <row r="633" spans="1:8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2"/>
      <c r="AR633" s="2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</row>
    <row r="634" spans="1:8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2"/>
      <c r="AR634" s="2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</row>
    <row r="635" spans="1:8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2"/>
      <c r="AR635" s="2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</row>
    <row r="636" spans="1:8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2"/>
      <c r="AR636" s="2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</row>
    <row r="637" spans="1:8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2"/>
      <c r="AR637" s="2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</row>
    <row r="638" spans="1:8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2"/>
      <c r="AR638" s="2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</row>
    <row r="639" spans="1:8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2"/>
      <c r="AR639" s="2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</row>
    <row r="640" spans="1:8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2"/>
      <c r="AR640" s="2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</row>
    <row r="641" spans="1:8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2"/>
      <c r="AR641" s="2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</row>
    <row r="642" spans="1:8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2"/>
      <c r="AR642" s="2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</row>
    <row r="643" spans="1:8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2"/>
      <c r="AR643" s="2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</row>
    <row r="644" spans="1:8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2"/>
      <c r="AR644" s="2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</row>
    <row r="645" spans="1:8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2"/>
      <c r="AR645" s="2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</row>
    <row r="646" spans="1:8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2"/>
      <c r="AR646" s="2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</row>
    <row r="647" spans="1:8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2"/>
      <c r="AR647" s="2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</row>
    <row r="648" spans="1:8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2"/>
      <c r="AR648" s="2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</row>
    <row r="649" spans="1:8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2"/>
      <c r="AR649" s="2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</row>
    <row r="650" spans="1:8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2"/>
      <c r="AR650" s="2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</row>
    <row r="651" spans="1:8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2"/>
      <c r="AR651" s="2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</row>
    <row r="652" spans="1:8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2"/>
      <c r="AR652" s="2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</row>
    <row r="653" spans="1:8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2"/>
      <c r="AR653" s="2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</row>
    <row r="654" spans="1:8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2"/>
      <c r="AR654" s="2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</row>
    <row r="655" spans="1:8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2"/>
      <c r="AR655" s="2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</row>
    <row r="656" spans="1:8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2"/>
      <c r="AR656" s="2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</row>
    <row r="657" spans="1:8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2"/>
      <c r="AR657" s="2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</row>
    <row r="658" spans="1:8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2"/>
      <c r="AR658" s="2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</row>
    <row r="659" spans="1:8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2"/>
      <c r="AR659" s="2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</row>
    <row r="660" spans="1:8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2"/>
      <c r="AR660" s="2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</row>
    <row r="661" spans="1:8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2"/>
      <c r="AR661" s="2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</row>
    <row r="662" spans="1:8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2"/>
      <c r="AR662" s="2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</row>
    <row r="663" spans="1:8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2"/>
      <c r="AR663" s="2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</row>
    <row r="664" spans="1:8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2"/>
      <c r="AR664" s="2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</row>
    <row r="665" spans="1:8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2"/>
      <c r="AR665" s="2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</row>
    <row r="666" spans="1:8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2"/>
      <c r="AR666" s="2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</row>
    <row r="667" spans="1:8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2"/>
      <c r="AR667" s="2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</row>
    <row r="668" spans="1:8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2"/>
      <c r="AR668" s="2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</row>
    <row r="669" spans="1:8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2"/>
      <c r="AR669" s="2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</row>
    <row r="670" spans="1:8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2"/>
      <c r="AR670" s="2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</row>
    <row r="671" spans="1:8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2"/>
      <c r="AR671" s="2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</row>
    <row r="672" spans="1:8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2"/>
      <c r="AR672" s="2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</row>
    <row r="673" spans="1:8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2"/>
      <c r="AR673" s="2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</row>
    <row r="674" spans="1:8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2"/>
      <c r="AR674" s="2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</row>
    <row r="675" spans="1:8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2"/>
      <c r="AR675" s="2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</row>
    <row r="676" spans="1:8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2"/>
      <c r="AR676" s="2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</row>
    <row r="677" spans="1:8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2"/>
      <c r="AR677" s="2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</row>
    <row r="678" spans="1:8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2"/>
      <c r="AR678" s="2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</row>
    <row r="679" spans="1:8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2"/>
      <c r="AR679" s="2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</row>
    <row r="680" spans="1:8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2"/>
      <c r="AR680" s="2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</row>
    <row r="681" spans="1:8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2"/>
      <c r="AR681" s="2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</row>
    <row r="682" spans="1:8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2"/>
      <c r="AR682" s="2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</row>
    <row r="683" spans="1:8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2"/>
      <c r="AR683" s="2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</row>
    <row r="684" spans="1:8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2"/>
      <c r="AR684" s="2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</row>
    <row r="685" spans="1:8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2"/>
      <c r="AR685" s="2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</row>
    <row r="686" spans="1:8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2"/>
      <c r="AR686" s="2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</row>
    <row r="687" spans="1:8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2"/>
      <c r="AR687" s="2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</row>
    <row r="688" spans="1:8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2"/>
      <c r="AR688" s="2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</row>
    <row r="689" spans="1:8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2"/>
      <c r="AR689" s="2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</row>
    <row r="690" spans="1:8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2"/>
      <c r="AR690" s="2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</row>
    <row r="691" spans="1:8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2"/>
      <c r="AR691" s="2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</row>
    <row r="692" spans="1:8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2"/>
      <c r="AR692" s="2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</row>
    <row r="693" spans="1:8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2"/>
      <c r="AR693" s="2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</row>
    <row r="694" spans="1:8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2"/>
      <c r="AR694" s="2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</row>
    <row r="695" spans="1:8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2"/>
      <c r="AR695" s="2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</row>
    <row r="696" spans="1:8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2"/>
      <c r="AR696" s="2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</row>
    <row r="697" spans="1:8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2"/>
      <c r="AR697" s="2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</row>
    <row r="698" spans="1:8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2"/>
      <c r="AR698" s="2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</row>
    <row r="699" spans="1:8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2"/>
      <c r="AR699" s="2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</row>
    <row r="700" spans="1:8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2"/>
      <c r="AR700" s="2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</row>
    <row r="701" spans="1:8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2"/>
      <c r="AR701" s="2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</row>
    <row r="702" spans="1:8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2"/>
      <c r="AR702" s="2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</row>
    <row r="703" spans="1:8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2"/>
      <c r="AR703" s="2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</row>
    <row r="704" spans="1:8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2"/>
      <c r="AR704" s="2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</row>
    <row r="705" spans="1:8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2"/>
      <c r="AR705" s="2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</row>
    <row r="706" spans="1:8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2"/>
      <c r="AR706" s="2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</row>
    <row r="707" spans="1:8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2"/>
      <c r="AR707" s="2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</row>
    <row r="708" spans="1:8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2"/>
      <c r="AR708" s="2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</row>
    <row r="709" spans="1:8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2"/>
      <c r="AR709" s="2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</row>
    <row r="710" spans="1:8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2"/>
      <c r="AR710" s="2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</row>
    <row r="711" spans="1:8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2"/>
      <c r="AR711" s="2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</row>
    <row r="712" spans="1:8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2"/>
      <c r="AR712" s="2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</row>
    <row r="713" spans="1:8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2"/>
      <c r="AR713" s="2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</row>
    <row r="714" spans="1:8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2"/>
      <c r="AR714" s="2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</row>
    <row r="715" spans="1:8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2"/>
      <c r="AR715" s="2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</row>
    <row r="716" spans="1:8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2"/>
      <c r="AR716" s="2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</row>
    <row r="717" spans="1:8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2"/>
      <c r="AR717" s="2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</row>
    <row r="718" spans="1:8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2"/>
      <c r="AR718" s="2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</row>
    <row r="719" spans="1:8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2"/>
      <c r="AR719" s="2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</row>
    <row r="720" spans="1:8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2"/>
      <c r="AR720" s="2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</row>
    <row r="721" spans="1:8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2"/>
      <c r="AR721" s="2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</row>
    <row r="722" spans="1:8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2"/>
      <c r="AR722" s="2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</row>
    <row r="723" spans="1:8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2"/>
      <c r="AR723" s="2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</row>
    <row r="724" spans="1:8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2"/>
      <c r="AR724" s="2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</row>
    <row r="725" spans="1:8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2"/>
      <c r="AR725" s="2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</row>
    <row r="726" spans="1:8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2"/>
      <c r="AR726" s="2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</row>
    <row r="727" spans="1:8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2"/>
      <c r="AR727" s="2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</row>
    <row r="728" spans="1:8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2"/>
      <c r="AR728" s="2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</row>
    <row r="729" spans="1:8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2"/>
      <c r="AR729" s="2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</row>
    <row r="730" spans="1:8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2"/>
      <c r="AR730" s="2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</row>
    <row r="731" spans="1:8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2"/>
      <c r="AR731" s="2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</row>
    <row r="732" spans="1:8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2"/>
      <c r="AR732" s="2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</row>
    <row r="733" spans="1:8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2"/>
      <c r="AR733" s="2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</row>
    <row r="734" spans="1:8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2"/>
      <c r="AR734" s="2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</row>
    <row r="735" spans="1:8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2"/>
      <c r="AR735" s="2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</row>
    <row r="736" spans="1:8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2"/>
      <c r="AR736" s="2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</row>
    <row r="737" spans="1:8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2"/>
      <c r="AR737" s="2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</row>
    <row r="738" spans="1:8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2"/>
      <c r="AR738" s="2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</row>
    <row r="739" spans="1:8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2"/>
      <c r="AR739" s="2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</row>
    <row r="740" spans="1:8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2"/>
      <c r="AR740" s="2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</row>
    <row r="741" spans="1:8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2"/>
      <c r="AR741" s="2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</row>
    <row r="742" spans="1:8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2"/>
      <c r="AR742" s="2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</row>
    <row r="743" spans="1:8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2"/>
      <c r="AR743" s="2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</row>
    <row r="744" spans="1:8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2"/>
      <c r="AR744" s="2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</row>
    <row r="745" spans="1:8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2"/>
      <c r="AR745" s="2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</row>
    <row r="746" spans="1:8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2"/>
      <c r="AR746" s="2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</row>
    <row r="747" spans="1:8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2"/>
      <c r="AR747" s="2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</row>
    <row r="748" spans="1:8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2"/>
      <c r="AR748" s="2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</row>
    <row r="749" spans="1:8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2"/>
      <c r="AR749" s="2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</row>
    <row r="750" spans="1:8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2"/>
      <c r="AR750" s="2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</row>
    <row r="751" spans="1:8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2"/>
      <c r="AR751" s="2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</row>
    <row r="752" spans="1:8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2"/>
      <c r="AR752" s="2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</row>
    <row r="753" spans="1:8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2"/>
      <c r="AR753" s="2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</row>
    <row r="754" spans="1:8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2"/>
      <c r="AR754" s="2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</row>
    <row r="755" spans="1:8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2"/>
      <c r="AR755" s="2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</row>
    <row r="756" spans="1:8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2"/>
      <c r="AR756" s="2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</row>
    <row r="757" spans="1:8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2"/>
      <c r="AR757" s="2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</row>
    <row r="758" spans="1:8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2"/>
      <c r="AR758" s="2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</row>
    <row r="759" spans="1:8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2"/>
      <c r="AR759" s="2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</row>
    <row r="760" spans="1:8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2"/>
      <c r="AR760" s="2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</row>
    <row r="761" spans="1:8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2"/>
      <c r="AR761" s="2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</row>
    <row r="762" spans="1:8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2"/>
      <c r="AR762" s="2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</row>
    <row r="763" spans="1:8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2"/>
      <c r="AR763" s="2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</row>
    <row r="764" spans="1:8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2"/>
      <c r="AR764" s="2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</row>
    <row r="765" spans="1:8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2"/>
      <c r="AR765" s="2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</row>
    <row r="766" spans="1:8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2"/>
      <c r="AR766" s="2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</row>
    <row r="767" spans="1:8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2"/>
      <c r="AR767" s="2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</row>
    <row r="768" spans="1:8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2"/>
      <c r="AR768" s="2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</row>
    <row r="769" spans="1:8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2"/>
      <c r="AR769" s="2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</row>
    <row r="770" spans="1:8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2"/>
      <c r="AR770" s="2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</row>
    <row r="771" spans="1:8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2"/>
      <c r="AR771" s="2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</row>
    <row r="772" spans="1:8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2"/>
      <c r="AR772" s="2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</row>
    <row r="773" spans="1:8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2"/>
      <c r="AR773" s="2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</row>
    <row r="774" spans="1:8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2"/>
      <c r="AR774" s="2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</row>
    <row r="775" spans="1:8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2"/>
      <c r="AR775" s="2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</row>
    <row r="776" spans="1:8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2"/>
      <c r="AR776" s="2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</row>
    <row r="777" spans="1:8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2"/>
      <c r="AR777" s="2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</row>
    <row r="778" spans="1:8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2"/>
      <c r="AR778" s="2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</row>
    <row r="779" spans="1:8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2"/>
      <c r="AR779" s="2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</row>
    <row r="780" spans="1:8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2"/>
      <c r="AR780" s="2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</row>
    <row r="781" spans="1:8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2"/>
      <c r="AR781" s="2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</row>
    <row r="782" spans="1:8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2"/>
      <c r="AR782" s="2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</row>
    <row r="783" spans="1:8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2"/>
      <c r="AR783" s="2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</row>
    <row r="784" spans="1:8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2"/>
      <c r="AR784" s="2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</row>
    <row r="785" spans="1:8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2"/>
      <c r="AR785" s="2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</row>
    <row r="786" spans="1:8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2"/>
      <c r="AR786" s="2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</row>
    <row r="787" spans="1:8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2"/>
      <c r="AR787" s="2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</row>
    <row r="788" spans="1:8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2"/>
      <c r="AR788" s="2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</row>
    <row r="789" spans="1:8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2"/>
      <c r="AR789" s="2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</row>
    <row r="790" spans="1:8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2"/>
      <c r="AR790" s="2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</row>
    <row r="791" spans="1:8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2"/>
      <c r="AR791" s="2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</row>
    <row r="792" spans="1:8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2"/>
      <c r="AR792" s="2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</row>
    <row r="793" spans="1:8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2"/>
      <c r="AR793" s="2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</row>
    <row r="794" spans="1:8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2"/>
      <c r="AR794" s="2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</row>
    <row r="795" spans="1:8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2"/>
      <c r="AR795" s="2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</row>
    <row r="796" spans="1:8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2"/>
      <c r="AR796" s="2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</row>
    <row r="797" spans="1:8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2"/>
      <c r="AR797" s="2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</row>
    <row r="798" spans="1:8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2"/>
      <c r="AR798" s="2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</row>
    <row r="799" spans="1:8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2"/>
      <c r="AR799" s="2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</row>
    <row r="800" spans="1:8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2"/>
      <c r="AR800" s="2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</row>
    <row r="801" spans="1:8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2"/>
      <c r="AR801" s="2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</row>
    <row r="802" spans="1:8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2"/>
      <c r="AR802" s="2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</row>
    <row r="803" spans="1:8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2"/>
      <c r="AR803" s="2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</row>
    <row r="804" spans="1:8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2"/>
      <c r="AR804" s="2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</row>
    <row r="805" spans="1:8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2"/>
      <c r="AR805" s="2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</row>
    <row r="806" spans="1:8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2"/>
      <c r="AR806" s="2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</row>
    <row r="807" spans="1:8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2"/>
      <c r="AR807" s="2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</row>
    <row r="808" spans="1:8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2"/>
      <c r="AR808" s="2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</row>
    <row r="809" spans="1:8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2"/>
      <c r="AR809" s="2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</row>
    <row r="810" spans="1:8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2"/>
      <c r="AR810" s="2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</row>
    <row r="811" spans="1:8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2"/>
      <c r="AR811" s="2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</row>
    <row r="812" spans="1:8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2"/>
      <c r="AR812" s="2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</row>
    <row r="813" spans="1:8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2"/>
      <c r="AR813" s="2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</row>
    <row r="814" spans="1:8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2"/>
      <c r="AR814" s="2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</row>
    <row r="815" spans="1:8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2"/>
      <c r="AR815" s="2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</row>
    <row r="816" spans="1:8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2"/>
      <c r="AR816" s="2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</row>
    <row r="817" spans="1:8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2"/>
      <c r="AR817" s="2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</row>
    <row r="818" spans="1:8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2"/>
      <c r="AR818" s="2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</row>
    <row r="819" spans="1:8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2"/>
      <c r="AR819" s="2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</row>
    <row r="820" spans="1:8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2"/>
      <c r="AR820" s="2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</row>
    <row r="821" spans="1:8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2"/>
      <c r="AR821" s="2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</row>
    <row r="822" spans="1:8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2"/>
      <c r="AR822" s="2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</row>
    <row r="823" spans="1:8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2"/>
      <c r="AR823" s="2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</row>
    <row r="824" spans="1:8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2"/>
      <c r="AR824" s="2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</row>
    <row r="825" spans="1:8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2"/>
      <c r="AR825" s="2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</row>
    <row r="826" spans="1:8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2"/>
      <c r="AR826" s="2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</row>
    <row r="827" spans="1:8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2"/>
      <c r="AR827" s="2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</row>
    <row r="828" spans="1:8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2"/>
      <c r="AR828" s="2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</row>
    <row r="829" spans="1:8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2"/>
      <c r="AR829" s="2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</row>
    <row r="830" spans="1:8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2"/>
      <c r="AR830" s="2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</row>
    <row r="831" spans="1:8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2"/>
      <c r="AR831" s="2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</row>
    <row r="832" spans="1:8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2"/>
      <c r="AR832" s="2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</row>
    <row r="833" spans="1:8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2"/>
      <c r="AR833" s="2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</row>
    <row r="834" spans="1:8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2"/>
      <c r="AR834" s="2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</row>
    <row r="835" spans="1:8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2"/>
      <c r="AR835" s="2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</row>
    <row r="836" spans="1:8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2"/>
      <c r="AR836" s="2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</row>
    <row r="837" spans="1:8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2"/>
      <c r="AR837" s="2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</row>
    <row r="838" spans="1:8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2"/>
      <c r="AR838" s="2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</row>
    <row r="839" spans="1:8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2"/>
      <c r="AR839" s="2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</row>
    <row r="840" spans="1:8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2"/>
      <c r="AR840" s="2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</row>
    <row r="841" spans="1:8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2"/>
      <c r="AR841" s="2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</row>
    <row r="842" spans="1:8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2"/>
      <c r="AR842" s="2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</row>
    <row r="843" spans="1:8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2"/>
      <c r="AR843" s="2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</row>
    <row r="844" spans="1:8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2"/>
      <c r="AR844" s="2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</row>
    <row r="845" spans="1:8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2"/>
      <c r="AR845" s="2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</row>
    <row r="846" spans="1:8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2"/>
      <c r="AR846" s="2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</row>
    <row r="847" spans="1:8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2"/>
      <c r="AR847" s="2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</row>
    <row r="848" spans="1:8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2"/>
      <c r="AR848" s="2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</row>
    <row r="849" spans="1:8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2"/>
      <c r="AR849" s="2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</row>
    <row r="850" spans="1:8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2"/>
      <c r="AR850" s="2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</row>
    <row r="851" spans="1:8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2"/>
      <c r="AR851" s="2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</row>
    <row r="852" spans="1:8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2"/>
      <c r="AR852" s="2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</row>
    <row r="853" spans="1:8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2"/>
      <c r="AR853" s="2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</row>
    <row r="854" spans="1:8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2"/>
      <c r="AR854" s="2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</row>
    <row r="855" spans="1:8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2"/>
      <c r="AR855" s="2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</row>
    <row r="856" spans="1:8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2"/>
      <c r="AR856" s="2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</row>
    <row r="857" spans="1:8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2"/>
      <c r="AR857" s="2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</row>
    <row r="858" spans="1:8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2"/>
      <c r="AR858" s="2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</row>
    <row r="859" spans="1:8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2"/>
      <c r="AR859" s="2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</row>
    <row r="860" spans="1:8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2"/>
      <c r="AR860" s="2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</row>
    <row r="861" spans="1:8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2"/>
      <c r="AR861" s="2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</row>
    <row r="862" spans="1:8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2"/>
      <c r="AR862" s="2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</row>
    <row r="863" spans="1:8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2"/>
      <c r="AR863" s="2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</row>
    <row r="864" spans="1:8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2"/>
      <c r="AR864" s="2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</row>
    <row r="865" spans="1:8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2"/>
      <c r="AR865" s="2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</row>
    <row r="866" spans="1:8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2"/>
      <c r="AR866" s="2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</row>
    <row r="867" spans="1:8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2"/>
      <c r="AR867" s="2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</row>
    <row r="868" spans="1:8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2"/>
      <c r="AR868" s="2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</row>
    <row r="869" spans="1:8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2"/>
      <c r="AR869" s="2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</row>
    <row r="870" spans="1:8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2"/>
      <c r="AR870" s="2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</row>
    <row r="871" spans="1:8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2"/>
      <c r="AR871" s="2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</row>
    <row r="872" spans="1:8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2"/>
      <c r="AR872" s="2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</row>
    <row r="873" spans="1:8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2"/>
      <c r="AR873" s="2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</row>
    <row r="874" spans="1:8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2"/>
      <c r="AR874" s="2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</row>
    <row r="875" spans="1:8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2"/>
      <c r="AR875" s="2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</row>
    <row r="876" spans="1:8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2"/>
      <c r="AR876" s="2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</row>
    <row r="877" spans="1:8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2"/>
      <c r="AR877" s="2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</row>
    <row r="878" spans="1:8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2"/>
      <c r="AR878" s="2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</row>
    <row r="879" spans="1:8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2"/>
      <c r="AR879" s="2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</row>
    <row r="880" spans="1:8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2"/>
      <c r="AR880" s="2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</row>
    <row r="881" spans="1:8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2"/>
      <c r="AR881" s="2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</row>
    <row r="882" spans="1:8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2"/>
      <c r="AR882" s="2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</row>
    <row r="883" spans="1:8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2"/>
      <c r="AR883" s="2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</row>
    <row r="884" spans="1:8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2"/>
      <c r="AR884" s="2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</row>
    <row r="885" spans="1:8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2"/>
      <c r="AR885" s="2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</row>
    <row r="886" spans="1:8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2"/>
      <c r="AR886" s="2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</row>
    <row r="887" spans="1:8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2"/>
      <c r="AR887" s="2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</row>
    <row r="888" spans="1:8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2"/>
      <c r="AR888" s="2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</row>
    <row r="889" spans="1:8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2"/>
      <c r="AR889" s="2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</row>
    <row r="890" spans="1:8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2"/>
      <c r="AR890" s="2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</row>
    <row r="891" spans="1:8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2"/>
      <c r="AR891" s="2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</row>
    <row r="892" spans="1:8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2"/>
      <c r="AR892" s="2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</row>
    <row r="893" spans="1:8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2"/>
      <c r="AR893" s="2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</row>
    <row r="894" spans="1:8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2"/>
      <c r="AR894" s="2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</row>
    <row r="895" spans="1:8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2"/>
      <c r="AR895" s="2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</row>
    <row r="896" spans="1:8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2"/>
      <c r="AR896" s="2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</row>
    <row r="897" spans="1:8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2"/>
      <c r="AR897" s="2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</row>
    <row r="898" spans="1:8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2"/>
      <c r="AR898" s="2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</row>
    <row r="899" spans="1:8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2"/>
      <c r="AR899" s="2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</row>
    <row r="900" spans="1:8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2"/>
      <c r="AR900" s="2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</row>
    <row r="901" spans="1:8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2"/>
      <c r="AR901" s="2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</row>
    <row r="902" spans="1:8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2"/>
      <c r="AR902" s="2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</row>
    <row r="903" spans="1:8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2"/>
      <c r="AR903" s="2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</row>
    <row r="904" spans="1:8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2"/>
      <c r="AR904" s="2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</row>
    <row r="905" spans="1:8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2"/>
      <c r="AR905" s="2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</row>
    <row r="906" spans="1:8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2"/>
      <c r="AR906" s="2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</row>
    <row r="907" spans="1:8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2"/>
      <c r="AR907" s="2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</row>
    <row r="908" spans="1:8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2"/>
      <c r="AR908" s="2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</row>
    <row r="909" spans="1:8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2"/>
      <c r="AR909" s="2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</row>
    <row r="910" spans="1:8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2"/>
      <c r="AR910" s="2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</row>
    <row r="911" spans="1:8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2"/>
      <c r="AR911" s="2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</row>
    <row r="912" spans="1:8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2"/>
      <c r="AR912" s="2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</row>
    <row r="913" spans="1:8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2"/>
      <c r="AR913" s="2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</row>
    <row r="914" spans="1:8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2"/>
      <c r="AR914" s="2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</row>
    <row r="915" spans="1:8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2"/>
      <c r="AR915" s="2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</row>
    <row r="916" spans="1:8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2"/>
      <c r="AR916" s="2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</row>
    <row r="917" spans="1:8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2"/>
      <c r="AR917" s="2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</row>
    <row r="918" spans="1:8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2"/>
      <c r="AR918" s="2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</row>
    <row r="919" spans="1:8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2"/>
      <c r="AR919" s="2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</row>
    <row r="920" spans="1:8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2"/>
      <c r="AR920" s="2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</row>
    <row r="921" spans="1:8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2"/>
      <c r="AR921" s="2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</row>
    <row r="922" spans="1:8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2"/>
      <c r="AR922" s="2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</row>
    <row r="923" spans="1:8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2"/>
      <c r="AR923" s="2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</row>
    <row r="924" spans="1:8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2"/>
      <c r="AR924" s="2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</row>
    <row r="925" spans="1:8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2"/>
      <c r="AR925" s="2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</row>
    <row r="926" spans="1:8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2"/>
      <c r="AR926" s="2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</row>
    <row r="927" spans="1:8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2"/>
      <c r="AR927" s="2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</row>
    <row r="928" spans="1:8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2"/>
      <c r="AR928" s="2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</row>
    <row r="929" spans="1:8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2"/>
      <c r="AR929" s="2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</row>
    <row r="930" spans="1:8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2"/>
      <c r="AR930" s="2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</row>
    <row r="931" spans="1:8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2"/>
      <c r="AR931" s="2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</row>
    <row r="932" spans="1:8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2"/>
      <c r="AR932" s="2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</row>
    <row r="933" spans="1:8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2"/>
      <c r="AR933" s="2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</row>
    <row r="934" spans="1:8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2"/>
      <c r="AR934" s="2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</row>
    <row r="935" spans="1:8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2"/>
      <c r="AR935" s="2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</row>
    <row r="936" spans="1:8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2"/>
      <c r="AR936" s="2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</row>
    <row r="937" spans="1:8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2"/>
      <c r="AR937" s="2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</row>
    <row r="938" spans="1:8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2"/>
      <c r="AR938" s="2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</row>
    <row r="939" spans="1:8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2"/>
      <c r="AR939" s="2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</row>
    <row r="940" spans="1:8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2"/>
      <c r="AR940" s="2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</row>
    <row r="941" spans="1:8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2"/>
      <c r="AR941" s="2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</row>
    <row r="942" spans="1:8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2"/>
      <c r="AR942" s="2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</row>
    <row r="943" spans="1:8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2"/>
      <c r="AR943" s="2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</row>
    <row r="944" spans="1:8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2"/>
      <c r="AR944" s="2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</row>
    <row r="945" spans="1:8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2"/>
      <c r="AR945" s="2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</row>
    <row r="946" spans="1:8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2"/>
      <c r="AR946" s="2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</row>
    <row r="947" spans="1:8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2"/>
      <c r="AR947" s="2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</row>
    <row r="948" spans="1:8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2"/>
      <c r="AR948" s="2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</row>
    <row r="949" spans="1:8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2"/>
      <c r="AR949" s="2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</row>
    <row r="950" spans="1:8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2"/>
      <c r="AR950" s="2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</row>
    <row r="951" spans="1:8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2"/>
      <c r="AR951" s="2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</row>
    <row r="952" spans="1:8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2"/>
      <c r="AR952" s="2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</row>
    <row r="953" spans="1:8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2"/>
      <c r="AR953" s="2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</row>
    <row r="954" spans="1:8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2"/>
      <c r="AR954" s="2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</row>
    <row r="955" spans="1:8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2"/>
      <c r="AR955" s="2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</row>
    <row r="956" spans="1:8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2"/>
      <c r="AR956" s="2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</row>
    <row r="957" spans="1:8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2"/>
      <c r="AR957" s="2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</row>
    <row r="958" spans="1:8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2"/>
      <c r="AR958" s="2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</row>
    <row r="959" spans="1:8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2"/>
      <c r="AR959" s="2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</row>
    <row r="960" spans="1:8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2"/>
      <c r="AR960" s="2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</row>
    <row r="961" spans="1:8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2"/>
      <c r="AR961" s="2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</row>
    <row r="962" spans="1:8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2"/>
      <c r="AR962" s="2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</row>
    <row r="963" spans="1:8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2"/>
      <c r="AR963" s="2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</row>
    <row r="964" spans="1:8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2"/>
      <c r="AR964" s="2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</row>
    <row r="965" spans="1:8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2"/>
      <c r="AR965" s="2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</row>
    <row r="966" spans="1:8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2"/>
      <c r="AR966" s="2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</row>
    <row r="967" spans="1:8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2"/>
      <c r="AR967" s="2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</row>
    <row r="968" spans="1:8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2"/>
      <c r="AR968" s="2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</row>
    <row r="969" spans="1:8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2"/>
      <c r="AR969" s="2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</row>
    <row r="970" spans="1:8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2"/>
      <c r="AR970" s="2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</row>
    <row r="971" spans="1:8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2"/>
      <c r="AR971" s="2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</row>
    <row r="972" spans="1:8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2"/>
      <c r="AR972" s="2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</row>
    <row r="973" spans="1:8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2"/>
      <c r="AR973" s="2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</row>
    <row r="974" spans="1:8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2"/>
      <c r="AR974" s="2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</row>
    <row r="975" spans="1:8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2"/>
      <c r="AR975" s="2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</row>
    <row r="976" spans="1:8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2"/>
      <c r="AR976" s="2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</row>
    <row r="977" spans="1:8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2"/>
      <c r="AR977" s="2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</row>
    <row r="978" spans="1:8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2"/>
      <c r="AR978" s="2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</row>
    <row r="979" spans="1:8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2"/>
      <c r="AR979" s="2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</row>
    <row r="980" spans="1:8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2"/>
      <c r="AR980" s="2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</row>
    <row r="981" spans="1:8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2"/>
      <c r="AR981" s="2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</row>
    <row r="982" spans="1:8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2"/>
      <c r="AR982" s="2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</row>
    <row r="983" spans="1:8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2"/>
      <c r="AR983" s="2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</row>
    <row r="984" spans="1:8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2"/>
      <c r="AR984" s="2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</row>
    <row r="985" spans="1:8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2"/>
      <c r="AR985" s="2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</row>
    <row r="986" spans="1:8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2"/>
      <c r="AR986" s="2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</row>
    <row r="987" spans="1:8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2"/>
      <c r="AR987" s="2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</row>
    <row r="988" spans="1:8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2"/>
      <c r="AR988" s="2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</row>
    <row r="989" spans="1:8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2"/>
      <c r="AR989" s="2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</row>
    <row r="990" spans="1:8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2"/>
      <c r="AR990" s="2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</row>
    <row r="991" spans="1:8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2"/>
      <c r="AR991" s="2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</row>
    <row r="992" spans="1:8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2"/>
      <c r="AR992" s="2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</row>
    <row r="993" spans="1:8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2"/>
      <c r="AR993" s="2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</row>
    <row r="994" spans="1:8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2"/>
      <c r="AR994" s="2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</row>
    <row r="995" spans="1:8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2"/>
      <c r="AR995" s="2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</row>
    <row r="996" spans="1:8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2"/>
      <c r="AR996" s="2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</row>
    <row r="997" spans="1:8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2"/>
      <c r="AR997" s="2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</row>
    <row r="998" spans="1:8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2"/>
      <c r="AR998" s="2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</row>
    <row r="999" spans="1:8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2"/>
      <c r="AR999" s="2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</row>
    <row r="1000" spans="1:8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2"/>
      <c r="AR1000" s="2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</row>
  </sheetData>
  <mergeCells count="154">
    <mergeCell ref="CY3:CZ3"/>
    <mergeCell ref="CY4:CY5"/>
    <mergeCell ref="CZ4:CZ5"/>
    <mergeCell ref="CS3:CT3"/>
    <mergeCell ref="CU3:CV3"/>
    <mergeCell ref="CW3:CX3"/>
    <mergeCell ref="CS4:CS5"/>
    <mergeCell ref="CT4:CT5"/>
    <mergeCell ref="CU4:CU5"/>
    <mergeCell ref="CV4:CV5"/>
    <mergeCell ref="CW4:CW5"/>
    <mergeCell ref="CX4:CX5"/>
    <mergeCell ref="CM3:CN3"/>
    <mergeCell ref="CO3:CP3"/>
    <mergeCell ref="CQ3:CR3"/>
    <mergeCell ref="CM4:CM5"/>
    <mergeCell ref="CN4:CN5"/>
    <mergeCell ref="CO4:CO5"/>
    <mergeCell ref="CP4:CP5"/>
    <mergeCell ref="CQ4:CQ5"/>
    <mergeCell ref="CR4:CR5"/>
    <mergeCell ref="CG3:CH3"/>
    <mergeCell ref="CI3:CJ3"/>
    <mergeCell ref="CK3:CL3"/>
    <mergeCell ref="CG4:CG5"/>
    <mergeCell ref="CH4:CH5"/>
    <mergeCell ref="CI4:CI5"/>
    <mergeCell ref="CJ4:CJ5"/>
    <mergeCell ref="CK4:CK5"/>
    <mergeCell ref="CL4:CL5"/>
    <mergeCell ref="AI95:AJ95"/>
    <mergeCell ref="Y4:Y5"/>
    <mergeCell ref="Z4:Z5"/>
    <mergeCell ref="Y3:Z3"/>
    <mergeCell ref="AA3:AB3"/>
    <mergeCell ref="BQ4:BQ5"/>
    <mergeCell ref="BR4:BR5"/>
    <mergeCell ref="BD4:BD5"/>
    <mergeCell ref="AV4:AV5"/>
    <mergeCell ref="AW4:AW5"/>
    <mergeCell ref="AX4:AX5"/>
    <mergeCell ref="AH4:AH5"/>
    <mergeCell ref="AG4:AG5"/>
    <mergeCell ref="BI3:BJ3"/>
    <mergeCell ref="BG3:BH3"/>
    <mergeCell ref="BC3:BD3"/>
    <mergeCell ref="BE3:BF3"/>
    <mergeCell ref="BK4:BK5"/>
    <mergeCell ref="BK3:BL3"/>
    <mergeCell ref="AK4:AK5"/>
    <mergeCell ref="AL4:AL5"/>
    <mergeCell ref="AA4:AA5"/>
    <mergeCell ref="AB4:AB5"/>
    <mergeCell ref="AZ4:AZ5"/>
    <mergeCell ref="AC3:AD3"/>
    <mergeCell ref="AE3:AF3"/>
    <mergeCell ref="AG3:AH3"/>
    <mergeCell ref="AI4:AI5"/>
    <mergeCell ref="AI3:AJ3"/>
    <mergeCell ref="AC4:AC5"/>
    <mergeCell ref="AD4:AD5"/>
    <mergeCell ref="CC3:CD3"/>
    <mergeCell ref="BQ3:BR3"/>
    <mergeCell ref="BS3:BT3"/>
    <mergeCell ref="BW3:BX3"/>
    <mergeCell ref="AU3:AV3"/>
    <mergeCell ref="AN4:AN5"/>
    <mergeCell ref="AO4:AO5"/>
    <mergeCell ref="AP4:AP5"/>
    <mergeCell ref="AM4:AM5"/>
    <mergeCell ref="AO3:AP3"/>
    <mergeCell ref="AQ4:AQ5"/>
    <mergeCell ref="AR4:AR5"/>
    <mergeCell ref="AQ3:AR3"/>
    <mergeCell ref="AS4:AS5"/>
    <mergeCell ref="AT4:AT5"/>
    <mergeCell ref="AS3:AT3"/>
    <mergeCell ref="AY3:AZ3"/>
    <mergeCell ref="CE4:CE5"/>
    <mergeCell ref="CF4:CF5"/>
    <mergeCell ref="BS4:BS5"/>
    <mergeCell ref="BT4:BT5"/>
    <mergeCell ref="BY3:BZ3"/>
    <mergeCell ref="BU3:BV3"/>
    <mergeCell ref="BV4:BV5"/>
    <mergeCell ref="CA3:CB3"/>
    <mergeCell ref="CE3:CF3"/>
    <mergeCell ref="CD4:CD5"/>
    <mergeCell ref="BA3:BB3"/>
    <mergeCell ref="AM3:AN3"/>
    <mergeCell ref="AW3:AX3"/>
    <mergeCell ref="BM3:BN3"/>
    <mergeCell ref="BO3:BP3"/>
    <mergeCell ref="CB4:CB5"/>
    <mergeCell ref="CC4:CC5"/>
    <mergeCell ref="BW4:BW5"/>
    <mergeCell ref="BX4:BX5"/>
    <mergeCell ref="BY4:BY5"/>
    <mergeCell ref="BZ4:BZ5"/>
    <mergeCell ref="BU4:BU5"/>
    <mergeCell ref="CA4:CA5"/>
    <mergeCell ref="AE4:AE5"/>
    <mergeCell ref="AF4:AF5"/>
    <mergeCell ref="BA4:BA5"/>
    <mergeCell ref="BB4:BB5"/>
    <mergeCell ref="AK3:AL3"/>
    <mergeCell ref="AJ4:AJ5"/>
    <mergeCell ref="B4:B5"/>
    <mergeCell ref="C4:C5"/>
    <mergeCell ref="BP4:BP5"/>
    <mergeCell ref="BL4:BL5"/>
    <mergeCell ref="BM4:BM5"/>
    <mergeCell ref="BN4:BN5"/>
    <mergeCell ref="BO4:BO5"/>
    <mergeCell ref="BH4:BH5"/>
    <mergeCell ref="BI4:BI5"/>
    <mergeCell ref="BJ4:BJ5"/>
    <mergeCell ref="AU4:AU5"/>
    <mergeCell ref="BF4:BF5"/>
    <mergeCell ref="BG4:BG5"/>
    <mergeCell ref="BE4:BE5"/>
    <mergeCell ref="BC4:BC5"/>
    <mergeCell ref="AY4:AY5"/>
    <mergeCell ref="X4:X5"/>
    <mergeCell ref="H4:H5"/>
    <mergeCell ref="G3:H3"/>
    <mergeCell ref="E4:E5"/>
    <mergeCell ref="F4:F5"/>
    <mergeCell ref="E3:F3"/>
    <mergeCell ref="K4:K5"/>
    <mergeCell ref="L4:L5"/>
    <mergeCell ref="G4:G5"/>
    <mergeCell ref="I4:I5"/>
    <mergeCell ref="J4:J5"/>
    <mergeCell ref="K3:L3"/>
    <mergeCell ref="I95:J95"/>
    <mergeCell ref="I3:J3"/>
    <mergeCell ref="O3:P3"/>
    <mergeCell ref="O4:O5"/>
    <mergeCell ref="P4:P5"/>
    <mergeCell ref="V4:V5"/>
    <mergeCell ref="W4:W5"/>
    <mergeCell ref="U4:U5"/>
    <mergeCell ref="S4:S5"/>
    <mergeCell ref="T4:T5"/>
    <mergeCell ref="Q4:Q5"/>
    <mergeCell ref="R4:R5"/>
    <mergeCell ref="M4:M5"/>
    <mergeCell ref="N4:N5"/>
    <mergeCell ref="M3:N3"/>
    <mergeCell ref="Q3:R3"/>
    <mergeCell ref="S3:T3"/>
    <mergeCell ref="U3:V3"/>
    <mergeCell ref="W3:X3"/>
  </mergeCells>
  <conditionalFormatting sqref="E93:CZ93">
    <cfRule type="expression" dxfId="1" priority="9">
      <formula>$F$36-$F$60=$F$73</formula>
    </cfRule>
  </conditionalFormatting>
  <conditionalFormatting sqref="E93:CZ93">
    <cfRule type="containsText" dxfId="0" priority="10" operator="containsText" text="TRUE">
      <formula>NOT(ISERROR(SEARCH(("TRUE"),(E93))))</formula>
    </cfRule>
  </conditionalFormatting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GB1009"/>
  <sheetViews>
    <sheetView zoomScaleNormal="10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H25" sqref="H25"/>
    </sheetView>
  </sheetViews>
  <sheetFormatPr defaultColWidth="14.42578125" defaultRowHeight="15" customHeight="1" x14ac:dyDescent="0.25"/>
  <cols>
    <col min="1" max="1" width="5.5703125" style="224" bestFit="1" customWidth="1"/>
    <col min="2" max="2" width="11.5703125" style="224" bestFit="1" customWidth="1"/>
    <col min="3" max="3" width="11.28515625" style="230" customWidth="1"/>
    <col min="4" max="4" width="23.85546875" style="224" bestFit="1" customWidth="1"/>
    <col min="5" max="5" width="38.42578125" style="228" hidden="1" customWidth="1"/>
    <col min="6" max="6" width="3.7109375" style="224" customWidth="1"/>
    <col min="7" max="7" width="13.7109375" style="239" bestFit="1" customWidth="1"/>
    <col min="8" max="8" width="11.42578125" style="224" bestFit="1" customWidth="1"/>
    <col min="9" max="11" width="3.7109375" style="224" customWidth="1"/>
    <col min="12" max="15" width="6.7109375" style="224" customWidth="1"/>
    <col min="16" max="16" width="8.5703125" style="224" bestFit="1" customWidth="1"/>
    <col min="17" max="17" width="3.7109375" style="224" customWidth="1"/>
    <col min="18" max="20" width="6.7109375" style="564" customWidth="1"/>
    <col min="21" max="22" width="6.7109375" style="224" customWidth="1"/>
    <col min="23" max="23" width="3.7109375" style="224" customWidth="1"/>
    <col min="24" max="24" width="3.7109375" style="252" customWidth="1"/>
    <col min="25" max="25" width="6.7109375" style="224" customWidth="1"/>
    <col min="26" max="26" width="6.7109375" style="224" hidden="1" customWidth="1"/>
    <col min="27" max="27" width="6.7109375" style="224" customWidth="1"/>
    <col min="28" max="28" width="6.7109375" style="224" hidden="1" customWidth="1"/>
    <col min="29" max="29" width="6.7109375" style="224" customWidth="1"/>
    <col min="30" max="30" width="3.7109375" style="224" customWidth="1"/>
    <col min="31" max="31" width="3.7109375" style="252" customWidth="1"/>
    <col min="32" max="81" width="8.7109375" style="243" customWidth="1"/>
    <col min="82" max="82" width="5.7109375" style="243" customWidth="1"/>
    <col min="83" max="83" width="5.7109375" style="252" customWidth="1"/>
    <col min="84" max="133" width="8.7109375" style="224" customWidth="1"/>
    <col min="134" max="134" width="5.7109375" style="224" customWidth="1"/>
    <col min="135" max="135" width="5.7109375" style="252" customWidth="1"/>
    <col min="136" max="184" width="6.7109375" style="224" customWidth="1"/>
    <col min="185" max="16384" width="14.42578125" style="224"/>
  </cols>
  <sheetData>
    <row r="1" spans="1:184" ht="15" customHeight="1" x14ac:dyDescent="0.25">
      <c r="G1" s="594" t="s">
        <v>385</v>
      </c>
      <c r="H1" s="238" t="s">
        <v>387</v>
      </c>
      <c r="I1" s="238"/>
      <c r="J1" s="238"/>
      <c r="L1" s="645" t="s">
        <v>383</v>
      </c>
      <c r="M1" s="645"/>
      <c r="N1" s="645"/>
      <c r="O1" s="645"/>
      <c r="P1" s="645"/>
      <c r="Q1" s="237"/>
      <c r="R1" s="571" t="s">
        <v>1504</v>
      </c>
      <c r="S1" s="571" t="s">
        <v>1505</v>
      </c>
      <c r="T1" s="571" t="s">
        <v>1503</v>
      </c>
      <c r="U1" s="308" t="s">
        <v>1506</v>
      </c>
      <c r="V1" s="578" t="s">
        <v>384</v>
      </c>
      <c r="W1" s="251">
        <v>1.5</v>
      </c>
      <c r="X1" s="253">
        <v>2</v>
      </c>
      <c r="Y1" s="645" t="s">
        <v>399</v>
      </c>
      <c r="Z1" s="645"/>
      <c r="AA1" s="645"/>
      <c r="AB1" s="645"/>
      <c r="AC1" s="645"/>
      <c r="AF1" s="249" t="s">
        <v>0</v>
      </c>
      <c r="AG1" s="249" t="s">
        <v>1</v>
      </c>
      <c r="AH1" s="249" t="s">
        <v>2</v>
      </c>
      <c r="AI1" s="249" t="s">
        <v>3</v>
      </c>
      <c r="AJ1" s="249" t="s">
        <v>4</v>
      </c>
      <c r="AK1" s="249" t="s">
        <v>5</v>
      </c>
      <c r="AL1" s="249" t="s">
        <v>6</v>
      </c>
      <c r="AM1" s="249" t="s">
        <v>7</v>
      </c>
      <c r="AN1" s="250" t="s">
        <v>8</v>
      </c>
      <c r="AO1" s="249" t="s">
        <v>9</v>
      </c>
      <c r="AP1" s="249" t="s">
        <v>10</v>
      </c>
      <c r="AQ1" s="249" t="s">
        <v>11</v>
      </c>
      <c r="AR1" s="249" t="s">
        <v>12</v>
      </c>
      <c r="AS1" s="249" t="s">
        <v>13</v>
      </c>
      <c r="AT1" s="249" t="s">
        <v>14</v>
      </c>
      <c r="AU1" s="249" t="s">
        <v>15</v>
      </c>
      <c r="AV1" s="249" t="s">
        <v>16</v>
      </c>
      <c r="AW1" s="249" t="s">
        <v>17</v>
      </c>
      <c r="AX1" s="249" t="s">
        <v>18</v>
      </c>
      <c r="AY1" s="249" t="s">
        <v>19</v>
      </c>
      <c r="AZ1" s="249" t="s">
        <v>20</v>
      </c>
      <c r="BA1" s="249" t="s">
        <v>21</v>
      </c>
      <c r="BB1" s="249" t="s">
        <v>22</v>
      </c>
      <c r="BC1" s="249" t="s">
        <v>23</v>
      </c>
      <c r="BD1" s="249" t="s">
        <v>24</v>
      </c>
      <c r="BE1" s="249" t="s">
        <v>25</v>
      </c>
      <c r="BF1" s="249" t="s">
        <v>26</v>
      </c>
      <c r="BG1" s="249" t="s">
        <v>27</v>
      </c>
      <c r="BH1" s="249" t="s">
        <v>28</v>
      </c>
      <c r="BI1" s="249" t="s">
        <v>29</v>
      </c>
      <c r="BJ1" s="249" t="s">
        <v>30</v>
      </c>
      <c r="BK1" s="249" t="s">
        <v>31</v>
      </c>
      <c r="BL1" s="249" t="s">
        <v>32</v>
      </c>
      <c r="BM1" s="249" t="s">
        <v>33</v>
      </c>
      <c r="BN1" s="249" t="s">
        <v>34</v>
      </c>
      <c r="BO1" s="249" t="s">
        <v>35</v>
      </c>
      <c r="BP1" s="249" t="s">
        <v>36</v>
      </c>
      <c r="BQ1" s="249" t="s">
        <v>37</v>
      </c>
      <c r="BR1" s="249" t="s">
        <v>38</v>
      </c>
      <c r="BS1" s="249" t="s">
        <v>226</v>
      </c>
      <c r="BT1" s="249" t="s">
        <v>227</v>
      </c>
      <c r="BU1" s="249" t="s">
        <v>228</v>
      </c>
      <c r="BV1" s="249" t="s">
        <v>229</v>
      </c>
      <c r="BW1" s="249" t="s">
        <v>230</v>
      </c>
      <c r="BX1" s="249" t="s">
        <v>231</v>
      </c>
      <c r="BY1" s="249" t="s">
        <v>232</v>
      </c>
      <c r="BZ1" s="249" t="s">
        <v>233</v>
      </c>
      <c r="CA1" s="249" t="s">
        <v>234</v>
      </c>
      <c r="CB1" s="249" t="s">
        <v>235</v>
      </c>
      <c r="CC1" s="249" t="s">
        <v>236</v>
      </c>
      <c r="CD1" s="249" t="s">
        <v>400</v>
      </c>
      <c r="CF1" s="224">
        <v>1</v>
      </c>
      <c r="CG1" s="224">
        <v>2</v>
      </c>
      <c r="CH1" s="224">
        <v>3</v>
      </c>
      <c r="CI1" s="224">
        <v>4</v>
      </c>
      <c r="CJ1" s="224">
        <v>5</v>
      </c>
      <c r="CK1" s="224">
        <v>6</v>
      </c>
      <c r="CL1" s="224">
        <v>7</v>
      </c>
      <c r="CM1" s="224">
        <v>8</v>
      </c>
      <c r="CN1" s="224">
        <v>9</v>
      </c>
      <c r="CO1" s="224">
        <v>10</v>
      </c>
      <c r="CP1" s="224">
        <v>11</v>
      </c>
      <c r="CQ1" s="224">
        <v>12</v>
      </c>
      <c r="CR1" s="224">
        <v>13</v>
      </c>
      <c r="CS1" s="224">
        <v>14</v>
      </c>
      <c r="CT1" s="224">
        <v>15</v>
      </c>
      <c r="CU1" s="224">
        <v>16</v>
      </c>
      <c r="CV1" s="224">
        <v>17</v>
      </c>
      <c r="CW1" s="224">
        <v>18</v>
      </c>
      <c r="CX1" s="224">
        <v>19</v>
      </c>
      <c r="CY1" s="224">
        <v>20</v>
      </c>
      <c r="CZ1" s="224">
        <v>21</v>
      </c>
      <c r="DA1" s="224">
        <v>22</v>
      </c>
      <c r="DB1" s="224">
        <v>23</v>
      </c>
      <c r="DC1" s="224">
        <v>24</v>
      </c>
      <c r="DD1" s="224">
        <v>25</v>
      </c>
      <c r="DE1" s="224">
        <v>26</v>
      </c>
      <c r="DF1" s="224">
        <v>27</v>
      </c>
      <c r="DG1" s="224">
        <v>28</v>
      </c>
      <c r="DH1" s="224">
        <v>29</v>
      </c>
      <c r="DI1" s="224">
        <v>30</v>
      </c>
      <c r="DJ1" s="224">
        <v>31</v>
      </c>
      <c r="DK1" s="224">
        <v>32</v>
      </c>
      <c r="DL1" s="224">
        <v>33</v>
      </c>
      <c r="DM1" s="224">
        <v>34</v>
      </c>
      <c r="DN1" s="224">
        <v>35</v>
      </c>
      <c r="DO1" s="224">
        <v>36</v>
      </c>
      <c r="DP1" s="224">
        <v>37</v>
      </c>
      <c r="DQ1" s="224">
        <v>38</v>
      </c>
      <c r="DR1" s="224">
        <v>39</v>
      </c>
      <c r="DS1" s="224">
        <v>40</v>
      </c>
      <c r="DT1" s="224">
        <v>41</v>
      </c>
      <c r="DU1" s="224">
        <v>42</v>
      </c>
      <c r="DV1" s="224">
        <v>43</v>
      </c>
      <c r="DW1" s="224">
        <v>44</v>
      </c>
      <c r="DX1" s="224">
        <v>45</v>
      </c>
      <c r="DY1" s="224">
        <v>46</v>
      </c>
      <c r="DZ1" s="224">
        <v>47</v>
      </c>
      <c r="EA1" s="224">
        <v>48</v>
      </c>
      <c r="EB1" s="224">
        <v>49</v>
      </c>
      <c r="EC1" s="224">
        <v>50</v>
      </c>
      <c r="EF1" s="224">
        <v>1</v>
      </c>
      <c r="EG1" s="224">
        <v>2</v>
      </c>
      <c r="EH1" s="224">
        <v>3</v>
      </c>
      <c r="EI1" s="224">
        <v>4</v>
      </c>
      <c r="EJ1" s="224">
        <v>5</v>
      </c>
      <c r="EK1" s="224">
        <v>6</v>
      </c>
      <c r="EL1" s="224">
        <v>7</v>
      </c>
      <c r="EM1" s="224">
        <v>8</v>
      </c>
      <c r="EN1" s="224">
        <v>9</v>
      </c>
      <c r="EO1" s="224">
        <v>10</v>
      </c>
      <c r="EP1" s="224">
        <v>11</v>
      </c>
      <c r="EQ1" s="224">
        <v>12</v>
      </c>
      <c r="ER1" s="224">
        <v>13</v>
      </c>
      <c r="ES1" s="224">
        <v>14</v>
      </c>
      <c r="ET1" s="224">
        <v>15</v>
      </c>
      <c r="EU1" s="224">
        <v>16</v>
      </c>
      <c r="EV1" s="224">
        <v>17</v>
      </c>
      <c r="EW1" s="224">
        <v>18</v>
      </c>
      <c r="EX1" s="224">
        <v>19</v>
      </c>
      <c r="EY1" s="224">
        <v>20</v>
      </c>
      <c r="EZ1" s="224">
        <v>21</v>
      </c>
      <c r="FA1" s="224">
        <v>22</v>
      </c>
      <c r="FB1" s="224">
        <v>23</v>
      </c>
      <c r="FC1" s="224">
        <v>24</v>
      </c>
      <c r="FD1" s="224">
        <v>25</v>
      </c>
      <c r="FE1" s="224">
        <v>26</v>
      </c>
      <c r="FF1" s="224">
        <v>27</v>
      </c>
      <c r="FG1" s="224">
        <v>28</v>
      </c>
      <c r="FH1" s="224">
        <v>29</v>
      </c>
      <c r="FI1" s="224">
        <v>30</v>
      </c>
      <c r="FJ1" s="224">
        <v>31</v>
      </c>
      <c r="FK1" s="224">
        <v>32</v>
      </c>
      <c r="FL1" s="224">
        <v>33</v>
      </c>
      <c r="FM1" s="224">
        <v>34</v>
      </c>
      <c r="FN1" s="224">
        <v>35</v>
      </c>
      <c r="FO1" s="224">
        <v>36</v>
      </c>
      <c r="FP1" s="224">
        <v>37</v>
      </c>
      <c r="FQ1" s="224">
        <v>38</v>
      </c>
      <c r="FR1" s="224">
        <v>39</v>
      </c>
      <c r="FS1" s="224">
        <v>40</v>
      </c>
      <c r="FT1" s="224">
        <v>41</v>
      </c>
      <c r="FU1" s="224">
        <v>42</v>
      </c>
      <c r="FV1" s="224">
        <v>43</v>
      </c>
      <c r="FW1" s="224">
        <v>44</v>
      </c>
      <c r="FX1" s="224">
        <v>45</v>
      </c>
      <c r="FY1" s="224">
        <v>46</v>
      </c>
      <c r="FZ1" s="224">
        <v>47</v>
      </c>
      <c r="GA1" s="224">
        <v>48</v>
      </c>
      <c r="GB1" s="224">
        <v>49</v>
      </c>
    </row>
    <row r="2" spans="1:184" x14ac:dyDescent="0.25">
      <c r="L2" s="238">
        <v>0</v>
      </c>
      <c r="M2" s="238">
        <v>1</v>
      </c>
      <c r="N2" s="238">
        <v>2</v>
      </c>
      <c r="O2" s="238">
        <v>3</v>
      </c>
      <c r="P2" s="238">
        <v>4</v>
      </c>
      <c r="Q2" s="238"/>
      <c r="R2" s="572"/>
      <c r="S2" s="572"/>
      <c r="T2" s="572"/>
      <c r="U2" s="238"/>
      <c r="V2" s="238"/>
      <c r="W2" s="238"/>
      <c r="X2" s="254"/>
      <c r="Y2" s="238">
        <v>0</v>
      </c>
      <c r="Z2" s="238"/>
      <c r="AA2" s="238">
        <v>5</v>
      </c>
      <c r="AB2" s="237"/>
      <c r="AC2" s="237">
        <v>10</v>
      </c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  <c r="AV2" s="241"/>
      <c r="AW2" s="241"/>
      <c r="AX2" s="241"/>
      <c r="AY2" s="241"/>
      <c r="AZ2" s="241"/>
      <c r="BA2" s="241"/>
      <c r="BB2" s="241"/>
      <c r="BC2" s="241"/>
      <c r="BD2" s="241"/>
      <c r="BE2" s="241"/>
      <c r="BF2" s="241"/>
      <c r="BG2" s="241"/>
      <c r="BH2" s="241"/>
      <c r="BI2" s="241"/>
      <c r="BJ2" s="241"/>
      <c r="BK2" s="241"/>
      <c r="BL2" s="241"/>
      <c r="BM2" s="241"/>
      <c r="BN2" s="241"/>
      <c r="BO2" s="241"/>
      <c r="BP2" s="241"/>
      <c r="BQ2" s="241"/>
      <c r="BR2" s="241"/>
      <c r="BS2" s="241"/>
      <c r="BT2" s="241"/>
      <c r="BU2" s="241"/>
      <c r="BV2" s="241"/>
      <c r="BW2" s="241"/>
      <c r="BX2" s="241"/>
      <c r="BY2" s="241"/>
      <c r="BZ2" s="241"/>
      <c r="CA2" s="241"/>
      <c r="CB2" s="241"/>
      <c r="CC2" s="241"/>
      <c r="CD2" s="241"/>
    </row>
    <row r="3" spans="1:184" x14ac:dyDescent="0.25">
      <c r="L3" s="238"/>
      <c r="M3" s="238"/>
      <c r="N3" s="238"/>
      <c r="O3" s="238"/>
      <c r="P3" s="238"/>
      <c r="Q3" s="238"/>
      <c r="R3" s="572"/>
      <c r="S3" s="572"/>
      <c r="T3" s="572"/>
      <c r="U3" s="238"/>
      <c r="V3" s="238"/>
      <c r="W3" s="238"/>
      <c r="X3" s="254"/>
      <c r="Y3" s="238"/>
      <c r="Z3" s="238"/>
      <c r="AA3" s="238"/>
      <c r="AB3" s="308"/>
      <c r="AC3" s="308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  <c r="AV3" s="241"/>
      <c r="AW3" s="241"/>
      <c r="AX3" s="241"/>
      <c r="AY3" s="241"/>
      <c r="AZ3" s="241"/>
      <c r="BA3" s="241"/>
      <c r="BB3" s="241"/>
      <c r="BC3" s="241"/>
      <c r="BD3" s="241"/>
      <c r="BE3" s="241"/>
      <c r="BF3" s="241"/>
      <c r="BG3" s="241"/>
      <c r="BH3" s="241"/>
      <c r="BI3" s="241"/>
      <c r="BJ3" s="241"/>
      <c r="BK3" s="241"/>
      <c r="BL3" s="241"/>
      <c r="BM3" s="241"/>
      <c r="BN3" s="241"/>
      <c r="BO3" s="241"/>
      <c r="BP3" s="241"/>
      <c r="BQ3" s="241"/>
      <c r="BR3" s="241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</row>
    <row r="4" spans="1:184" x14ac:dyDescent="0.25">
      <c r="L4" s="238"/>
      <c r="M4" s="238"/>
      <c r="N4" s="238"/>
      <c r="O4" s="238"/>
      <c r="P4" s="238"/>
      <c r="Q4" s="238"/>
      <c r="R4" s="572"/>
      <c r="S4" s="572"/>
      <c r="T4" s="572"/>
      <c r="U4" s="238"/>
      <c r="V4" s="238"/>
      <c r="W4" s="238"/>
      <c r="X4" s="254"/>
      <c r="Y4" s="238"/>
      <c r="Z4" s="238"/>
      <c r="AA4" s="238"/>
      <c r="AB4" s="308"/>
      <c r="AC4" s="308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  <c r="AV4" s="241"/>
      <c r="AW4" s="241"/>
      <c r="AX4" s="241"/>
      <c r="AY4" s="241"/>
      <c r="AZ4" s="241"/>
      <c r="BA4" s="241"/>
      <c r="BB4" s="241"/>
      <c r="BC4" s="241"/>
      <c r="BD4" s="241"/>
      <c r="BE4" s="241"/>
      <c r="BF4" s="241"/>
      <c r="BG4" s="241"/>
      <c r="BH4" s="241"/>
      <c r="BI4" s="241"/>
      <c r="BJ4" s="241"/>
      <c r="BK4" s="241"/>
      <c r="BL4" s="241"/>
      <c r="BM4" s="241"/>
      <c r="BN4" s="241"/>
      <c r="BO4" s="241"/>
      <c r="BP4" s="241"/>
      <c r="BQ4" s="241"/>
      <c r="BR4" s="241"/>
      <c r="BS4" s="241"/>
      <c r="BT4" s="241"/>
      <c r="BU4" s="241"/>
      <c r="BV4" s="241"/>
      <c r="BW4" s="241"/>
      <c r="BX4" s="241"/>
      <c r="BY4" s="241"/>
      <c r="BZ4" s="241"/>
      <c r="CA4" s="241"/>
      <c r="CB4" s="241"/>
      <c r="CC4" s="241"/>
      <c r="CD4" s="241"/>
    </row>
    <row r="5" spans="1:184" x14ac:dyDescent="0.25">
      <c r="L5" s="238"/>
      <c r="M5" s="238"/>
      <c r="N5" s="238"/>
      <c r="O5" s="238"/>
      <c r="P5" s="238"/>
      <c r="Q5" s="238"/>
      <c r="R5" s="572"/>
      <c r="S5" s="572"/>
      <c r="T5" s="572"/>
      <c r="U5" s="238"/>
      <c r="V5" s="238"/>
      <c r="W5" s="238"/>
      <c r="X5" s="254"/>
      <c r="Y5" s="238"/>
      <c r="Z5" s="238"/>
      <c r="AA5" s="238"/>
      <c r="AB5" s="308"/>
      <c r="AC5" s="308"/>
      <c r="AF5" s="241"/>
      <c r="AG5" s="241"/>
      <c r="AH5" s="241"/>
      <c r="AI5" s="241"/>
      <c r="AJ5" s="241"/>
      <c r="AK5" s="241"/>
      <c r="AL5" s="241"/>
      <c r="AM5" s="241"/>
      <c r="AN5" s="241"/>
      <c r="AO5" s="241"/>
      <c r="AP5" s="241"/>
      <c r="AQ5" s="241"/>
      <c r="AR5" s="241"/>
      <c r="AS5" s="241"/>
      <c r="AT5" s="241"/>
      <c r="AU5" s="241"/>
      <c r="AV5" s="241"/>
      <c r="AW5" s="241"/>
      <c r="AX5" s="241"/>
      <c r="AY5" s="241"/>
      <c r="AZ5" s="241"/>
      <c r="BA5" s="241"/>
      <c r="BB5" s="241"/>
      <c r="BC5" s="241"/>
      <c r="BD5" s="241"/>
      <c r="BE5" s="241"/>
      <c r="BF5" s="241"/>
      <c r="BG5" s="241"/>
      <c r="BH5" s="241"/>
      <c r="BI5" s="241"/>
      <c r="BJ5" s="241"/>
      <c r="BK5" s="241"/>
      <c r="BL5" s="241"/>
      <c r="BM5" s="241"/>
      <c r="BN5" s="241"/>
      <c r="BO5" s="241"/>
      <c r="BP5" s="241"/>
      <c r="BQ5" s="241"/>
      <c r="BR5" s="241"/>
      <c r="BS5" s="241"/>
      <c r="BT5" s="241"/>
      <c r="BU5" s="241"/>
      <c r="BV5" s="241"/>
      <c r="BW5" s="241"/>
      <c r="BX5" s="241"/>
      <c r="BY5" s="241"/>
      <c r="BZ5" s="241"/>
      <c r="CA5" s="241"/>
      <c r="CB5" s="241"/>
      <c r="CC5" s="241"/>
      <c r="CD5" s="241"/>
    </row>
    <row r="6" spans="1:184" ht="15.75" thickBot="1" x14ac:dyDescent="0.3">
      <c r="L6" s="238"/>
      <c r="M6" s="238"/>
      <c r="N6" s="238"/>
      <c r="O6" s="238"/>
      <c r="P6" s="238"/>
      <c r="Q6" s="238"/>
      <c r="R6" s="572"/>
      <c r="S6" s="572"/>
      <c r="T6" s="572"/>
      <c r="U6" s="238"/>
      <c r="V6" s="238"/>
      <c r="W6" s="238"/>
      <c r="X6" s="254"/>
      <c r="Y6" s="238"/>
      <c r="Z6" s="238"/>
      <c r="AA6" s="238"/>
      <c r="AB6" s="308"/>
      <c r="AC6" s="308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1"/>
      <c r="AV6" s="241"/>
      <c r="AW6" s="241"/>
      <c r="AX6" s="241"/>
      <c r="AY6" s="241"/>
      <c r="AZ6" s="241"/>
      <c r="BA6" s="241"/>
      <c r="BB6" s="241"/>
      <c r="BC6" s="241"/>
      <c r="BD6" s="241"/>
      <c r="BE6" s="241"/>
      <c r="BF6" s="241"/>
      <c r="BG6" s="241"/>
      <c r="BH6" s="241"/>
      <c r="BI6" s="241"/>
      <c r="BJ6" s="241"/>
      <c r="BK6" s="241"/>
      <c r="BL6" s="241"/>
      <c r="BM6" s="241"/>
      <c r="BN6" s="241"/>
      <c r="BO6" s="241"/>
      <c r="BP6" s="241"/>
      <c r="BQ6" s="241"/>
      <c r="BR6" s="241"/>
      <c r="BS6" s="241"/>
      <c r="BT6" s="241"/>
      <c r="BU6" s="241"/>
      <c r="BV6" s="241"/>
      <c r="BW6" s="241"/>
      <c r="BX6" s="241"/>
      <c r="BY6" s="241"/>
      <c r="BZ6" s="241"/>
      <c r="CA6" s="241"/>
      <c r="CB6" s="241"/>
      <c r="CC6" s="241"/>
      <c r="CD6" s="241"/>
    </row>
    <row r="7" spans="1:184" ht="15.75" customHeight="1" thickBot="1" x14ac:dyDescent="0.3">
      <c r="A7" s="639">
        <v>0.3</v>
      </c>
      <c r="B7" s="633" t="s">
        <v>390</v>
      </c>
      <c r="C7" s="231">
        <v>0.1</v>
      </c>
      <c r="D7" s="232" t="s">
        <v>41</v>
      </c>
      <c r="E7" s="233" t="s">
        <v>42</v>
      </c>
      <c r="G7" s="595" t="s">
        <v>386</v>
      </c>
      <c r="H7" s="224" t="s">
        <v>388</v>
      </c>
      <c r="J7" s="646">
        <v>2015</v>
      </c>
      <c r="L7" s="226">
        <f t="shared" ref="L7:P9" si="0">QUARTILE($AF7:$CC7,L$2)</f>
        <v>0.14360713938140668</v>
      </c>
      <c r="M7" s="226">
        <f t="shared" si="0"/>
        <v>0.92138891258075772</v>
      </c>
      <c r="N7" s="226">
        <f t="shared" si="0"/>
        <v>1.6084478783348244</v>
      </c>
      <c r="O7" s="226">
        <f t="shared" si="0"/>
        <v>3.7726854280159552</v>
      </c>
      <c r="P7" s="226">
        <f t="shared" si="0"/>
        <v>85.703554604791307</v>
      </c>
      <c r="Q7" s="226"/>
      <c r="R7" s="573">
        <f>(T7-S7)^2</f>
        <v>1.3083592545103375E-9</v>
      </c>
      <c r="S7" s="563">
        <f>(U7-1)/LN(U7)</f>
        <v>15.290226732176393</v>
      </c>
      <c r="T7" s="563">
        <f t="array" ref="T7">((AVERAGE(IF(AF7:CC7&lt;AC7,AF7:CC7))-MIN(IF(AF7:CC7&lt;AC7,AF7:CC7)))/(MAX(IF(AF7:CC7&lt;AC7,AF7:CC7))-MIN(IF(AF7:CC7&lt;AC7,AF7:CC7))))^(-3/2)</f>
        <v>15.290190560927389</v>
      </c>
      <c r="U7" s="570">
        <v>64.774094569508634</v>
      </c>
      <c r="V7" s="570">
        <f>AVERAGE(AF7:CC7)</f>
        <v>8.3195989956962961</v>
      </c>
      <c r="W7" s="226"/>
      <c r="X7" s="255"/>
      <c r="Y7" s="226">
        <v>0</v>
      </c>
      <c r="Z7" s="566">
        <f t="array" ref="Z7">AA7/AVERAGE(IF($EF7:$GB7&lt;=QUARTILE($EF7:$GB7,3),$EF7:$GB7,""))^(COUNT($AF7:$CC7)/4)</f>
        <v>0.73879197877818914</v>
      </c>
      <c r="AA7" s="566">
        <f t="shared" ref="AA7" si="1">N7</f>
        <v>1.6084478783348244</v>
      </c>
      <c r="AB7" s="566">
        <f t="array" ref="AB7">AA7*AVERAGE(IF($EF7:$GB7&lt;=QUARTILE($EF7:$GB7,3),$EF7:$GB7,""))^(COUNT($AF7:$CC7)/4)</f>
        <v>3.5018038252098243</v>
      </c>
      <c r="AC7" s="226">
        <f t="array" ref="AC7">AB7*(AVERAGE(IF($EF7:$GB7&lt;=QUARTILE($EF7:$GB7,3)+X$1*(QUARTILE($EF7:$GB7,3)-QUARTILE($EF7:$GB7,1)),$EF7:$GB7,"")))^(COUNT($AF7:$CC7)/4)</f>
        <v>12.785177209563054</v>
      </c>
      <c r="AF7" s="242">
        <f>'MD-data'!E35/'MD-data'!E59</f>
        <v>15.583683683461935</v>
      </c>
      <c r="AG7" s="242">
        <f>'MD-data'!G35/'MD-data'!G59</f>
        <v>1.4530881228050363</v>
      </c>
      <c r="AH7" s="242">
        <f>'MD-data'!I35/'MD-data'!I59</f>
        <v>0.91177621259455144</v>
      </c>
      <c r="AI7" s="242">
        <f>'MD-data'!K35/'MD-data'!K59</f>
        <v>1.3452835995183838</v>
      </c>
      <c r="AJ7" s="242">
        <f>'MD-data'!M35/'MD-data'!M59</f>
        <v>0.14360713938140668</v>
      </c>
      <c r="AK7" s="242">
        <f>'MD-data'!O35/'MD-data'!O59</f>
        <v>1.8111376951692206</v>
      </c>
      <c r="AL7" s="242">
        <f>'MD-data'!Q35/'MD-data'!Q59</f>
        <v>62.386026640554867</v>
      </c>
      <c r="AM7" s="242">
        <f>'MD-data'!S35/'MD-data'!S59</f>
        <v>41.389765615889921</v>
      </c>
      <c r="AN7" s="242">
        <f>'MD-data'!U35/'MD-data'!U59</f>
        <v>25.639271500014182</v>
      </c>
      <c r="AO7" s="242">
        <f>'MD-data'!W35/'MD-data'!W59</f>
        <v>1.1103874910457938</v>
      </c>
      <c r="AP7" s="242">
        <f>'MD-data'!Y35/'MD-data'!Y59</f>
        <v>0.77727590344971786</v>
      </c>
      <c r="AQ7" s="242">
        <f>'MD-data'!AA35/'MD-data'!AA59</f>
        <v>2.0759583494861298</v>
      </c>
      <c r="AR7" s="242">
        <f>'MD-data'!AC35/'MD-data'!AC59</f>
        <v>3.6966773590003932</v>
      </c>
      <c r="AS7" s="242">
        <f>'MD-data'!AE35/'MD-data'!AE59</f>
        <v>1.4698640229396822</v>
      </c>
      <c r="AT7" s="242">
        <f>'MD-data'!AG35/'MD-data'!AG59</f>
        <v>0.73395916756571833</v>
      </c>
      <c r="AU7" s="242">
        <f>'MD-data'!AI35/'MD-data'!AI59</f>
        <v>1.8941687308671979</v>
      </c>
      <c r="AV7" s="242">
        <f>'MD-data'!AK35/'MD-data'!AK59</f>
        <v>3.4873455273017937</v>
      </c>
      <c r="AW7" s="242">
        <f>'MD-data'!AM35/'MD-data'!AM59</f>
        <v>0.30606493450745148</v>
      </c>
      <c r="AX7" s="242">
        <f>'MD-data'!AO35/'MD-data'!AO59</f>
        <v>3.3408885777764916</v>
      </c>
      <c r="AY7" s="242">
        <f>'MD-data'!AQ35/'MD-data'!AQ59</f>
        <v>1.6318821252196059</v>
      </c>
      <c r="AZ7" s="242">
        <f>'MD-data'!AS35/'MD-data'!AS59</f>
        <v>2.4508905676482717</v>
      </c>
      <c r="BA7" s="242">
        <f>'MD-data'!AU35/'MD-data'!AU59</f>
        <v>85.703554604791307</v>
      </c>
      <c r="BB7" s="242">
        <f>'MD-data'!AW35/'MD-data'!AW59</f>
        <v>0.51472164745143001</v>
      </c>
      <c r="BC7" s="242">
        <f>'MD-data'!AY35/'MD-data'!AY59</f>
        <v>0.95022701253937658</v>
      </c>
      <c r="BD7" s="242">
        <f>'MD-data'!BA35/'MD-data'!BA59</f>
        <v>0.44776814094535783</v>
      </c>
      <c r="BE7" s="242">
        <f>'MD-data'!BC35/'MD-data'!BC59</f>
        <v>1.0378164260555693</v>
      </c>
      <c r="BF7" s="242">
        <f>'MD-data'!BE35/'MD-data'!BE59</f>
        <v>2.0442054439301849</v>
      </c>
      <c r="BG7" s="242">
        <f>'MD-data'!BG35/'MD-data'!BG59</f>
        <v>1.1084412805413655</v>
      </c>
      <c r="BH7" s="242">
        <f>'MD-data'!BI35/'MD-data'!BI59</f>
        <v>0.21498253001672898</v>
      </c>
      <c r="BI7" s="242">
        <f>'MD-data'!BL35/'MD-data'!BL59</f>
        <v>2.8264789236073788</v>
      </c>
      <c r="BJ7" s="242">
        <f>'MD-data'!BM35/'MD-data'!BM59</f>
        <v>5.6635757347924756</v>
      </c>
      <c r="BK7" s="242">
        <f>'MD-data'!BO35/'MD-data'!BO59</f>
        <v>0.57153138041051954</v>
      </c>
      <c r="BL7" s="242">
        <f>'MD-data'!BQ35/'MD-data'!BQ59</f>
        <v>25.362613430127041</v>
      </c>
      <c r="BM7" s="242">
        <f>'MD-data'!BS35/'MD-data'!BS59</f>
        <v>2.8618053382214872</v>
      </c>
      <c r="BN7" s="242">
        <f>'MD-data'!BU35/'MD-data'!BU59</f>
        <v>0.58079099509319065</v>
      </c>
      <c r="BO7" s="242">
        <f>'MD-data'!BW35/'MD-data'!BW59</f>
        <v>11.539771693926792</v>
      </c>
      <c r="BP7" s="242">
        <f>'MD-data'!BY35/'MD-data'!BY59</f>
        <v>17.943894902539984</v>
      </c>
      <c r="BQ7" s="242">
        <f>'MD-data'!CA35/'MD-data'!CA59</f>
        <v>8.930248373743348</v>
      </c>
      <c r="BR7" s="242">
        <f>'MD-data'!CC35/'MD-data'!CC59</f>
        <v>0.48379338461635707</v>
      </c>
      <c r="BS7" s="242">
        <f>'MD-data'!CE35/'MD-data'!CE59</f>
        <v>29.499259204700298</v>
      </c>
      <c r="BT7" s="242">
        <f>'MD-data'!CG35/'MD-data'!CG59</f>
        <v>30.737762564764417</v>
      </c>
      <c r="BU7" s="242">
        <f>'MD-data'!CI35/'MD-data'!CI59</f>
        <v>1.5850136314500427</v>
      </c>
      <c r="BV7" s="242">
        <f>'MD-data'!CK35/'MD-data'!CK59</f>
        <v>1.2326856766092171</v>
      </c>
      <c r="BW7" s="242">
        <f>'MD-data'!CM35/'MD-data'!CM59</f>
        <v>3.7980214510211425</v>
      </c>
      <c r="BX7" s="242">
        <f>'MD-data'!CO35/'MD-data'!CO59</f>
        <v>1.0863773024155925</v>
      </c>
      <c r="BY7" s="242">
        <f>'MD-data'!CQ35/'MD-data'!CQ59</f>
        <v>1.1300542666407851</v>
      </c>
      <c r="BZ7" s="242">
        <f>'MD-data'!CS35/'MD-data'!CS59</f>
        <v>0.75098033047176149</v>
      </c>
      <c r="CA7" s="242">
        <f>'MD-data'!CU35/'MD-data'!CU59</f>
        <v>1.3701626161175555</v>
      </c>
      <c r="CB7" s="242">
        <f>'MD-data'!CW35/'MD-data'!CW59</f>
        <v>0.22070975726158754</v>
      </c>
      <c r="CC7" s="242">
        <f>'MD-data'!CY35/'MD-data'!CY59</f>
        <v>2.1436987738147124</v>
      </c>
      <c r="CD7" s="242"/>
      <c r="CF7" s="226">
        <f t="shared" ref="CF7:CO9" si="2">SMALL($AF7:$CC7,CF$1)</f>
        <v>0.14360713938140668</v>
      </c>
      <c r="CG7" s="226">
        <f t="shared" si="2"/>
        <v>0.21498253001672898</v>
      </c>
      <c r="CH7" s="226">
        <f t="shared" si="2"/>
        <v>0.22070975726158754</v>
      </c>
      <c r="CI7" s="226">
        <f t="shared" si="2"/>
        <v>0.30606493450745148</v>
      </c>
      <c r="CJ7" s="226">
        <f t="shared" si="2"/>
        <v>0.44776814094535783</v>
      </c>
      <c r="CK7" s="226">
        <f t="shared" si="2"/>
        <v>0.48379338461635707</v>
      </c>
      <c r="CL7" s="226">
        <f t="shared" si="2"/>
        <v>0.51472164745143001</v>
      </c>
      <c r="CM7" s="226">
        <f t="shared" si="2"/>
        <v>0.57153138041051954</v>
      </c>
      <c r="CN7" s="226">
        <f t="shared" si="2"/>
        <v>0.58079099509319065</v>
      </c>
      <c r="CO7" s="226">
        <f t="shared" si="2"/>
        <v>0.73395916756571833</v>
      </c>
      <c r="CP7" s="226">
        <f t="shared" ref="CP7:CY9" si="3">SMALL($AF7:$CC7,CP$1)</f>
        <v>0.75098033047176149</v>
      </c>
      <c r="CQ7" s="226">
        <f t="shared" si="3"/>
        <v>0.77727590344971786</v>
      </c>
      <c r="CR7" s="226">
        <f t="shared" si="3"/>
        <v>0.91177621259455144</v>
      </c>
      <c r="CS7" s="226">
        <f t="shared" si="3"/>
        <v>0.95022701253937658</v>
      </c>
      <c r="CT7" s="226">
        <f t="shared" si="3"/>
        <v>1.0378164260555693</v>
      </c>
      <c r="CU7" s="226">
        <f t="shared" si="3"/>
        <v>1.0863773024155925</v>
      </c>
      <c r="CV7" s="226">
        <f t="shared" si="3"/>
        <v>1.1084412805413655</v>
      </c>
      <c r="CW7" s="226">
        <f t="shared" si="3"/>
        <v>1.1103874910457938</v>
      </c>
      <c r="CX7" s="226">
        <f t="shared" si="3"/>
        <v>1.1300542666407851</v>
      </c>
      <c r="CY7" s="226">
        <f t="shared" si="3"/>
        <v>1.2326856766092171</v>
      </c>
      <c r="CZ7" s="226">
        <f t="shared" ref="CZ7:DI9" si="4">SMALL($AF7:$CC7,CZ$1)</f>
        <v>1.3452835995183838</v>
      </c>
      <c r="DA7" s="226">
        <f t="shared" si="4"/>
        <v>1.3701626161175555</v>
      </c>
      <c r="DB7" s="226">
        <f t="shared" si="4"/>
        <v>1.4530881228050363</v>
      </c>
      <c r="DC7" s="226">
        <f t="shared" si="4"/>
        <v>1.4698640229396822</v>
      </c>
      <c r="DD7" s="226">
        <f t="shared" si="4"/>
        <v>1.5850136314500427</v>
      </c>
      <c r="DE7" s="226">
        <f t="shared" si="4"/>
        <v>1.6318821252196059</v>
      </c>
      <c r="DF7" s="226">
        <f t="shared" si="4"/>
        <v>1.8111376951692206</v>
      </c>
      <c r="DG7" s="226">
        <f t="shared" si="4"/>
        <v>1.8941687308671979</v>
      </c>
      <c r="DH7" s="226">
        <f t="shared" si="4"/>
        <v>2.0442054439301849</v>
      </c>
      <c r="DI7" s="226">
        <f t="shared" si="4"/>
        <v>2.0759583494861298</v>
      </c>
      <c r="DJ7" s="226">
        <f t="shared" ref="DJ7:DS9" si="5">SMALL($AF7:$CC7,DJ$1)</f>
        <v>2.1436987738147124</v>
      </c>
      <c r="DK7" s="226">
        <f t="shared" si="5"/>
        <v>2.4508905676482717</v>
      </c>
      <c r="DL7" s="226">
        <f t="shared" si="5"/>
        <v>2.8264789236073788</v>
      </c>
      <c r="DM7" s="226">
        <f t="shared" si="5"/>
        <v>2.8618053382214872</v>
      </c>
      <c r="DN7" s="226">
        <f t="shared" si="5"/>
        <v>3.3408885777764916</v>
      </c>
      <c r="DO7" s="226">
        <f t="shared" si="5"/>
        <v>3.4873455273017937</v>
      </c>
      <c r="DP7" s="226">
        <f t="shared" si="5"/>
        <v>3.6966773590003932</v>
      </c>
      <c r="DQ7" s="226">
        <f t="shared" si="5"/>
        <v>3.7980214510211425</v>
      </c>
      <c r="DR7" s="226">
        <f t="shared" si="5"/>
        <v>5.6635757347924756</v>
      </c>
      <c r="DS7" s="226">
        <f t="shared" si="5"/>
        <v>8.930248373743348</v>
      </c>
      <c r="DT7" s="226">
        <f t="shared" ref="DT7:EC9" si="6">SMALL($AF7:$CC7,DT$1)</f>
        <v>11.539771693926792</v>
      </c>
      <c r="DU7" s="226">
        <f t="shared" si="6"/>
        <v>15.583683683461935</v>
      </c>
      <c r="DV7" s="226">
        <f t="shared" si="6"/>
        <v>17.943894902539984</v>
      </c>
      <c r="DW7" s="226">
        <f t="shared" si="6"/>
        <v>25.362613430127041</v>
      </c>
      <c r="DX7" s="226">
        <f t="shared" si="6"/>
        <v>25.639271500014182</v>
      </c>
      <c r="DY7" s="226">
        <f t="shared" si="6"/>
        <v>29.499259204700298</v>
      </c>
      <c r="DZ7" s="226">
        <f t="shared" si="6"/>
        <v>30.737762564764417</v>
      </c>
      <c r="EA7" s="226">
        <f t="shared" si="6"/>
        <v>41.389765615889921</v>
      </c>
      <c r="EB7" s="226">
        <f t="shared" si="6"/>
        <v>62.386026640554867</v>
      </c>
      <c r="EC7" s="226">
        <f t="shared" si="6"/>
        <v>85.703554604791307</v>
      </c>
      <c r="EF7" s="226">
        <f>IFERROR(CG7/CF7,"")</f>
        <v>1.4970183999401043</v>
      </c>
      <c r="EG7" s="226">
        <f t="shared" ref="EG7:GB7" si="7">IFERROR(CH7/CG7,"")</f>
        <v>1.0266404309429835</v>
      </c>
      <c r="EH7" s="226">
        <f t="shared" si="7"/>
        <v>1.3867304205527267</v>
      </c>
      <c r="EI7" s="226">
        <f t="shared" si="7"/>
        <v>1.4629841267701853</v>
      </c>
      <c r="EJ7" s="226">
        <f t="shared" si="7"/>
        <v>1.0804551292884312</v>
      </c>
      <c r="EK7" s="226">
        <f t="shared" si="7"/>
        <v>1.0639286600820281</v>
      </c>
      <c r="EL7" s="226">
        <f t="shared" si="7"/>
        <v>1.1103698149094268</v>
      </c>
      <c r="EM7" s="226">
        <f t="shared" si="7"/>
        <v>1.0162014108062101</v>
      </c>
      <c r="EN7" s="226">
        <f t="shared" si="7"/>
        <v>1.2637233940721673</v>
      </c>
      <c r="EO7" s="226">
        <f t="shared" si="7"/>
        <v>1.023190885349244</v>
      </c>
      <c r="EP7" s="226">
        <f t="shared" si="7"/>
        <v>1.0350149956143826</v>
      </c>
      <c r="EQ7" s="226">
        <f t="shared" si="7"/>
        <v>1.1730406263051412</v>
      </c>
      <c r="ER7" s="226">
        <f t="shared" si="7"/>
        <v>1.0421713128876322</v>
      </c>
      <c r="ES7" s="226">
        <f t="shared" si="7"/>
        <v>1.0921773558953241</v>
      </c>
      <c r="ET7" s="226">
        <f t="shared" si="7"/>
        <v>1.0467913931027171</v>
      </c>
      <c r="EU7" s="226">
        <f t="shared" si="7"/>
        <v>1.0203096825354443</v>
      </c>
      <c r="EV7" s="226">
        <f t="shared" si="7"/>
        <v>1.0017558083938174</v>
      </c>
      <c r="EW7" s="226">
        <f t="shared" si="7"/>
        <v>1.0177116328791389</v>
      </c>
      <c r="EX7" s="226">
        <f t="shared" si="7"/>
        <v>1.0908198951131043</v>
      </c>
      <c r="EY7" s="226">
        <f t="shared" si="7"/>
        <v>1.091343580156535</v>
      </c>
      <c r="EZ7" s="226">
        <f t="shared" si="7"/>
        <v>1.0184935106679949</v>
      </c>
      <c r="FA7" s="226">
        <f t="shared" si="7"/>
        <v>1.0605223830456385</v>
      </c>
      <c r="FB7" s="226">
        <f t="shared" si="7"/>
        <v>1.0115449984562959</v>
      </c>
      <c r="FC7" s="226">
        <f t="shared" si="7"/>
        <v>1.0783403136026588</v>
      </c>
      <c r="FD7" s="226">
        <f t="shared" si="7"/>
        <v>1.02956977330642</v>
      </c>
      <c r="FE7" s="226">
        <f t="shared" si="7"/>
        <v>1.1098459056443748</v>
      </c>
      <c r="FF7" s="226">
        <f t="shared" si="7"/>
        <v>1.0458446842111691</v>
      </c>
      <c r="FG7" s="226">
        <f t="shared" si="7"/>
        <v>1.0792097929915125</v>
      </c>
      <c r="FH7" s="226">
        <f t="shared" si="7"/>
        <v>1.0155331283605706</v>
      </c>
      <c r="FI7" s="226">
        <f t="shared" si="7"/>
        <v>1.0326309168704424</v>
      </c>
      <c r="FJ7" s="226">
        <f t="shared" si="7"/>
        <v>1.143299887832147</v>
      </c>
      <c r="FK7" s="226">
        <f t="shared" si="7"/>
        <v>1.1532456654396852</v>
      </c>
      <c r="FL7" s="226">
        <f t="shared" si="7"/>
        <v>1.0124983824641516</v>
      </c>
      <c r="FM7" s="226">
        <f t="shared" si="7"/>
        <v>1.167405949369267</v>
      </c>
      <c r="FN7" s="226">
        <f t="shared" si="7"/>
        <v>1.0438377234426583</v>
      </c>
      <c r="FO7" s="226">
        <f t="shared" si="7"/>
        <v>1.0600261230382189</v>
      </c>
      <c r="FP7" s="226">
        <f t="shared" si="7"/>
        <v>1.0274149140373325</v>
      </c>
      <c r="FQ7" s="226">
        <f t="shared" si="7"/>
        <v>1.4911910866827141</v>
      </c>
      <c r="FR7" s="226">
        <f t="shared" si="7"/>
        <v>1.5767862551714549</v>
      </c>
      <c r="FS7" s="226">
        <f t="shared" si="7"/>
        <v>1.2922117292791033</v>
      </c>
      <c r="FT7" s="226">
        <f t="shared" si="7"/>
        <v>1.3504325819256366</v>
      </c>
      <c r="FU7" s="226">
        <f t="shared" si="7"/>
        <v>1.1514539993892976</v>
      </c>
      <c r="FV7" s="226">
        <f t="shared" si="7"/>
        <v>1.4134397001253571</v>
      </c>
      <c r="FW7" s="226">
        <f t="shared" si="7"/>
        <v>1.0109081057695148</v>
      </c>
      <c r="FX7" s="226">
        <f t="shared" si="7"/>
        <v>1.1505498198216739</v>
      </c>
      <c r="FY7" s="226">
        <f t="shared" si="7"/>
        <v>1.0419842190432627</v>
      </c>
      <c r="FZ7" s="226">
        <f t="shared" si="7"/>
        <v>1.3465445160063862</v>
      </c>
      <c r="GA7" s="226">
        <f t="shared" si="7"/>
        <v>1.507281467102686</v>
      </c>
      <c r="GB7" s="226">
        <f t="shared" si="7"/>
        <v>1.3737620300549573</v>
      </c>
    </row>
    <row r="8" spans="1:184" ht="26.25" thickBot="1" x14ac:dyDescent="0.3">
      <c r="A8" s="640"/>
      <c r="B8" s="634"/>
      <c r="C8" s="240">
        <v>0.1</v>
      </c>
      <c r="D8" s="234" t="s">
        <v>49</v>
      </c>
      <c r="E8" s="225" t="s">
        <v>50</v>
      </c>
      <c r="G8" s="595" t="s">
        <v>386</v>
      </c>
      <c r="H8" s="224" t="s">
        <v>388</v>
      </c>
      <c r="J8" s="646"/>
      <c r="L8" s="226">
        <f t="shared" si="0"/>
        <v>4.2641130232698738E-3</v>
      </c>
      <c r="M8" s="226">
        <f t="shared" si="0"/>
        <v>0.28326724033696593</v>
      </c>
      <c r="N8" s="226">
        <f t="shared" si="0"/>
        <v>0.87637234101889483</v>
      </c>
      <c r="O8" s="226">
        <f t="shared" si="0"/>
        <v>2.3282712708543567</v>
      </c>
      <c r="P8" s="226">
        <f t="shared" si="0"/>
        <v>35.359545868166606</v>
      </c>
      <c r="Q8" s="226"/>
      <c r="R8" s="573">
        <f t="shared" ref="R8:R9" si="8">(T8-S8)^2</f>
        <v>1.2675994702073567E-8</v>
      </c>
      <c r="S8" s="563">
        <f t="shared" ref="S8:S9" si="9">(U8-1)/LN(U8)</f>
        <v>11.218239927107474</v>
      </c>
      <c r="T8" s="563">
        <f t="array" ref="T8">((AVERAGE(IF(AF8:CC8&lt;AC8,AF8:CC8))-MIN(IF(AF8:CC8&lt;AC8,AF8:CC8)))/(MAX(IF(AF8:CC8&lt;AC8,AF8:CC8))-MIN(IF(AF8:CC8&lt;AC8,AF8:CC8))))^(-3/2)</f>
        <v>11.218352514827506</v>
      </c>
      <c r="U8" s="570">
        <v>43.262257748757236</v>
      </c>
      <c r="V8" s="570">
        <f>AVERAGE(AF8:CC8)</f>
        <v>3.024409801452681</v>
      </c>
      <c r="W8" s="226"/>
      <c r="X8" s="255"/>
      <c r="Y8" s="565">
        <v>0</v>
      </c>
      <c r="Z8" s="566">
        <f t="array" ref="Z8">AA8/AVERAGE(IF($EF8:$GB8&lt;=QUARTILE($EF8:$GB8,3),$EF8:$GB8,""))^(COUNT($AF8:$CC8)/4)</f>
        <v>0.33460061034037614</v>
      </c>
      <c r="AA8" s="566">
        <f t="shared" ref="AA8:AA9" si="10">N8</f>
        <v>0.87637234101889483</v>
      </c>
      <c r="AB8" s="566">
        <f t="array" ref="AB8">AA8*AVERAGE(IF($EF8:$GB8&lt;=QUARTILE($EF8:$GB8,3),$EF8:$GB8,""))^(COUNT($AF8:$CC8)/4)</f>
        <v>2.2953588737380146</v>
      </c>
      <c r="AC8" s="565">
        <f t="array" ref="AC8">AB8*(AVERAGE(IF($EF8:$GB8&lt;=QUARTILE($EF8:$GB8,3)+X$1*(QUARTILE($EF8:$GB8,3)-QUARTILE($EF8:$GB8,1)),$EF8:$GB8,"")))^(COUNT($AF8:$CC8)/4)</f>
        <v>8.6625371887554401</v>
      </c>
      <c r="AF8" s="242">
        <f>('MD-data'!E32+'MD-data'!E26+'MD-data'!E27)/'MD-data'!E59</f>
        <v>3.2892218922709815</v>
      </c>
      <c r="AG8" s="242">
        <f>('MD-data'!G32+'MD-data'!G26+'MD-data'!G27)/'MD-data'!G59</f>
        <v>0.29423731382715623</v>
      </c>
      <c r="AH8" s="242">
        <f>('MD-data'!I32+'MD-data'!I26+'MD-data'!I27)/'MD-data'!I59</f>
        <v>0.78801414553327298</v>
      </c>
      <c r="AI8" s="242">
        <f>('MD-data'!K32+'MD-data'!K26+'MD-data'!K27)/'MD-data'!K59</f>
        <v>0.2796105491735692</v>
      </c>
      <c r="AJ8" s="242">
        <f>('MD-data'!M32+'MD-data'!M26+'MD-data'!M27)/'MD-data'!M59</f>
        <v>4.175495101505021E-2</v>
      </c>
      <c r="AK8" s="242">
        <f>('MD-data'!O32+'MD-data'!O26+'MD-data'!O27)/'MD-data'!O59</f>
        <v>7.484835843525206E-2</v>
      </c>
      <c r="AL8" s="242">
        <f>('MD-data'!Q32+'MD-data'!Q26+'MD-data'!Q27)/'MD-data'!Q59</f>
        <v>5.6795405053235903</v>
      </c>
      <c r="AM8" s="242">
        <f>('MD-data'!S32+'MD-data'!S26+'MD-data'!S27)/'MD-data'!S59</f>
        <v>3.891988961013721</v>
      </c>
      <c r="AN8" s="242">
        <f>('MD-data'!U32+'MD-data'!U26+'MD-data'!U27)/'MD-data'!U59</f>
        <v>6.7758817912818232</v>
      </c>
      <c r="AO8" s="242">
        <f>('MD-data'!W32+'MD-data'!W26+'MD-data'!W27)/'MD-data'!W59</f>
        <v>0.1225828939891162</v>
      </c>
      <c r="AP8" s="242">
        <f>('MD-data'!Y32+'MD-data'!Y26+'MD-data'!Y27)/'MD-data'!Y59</f>
        <v>0.77169837211911807</v>
      </c>
      <c r="AQ8" s="242">
        <f>('MD-data'!AA32+'MD-data'!AA26+'MD-data'!AA27)/'MD-data'!AA59</f>
        <v>1.8827049738188364</v>
      </c>
      <c r="AR8" s="242">
        <f>('MD-data'!AC32+'MD-data'!AC26+'MD-data'!AC27)/'MD-data'!AC59</f>
        <v>2.8249480053714136</v>
      </c>
      <c r="AS8" s="242">
        <f>('MD-data'!AE32+'MD-data'!AE26+'MD-data'!AE27)/'MD-data'!AE59</f>
        <v>1.003454784774179</v>
      </c>
      <c r="AT8" s="242">
        <f>('MD-data'!AG32+'MD-data'!AG26+'MD-data'!AG27)/'MD-data'!AG59</f>
        <v>0.5085546616669967</v>
      </c>
      <c r="AU8" s="242">
        <f>('MD-data'!AI32+'MD-data'!AI26+'MD-data'!AI27)/'MD-data'!AI59</f>
        <v>1.3795614937022411</v>
      </c>
      <c r="AV8" s="242">
        <f>('MD-data'!AK32+'MD-data'!AK26+'MD-data'!AK27)/'MD-data'!AK59</f>
        <v>2.2051718648460406</v>
      </c>
      <c r="AW8" s="242">
        <f>('MD-data'!AM32+'MD-data'!AM26+'MD-data'!AM27)/'MD-data'!AM59</f>
        <v>0.16263045384853086</v>
      </c>
      <c r="AX8" s="242">
        <f>('MD-data'!AO32+'MD-data'!AO26+'MD-data'!AO27)/'MD-data'!AO59</f>
        <v>2.3597796465149194</v>
      </c>
      <c r="AY8" s="242">
        <f>('MD-data'!AQ32+'MD-data'!AQ26+'MD-data'!AQ27)/'MD-data'!AQ59</f>
        <v>0.63234034065444233</v>
      </c>
      <c r="AZ8" s="242">
        <f>('MD-data'!AS32+'MD-data'!AS26+'MD-data'!AS27)/'MD-data'!AS59</f>
        <v>1.6758079575317097</v>
      </c>
      <c r="BA8" s="242">
        <f>('MD-data'!AU32+'MD-data'!AU26+'MD-data'!AU27)/'MD-data'!AU59</f>
        <v>35.359545868166606</v>
      </c>
      <c r="BB8" s="242">
        <f>('MD-data'!AW32+'MD-data'!AW26+'MD-data'!AW27)/'MD-data'!AW59</f>
        <v>0.23747556690129173</v>
      </c>
      <c r="BC8" s="242">
        <f>('MD-data'!AY32+'MD-data'!AY26+'MD-data'!AY27)/'MD-data'!AY59</f>
        <v>0.72354008814954474</v>
      </c>
      <c r="BD8" s="242">
        <f>('MD-data'!BA32+'MD-data'!BA26+'MD-data'!BA27)/'MD-data'!BA59</f>
        <v>0.37810673222872593</v>
      </c>
      <c r="BE8" s="242">
        <f>('MD-data'!BC32+'MD-data'!BC26+'MD-data'!BC27)/'MD-data'!BC59</f>
        <v>1.0290127443831647</v>
      </c>
      <c r="BF8" s="242">
        <f>('MD-data'!BE32+'MD-data'!BE26+'MD-data'!BE27)/'MD-data'!BE59</f>
        <v>1.1496743840553394</v>
      </c>
      <c r="BG8" s="242">
        <f>('MD-data'!BG32+'MD-data'!BG26+'MD-data'!BG27)/'MD-data'!BG59</f>
        <v>0.58721911756186895</v>
      </c>
      <c r="BH8" s="242">
        <f>('MD-data'!BI32+'MD-data'!BI26+'MD-data'!BI27)/'MD-data'!BI59</f>
        <v>6.5680862057225717E-2</v>
      </c>
      <c r="BI8" s="242">
        <f>('MD-data'!BL32+'MD-data'!BL26+'MD-data'!BL27)/'MD-data'!BL59</f>
        <v>1.6716968397813809</v>
      </c>
      <c r="BJ8" s="242">
        <f>('MD-data'!BM32+'MD-data'!BM26+'MD-data'!BM27)/'MD-data'!BM59</f>
        <v>3.2619216685462873</v>
      </c>
      <c r="BK8" s="242">
        <f>('MD-data'!BO32+'MD-data'!BO26+'MD-data'!BO27)/'MD-data'!BO59</f>
        <v>0.1591949772371602</v>
      </c>
      <c r="BL8" s="242">
        <f>('MD-data'!BQ32+'MD-data'!BQ26+'MD-data'!BQ27)/'MD-data'!BQ59</f>
        <v>21.822867513611616</v>
      </c>
      <c r="BM8" s="242">
        <f>('MD-data'!BS32+'MD-data'!BS26+'MD-data'!BS27)/'MD-data'!BS59</f>
        <v>2.2337461438726693</v>
      </c>
      <c r="BN8" s="242">
        <f>('MD-data'!BU32+'MD-data'!BU26+'MD-data'!BU27)/'MD-data'!BU59</f>
        <v>0.1517961245726106</v>
      </c>
      <c r="BO8" s="242">
        <f>('MD-data'!BW32+'MD-data'!BW26+'MD-data'!BW27)/'MD-data'!BW59</f>
        <v>5.6229615529177828</v>
      </c>
      <c r="BP8" s="242">
        <f>('MD-data'!BY32+'MD-data'!BY26+'MD-data'!BY27)/'MD-data'!BY59</f>
        <v>1.5298848691973048</v>
      </c>
      <c r="BQ8" s="242">
        <f>('MD-data'!CA32+'MD-data'!CA26+'MD-data'!CA27)/'MD-data'!CA59</f>
        <v>7.6839444115907751</v>
      </c>
      <c r="BR8" s="242">
        <f>('MD-data'!CC32+'MD-data'!CC26+'MD-data'!CC27)/'MD-data'!CC59</f>
        <v>2.0539546290619253E-2</v>
      </c>
      <c r="BS8" s="242">
        <f>('MD-data'!CE32+'MD-data'!CE26+'MD-data'!CE27)/'MD-data'!CE59</f>
        <v>3.9310026374012392</v>
      </c>
      <c r="BT8" s="242">
        <f>('MD-data'!CG32+'MD-data'!CG26+'MD-data'!CG27)/'MD-data'!CG59</f>
        <v>21.811832482277463</v>
      </c>
      <c r="BU8" s="242">
        <f>('MD-data'!CI32+'MD-data'!CI26+'MD-data'!CI27)/'MD-data'!CI59</f>
        <v>0.15014078856026197</v>
      </c>
      <c r="BV8" s="242">
        <f>('MD-data'!CK32+'MD-data'!CK26+'MD-data'!CK27)/'MD-data'!CK59</f>
        <v>0.77095702121466825</v>
      </c>
      <c r="BW8" s="242">
        <f>('MD-data'!CM32+'MD-data'!CM26+'MD-data'!CM27)/'MD-data'!CM59</f>
        <v>0.59864164230157435</v>
      </c>
      <c r="BX8" s="242">
        <f>('MD-data'!CO32+'MD-data'!CO26+'MD-data'!CO27)/'MD-data'!CO59</f>
        <v>0.94219511352247987</v>
      </c>
      <c r="BY8" s="242">
        <f>('MD-data'!CQ32+'MD-data'!CQ26+'MD-data'!CQ27)/'MD-data'!CQ59</f>
        <v>0.68501998779070916</v>
      </c>
      <c r="BZ8" s="242">
        <f>('MD-data'!CS32+'MD-data'!CS26+'MD-data'!CS27)/'MD-data'!CS59</f>
        <v>9.4470732578431065E-3</v>
      </c>
      <c r="CA8" s="242">
        <f>('MD-data'!CU32+'MD-data'!CU26+'MD-data'!CU27)/'MD-data'!CU59</f>
        <v>0.8105495685153099</v>
      </c>
      <c r="CB8" s="242">
        <f>('MD-data'!CW32+'MD-data'!CW26+'MD-data'!CW27)/'MD-data'!CW59</f>
        <v>4.2641130232698738E-3</v>
      </c>
      <c r="CC8" s="242">
        <f>('MD-data'!CY32+'MD-data'!CY26+'MD-data'!CY27)/'MD-data'!CY59</f>
        <v>1.1732967169353132</v>
      </c>
      <c r="CD8" s="242"/>
      <c r="CF8" s="226">
        <f t="shared" si="2"/>
        <v>4.2641130232698738E-3</v>
      </c>
      <c r="CG8" s="226">
        <f t="shared" si="2"/>
        <v>9.4470732578431065E-3</v>
      </c>
      <c r="CH8" s="226">
        <f t="shared" si="2"/>
        <v>2.0539546290619253E-2</v>
      </c>
      <c r="CI8" s="226">
        <f t="shared" si="2"/>
        <v>4.175495101505021E-2</v>
      </c>
      <c r="CJ8" s="226">
        <f t="shared" si="2"/>
        <v>6.5680862057225717E-2</v>
      </c>
      <c r="CK8" s="226">
        <f t="shared" si="2"/>
        <v>7.484835843525206E-2</v>
      </c>
      <c r="CL8" s="226">
        <f t="shared" si="2"/>
        <v>0.1225828939891162</v>
      </c>
      <c r="CM8" s="226">
        <f t="shared" si="2"/>
        <v>0.15014078856026197</v>
      </c>
      <c r="CN8" s="226">
        <f t="shared" si="2"/>
        <v>0.1517961245726106</v>
      </c>
      <c r="CO8" s="226">
        <f t="shared" si="2"/>
        <v>0.1591949772371602</v>
      </c>
      <c r="CP8" s="226">
        <f t="shared" si="3"/>
        <v>0.16263045384853086</v>
      </c>
      <c r="CQ8" s="226">
        <f t="shared" si="3"/>
        <v>0.23747556690129173</v>
      </c>
      <c r="CR8" s="226">
        <f t="shared" si="3"/>
        <v>0.2796105491735692</v>
      </c>
      <c r="CS8" s="226">
        <f t="shared" si="3"/>
        <v>0.29423731382715623</v>
      </c>
      <c r="CT8" s="226">
        <f t="shared" si="3"/>
        <v>0.37810673222872593</v>
      </c>
      <c r="CU8" s="226">
        <f t="shared" si="3"/>
        <v>0.5085546616669967</v>
      </c>
      <c r="CV8" s="226">
        <f t="shared" si="3"/>
        <v>0.58721911756186895</v>
      </c>
      <c r="CW8" s="226">
        <f t="shared" si="3"/>
        <v>0.59864164230157435</v>
      </c>
      <c r="CX8" s="226">
        <f t="shared" si="3"/>
        <v>0.63234034065444233</v>
      </c>
      <c r="CY8" s="226">
        <f t="shared" si="3"/>
        <v>0.68501998779070916</v>
      </c>
      <c r="CZ8" s="226">
        <f t="shared" si="4"/>
        <v>0.72354008814954474</v>
      </c>
      <c r="DA8" s="226">
        <f t="shared" si="4"/>
        <v>0.77095702121466825</v>
      </c>
      <c r="DB8" s="226">
        <f t="shared" si="4"/>
        <v>0.77169837211911807</v>
      </c>
      <c r="DC8" s="226">
        <f t="shared" si="4"/>
        <v>0.78801414553327298</v>
      </c>
      <c r="DD8" s="226">
        <f t="shared" si="4"/>
        <v>0.8105495685153099</v>
      </c>
      <c r="DE8" s="226">
        <f t="shared" si="4"/>
        <v>0.94219511352247987</v>
      </c>
      <c r="DF8" s="226">
        <f t="shared" si="4"/>
        <v>1.003454784774179</v>
      </c>
      <c r="DG8" s="226">
        <f t="shared" si="4"/>
        <v>1.0290127443831647</v>
      </c>
      <c r="DH8" s="226">
        <f t="shared" si="4"/>
        <v>1.1496743840553394</v>
      </c>
      <c r="DI8" s="226">
        <f t="shared" si="4"/>
        <v>1.1732967169353132</v>
      </c>
      <c r="DJ8" s="226">
        <f t="shared" si="5"/>
        <v>1.3795614937022411</v>
      </c>
      <c r="DK8" s="226">
        <f t="shared" si="5"/>
        <v>1.5298848691973048</v>
      </c>
      <c r="DL8" s="226">
        <f t="shared" si="5"/>
        <v>1.6716968397813809</v>
      </c>
      <c r="DM8" s="226">
        <f t="shared" si="5"/>
        <v>1.6758079575317097</v>
      </c>
      <c r="DN8" s="226">
        <f t="shared" si="5"/>
        <v>1.8827049738188364</v>
      </c>
      <c r="DO8" s="226">
        <f t="shared" si="5"/>
        <v>2.2051718648460406</v>
      </c>
      <c r="DP8" s="226">
        <f t="shared" si="5"/>
        <v>2.2337461438726693</v>
      </c>
      <c r="DQ8" s="226">
        <f t="shared" si="5"/>
        <v>2.3597796465149194</v>
      </c>
      <c r="DR8" s="226">
        <f t="shared" si="5"/>
        <v>2.8249480053714136</v>
      </c>
      <c r="DS8" s="226">
        <f t="shared" si="5"/>
        <v>3.2619216685462873</v>
      </c>
      <c r="DT8" s="226">
        <f t="shared" si="6"/>
        <v>3.2892218922709815</v>
      </c>
      <c r="DU8" s="226">
        <f t="shared" si="6"/>
        <v>3.891988961013721</v>
      </c>
      <c r="DV8" s="226">
        <f t="shared" si="6"/>
        <v>3.9310026374012392</v>
      </c>
      <c r="DW8" s="226">
        <f t="shared" si="6"/>
        <v>5.6229615529177828</v>
      </c>
      <c r="DX8" s="226">
        <f t="shared" si="6"/>
        <v>5.6795405053235903</v>
      </c>
      <c r="DY8" s="226">
        <f t="shared" si="6"/>
        <v>6.7758817912818232</v>
      </c>
      <c r="DZ8" s="226">
        <f t="shared" si="6"/>
        <v>7.6839444115907751</v>
      </c>
      <c r="EA8" s="226">
        <f t="shared" si="6"/>
        <v>21.811832482277463</v>
      </c>
      <c r="EB8" s="226">
        <f t="shared" si="6"/>
        <v>21.822867513611616</v>
      </c>
      <c r="EC8" s="226">
        <f t="shared" si="6"/>
        <v>35.359545868166606</v>
      </c>
      <c r="EF8" s="226">
        <f t="shared" ref="EF8:EF9" si="11">IFERROR(CG8/CF8,"")</f>
        <v>2.2154837843858917</v>
      </c>
      <c r="EG8" s="226">
        <f t="shared" ref="EG8:EG9" si="12">IFERROR(CH8/CG8,"")</f>
        <v>2.1741703202700373</v>
      </c>
      <c r="EH8" s="226">
        <f t="shared" ref="EH8:EH9" si="13">IFERROR(CI8/CH8,"")</f>
        <v>2.0329052270312502</v>
      </c>
      <c r="EI8" s="226">
        <f t="shared" ref="EI8:EI9" si="14">IFERROR(CJ8/CI8,"")</f>
        <v>1.5730077622064895</v>
      </c>
      <c r="EJ8" s="226">
        <f t="shared" ref="EJ8:EJ9" si="15">IFERROR(CK8/CJ8,"")</f>
        <v>1.1395763711206925</v>
      </c>
      <c r="EK8" s="226">
        <f t="shared" ref="EK8:EK9" si="16">IFERROR(CL8/CK8,"")</f>
        <v>1.6377499326876639</v>
      </c>
      <c r="EL8" s="226">
        <f t="shared" ref="EL8:EL9" si="17">IFERROR(CM8/CL8,"")</f>
        <v>1.2248102787783144</v>
      </c>
      <c r="EM8" s="226">
        <f t="shared" ref="EM8:EM9" si="18">IFERROR(CN8/CM8,"")</f>
        <v>1.0110252252450653</v>
      </c>
      <c r="EN8" s="226">
        <f t="shared" ref="EN8:EN9" si="19">IFERROR(CO8/CN8,"")</f>
        <v>1.048742039267349</v>
      </c>
      <c r="EO8" s="226">
        <f t="shared" ref="EO8:EO9" si="20">IFERROR(CP8/CO8,"")</f>
        <v>1.0215803078149424</v>
      </c>
      <c r="EP8" s="226">
        <f t="shared" ref="EP8:EP9" si="21">IFERROR(CQ8/CP8,"")</f>
        <v>1.4602158530681428</v>
      </c>
      <c r="EQ8" s="226">
        <f t="shared" ref="EQ8:EQ9" si="22">IFERROR(CR8/CQ8,"")</f>
        <v>1.1774287048645773</v>
      </c>
      <c r="ER8" s="226">
        <f t="shared" ref="ER8:ER9" si="23">IFERROR(CS8/CR8,"")</f>
        <v>1.0523112046266445</v>
      </c>
      <c r="ES8" s="226">
        <f t="shared" ref="ES8:ES9" si="24">IFERROR(CT8/CS8,"")</f>
        <v>1.2850400491721357</v>
      </c>
      <c r="ET8" s="226">
        <f t="shared" ref="ET8:ET9" si="25">IFERROR(CU8/CT8,"")</f>
        <v>1.3450029272670017</v>
      </c>
      <c r="EU8" s="226">
        <f t="shared" ref="EU8:EU9" si="26">IFERROR(CV8/CU8,"")</f>
        <v>1.1546824005840732</v>
      </c>
      <c r="EV8" s="226">
        <f t="shared" ref="EV8:EV9" si="27">IFERROR(CW8/CV8,"")</f>
        <v>1.0194518952092904</v>
      </c>
      <c r="EW8" s="226">
        <f t="shared" ref="EW8:EW9" si="28">IFERROR(CX8/CW8,"")</f>
        <v>1.0562919382342129</v>
      </c>
      <c r="EX8" s="226">
        <f t="shared" ref="EX8:EX9" si="29">IFERROR(CY8/CX8,"")</f>
        <v>1.0833090090088922</v>
      </c>
      <c r="EY8" s="226">
        <f t="shared" ref="EY8:EY9" si="30">IFERROR(CZ8/CY8,"")</f>
        <v>1.0562320823412301</v>
      </c>
      <c r="EZ8" s="226">
        <f t="shared" ref="EZ8:EZ9" si="31">IFERROR(DA8/CZ8,"")</f>
        <v>1.0655346315176433</v>
      </c>
      <c r="FA8" s="226">
        <f t="shared" ref="FA8:FA9" si="32">IFERROR(DB8/DA8,"")</f>
        <v>1.0009615982266842</v>
      </c>
      <c r="FB8" s="226">
        <f t="shared" ref="FB8:FB9" si="33">IFERROR(DC8/DB8,"")</f>
        <v>1.0211426821717287</v>
      </c>
      <c r="FC8" s="226">
        <f t="shared" ref="FC8:FC9" si="34">IFERROR(DD8/DC8,"")</f>
        <v>1.0285977391519876</v>
      </c>
      <c r="FD8" s="226">
        <f t="shared" ref="FD8:FD9" si="35">IFERROR(DE8/DD8,"")</f>
        <v>1.1624151688197257</v>
      </c>
      <c r="FE8" s="226">
        <f t="shared" ref="FE8:FE9" si="36">IFERROR(DF8/DE8,"")</f>
        <v>1.065018031162011</v>
      </c>
      <c r="FF8" s="226">
        <f t="shared" ref="FF8:FF9" si="37">IFERROR(DG8/DF8,"")</f>
        <v>1.0254699663570166</v>
      </c>
      <c r="FG8" s="226">
        <f t="shared" ref="FG8:FG9" si="38">IFERROR(DH8/DG8,"")</f>
        <v>1.117259616395232</v>
      </c>
      <c r="FH8" s="226">
        <f t="shared" ref="FH8:FH9" si="39">IFERROR(DI8/DH8,"")</f>
        <v>1.0205469767854172</v>
      </c>
      <c r="FI8" s="226">
        <f t="shared" ref="FI8:FI9" si="40">IFERROR(DJ8/DI8,"")</f>
        <v>1.1757993300328136</v>
      </c>
      <c r="FJ8" s="226">
        <f t="shared" ref="FJ8:FJ9" si="41">IFERROR(DK8/DJ8,"")</f>
        <v>1.1089646066386287</v>
      </c>
      <c r="FK8" s="226">
        <f t="shared" ref="FK8:FK9" si="42">IFERROR(DL8/DK8,"")</f>
        <v>1.0926945376343786</v>
      </c>
      <c r="FL8" s="226">
        <f t="shared" ref="FL8:FL9" si="43">IFERROR(DM8/DL8,"")</f>
        <v>1.0024592483831378</v>
      </c>
      <c r="FM8" s="226">
        <f t="shared" ref="FM8:FM9" si="44">IFERROR(DN8/DM8,"")</f>
        <v>1.1234610537306819</v>
      </c>
      <c r="FN8" s="226">
        <f t="shared" ref="FN8:FN9" si="45">IFERROR(DO8/DN8,"")</f>
        <v>1.1712785038078055</v>
      </c>
      <c r="FO8" s="226">
        <f t="shared" ref="FO8:FO9" si="46">IFERROR(DP8/DO8,"")</f>
        <v>1.012957846724851</v>
      </c>
      <c r="FP8" s="226">
        <f t="shared" ref="FP8:FP9" si="47">IFERROR(DQ8/DP8,"")</f>
        <v>1.0564224824687305</v>
      </c>
      <c r="FQ8" s="226">
        <f t="shared" ref="FQ8:FQ9" si="48">IFERROR(DR8/DQ8,"")</f>
        <v>1.1971236422618892</v>
      </c>
      <c r="FR8" s="226">
        <f t="shared" ref="FR8:FR9" si="49">IFERROR(DS8/DR8,"")</f>
        <v>1.1546837896994928</v>
      </c>
      <c r="FS8" s="226">
        <f t="shared" ref="FS8:FS9" si="50">IFERROR(DT8/DS8,"")</f>
        <v>1.008369368273905</v>
      </c>
      <c r="FT8" s="226">
        <f t="shared" ref="FT8:FT9" si="51">IFERROR(DU8/DT8,"")</f>
        <v>1.1832552161224277</v>
      </c>
      <c r="FU8" s="226">
        <f t="shared" ref="FU8:FU9" si="52">IFERROR(DV8/DU8,"")</f>
        <v>1.0100240973903885</v>
      </c>
      <c r="FV8" s="226">
        <f t="shared" ref="FV8:FV9" si="53">IFERROR(DW8/DV8,"")</f>
        <v>1.4304140881052898</v>
      </c>
      <c r="FW8" s="226">
        <f t="shared" ref="FW8:FW9" si="54">IFERROR(DX8/DW8,"")</f>
        <v>1.0100621268478083</v>
      </c>
      <c r="FX8" s="226">
        <f t="shared" ref="FX8:FX9" si="55">IFERROR(DY8/DX8,"")</f>
        <v>1.1930334478520932</v>
      </c>
      <c r="FY8" s="226">
        <f t="shared" ref="FY8:FY9" si="56">IFERROR(DZ8/DY8,"")</f>
        <v>1.134013940661909</v>
      </c>
      <c r="FZ8" s="226">
        <f t="shared" ref="FZ8:FZ9" si="57">IFERROR(EA8/DZ8,"")</f>
        <v>2.8386244504027913</v>
      </c>
      <c r="GA8" s="226">
        <f t="shared" ref="GA8:GA9" si="58">IFERROR(EB8/EA8,"")</f>
        <v>1.0005059194977368</v>
      </c>
      <c r="GB8" s="226">
        <f t="shared" ref="GB8:GB9" si="59">IFERROR(EC8/EB8,"")</f>
        <v>1.6202978754332689</v>
      </c>
    </row>
    <row r="9" spans="1:184" ht="15.75" thickBot="1" x14ac:dyDescent="0.3">
      <c r="A9" s="640"/>
      <c r="B9" s="634"/>
      <c r="C9" s="240">
        <v>0.1</v>
      </c>
      <c r="D9" s="234" t="s">
        <v>72</v>
      </c>
      <c r="E9" s="225" t="s">
        <v>73</v>
      </c>
      <c r="G9" s="595" t="s">
        <v>386</v>
      </c>
      <c r="H9" s="224" t="s">
        <v>388</v>
      </c>
      <c r="J9" s="646"/>
      <c r="L9" s="226">
        <f t="shared" si="0"/>
        <v>1.6129196893002414E-4</v>
      </c>
      <c r="M9" s="226">
        <f t="shared" si="0"/>
        <v>4.6685407627186676E-2</v>
      </c>
      <c r="N9" s="226">
        <f t="shared" si="0"/>
        <v>0.25566768375988946</v>
      </c>
      <c r="O9" s="226">
        <f t="shared" si="0"/>
        <v>1.1409148195445542</v>
      </c>
      <c r="P9" s="226">
        <f t="shared" si="0"/>
        <v>21.822867513611616</v>
      </c>
      <c r="Q9" s="226"/>
      <c r="R9" s="573">
        <f t="shared" si="8"/>
        <v>1.7422102678823925E-10</v>
      </c>
      <c r="S9" s="563">
        <f t="shared" si="9"/>
        <v>17.370048130239972</v>
      </c>
      <c r="T9" s="563">
        <f t="array" ref="T9">((AVERAGE(IF(AF9:CC9&lt;AC9,AF9:CC9))-MIN(IF(AF9:CC9&lt;AC9,AF9:CC9)))/(MAX(IF(AF9:CC9&lt;AC9,AF9:CC9))-MIN(IF(AF9:CC9&lt;AC9,AF9:CC9))))^(-3/2)</f>
        <v>17.37006132952127</v>
      </c>
      <c r="U9" s="570">
        <v>76.29155489281041</v>
      </c>
      <c r="V9" s="570">
        <f>AVERAGE(AF9:CC9)</f>
        <v>1.8157413499839814</v>
      </c>
      <c r="W9" s="226"/>
      <c r="X9" s="255"/>
      <c r="Y9" s="565">
        <v>0</v>
      </c>
      <c r="Z9" s="566">
        <f t="array" ref="Z9">AA9/AVERAGE(IF($EF9:$GB9&lt;=QUARTILE($EF9:$GB9,3),$EF9:$GB9,""))^(COUNT($AF9:$CC9)/4)</f>
        <v>6.5827845563065257E-2</v>
      </c>
      <c r="AA9" s="566">
        <f t="shared" si="10"/>
        <v>0.25566768375988946</v>
      </c>
      <c r="AB9" s="566">
        <f t="array" ref="AB9">AA9*AVERAGE(IF($EF9:$GB9&lt;=QUARTILE($EF9:$GB9,3),$EF9:$GB9,""))^(COUNT($AF9:$CC9)/4)</f>
        <v>0.9929835005237122</v>
      </c>
      <c r="AC9" s="565">
        <f t="array" ref="AC9">AB9*(AVERAGE(IF($EF9:$GB9&lt;=QUARTILE($EF9:$GB9,3)+X$1*(QUARTILE($EF9:$GB9,3)-QUARTILE($EF9:$GB9,1)),$EF9:$GB9,"")))^(COUNT($AF9:$CC9)/4)</f>
        <v>7.9199921943120852</v>
      </c>
      <c r="AF9" s="242">
        <f>'MD-data'!E32/'MD-data'!E59</f>
        <v>0.14625522571507793</v>
      </c>
      <c r="AG9" s="242">
        <f>'MD-data'!G32/'MD-data'!G59</f>
        <v>0.15368295209426569</v>
      </c>
      <c r="AH9" s="242">
        <f>'MD-data'!I32/'MD-data'!I59</f>
        <v>4.5898887445016093E-2</v>
      </c>
      <c r="AI9" s="242">
        <f>'MD-data'!K32/'MD-data'!K59</f>
        <v>8.7966682751770928E-2</v>
      </c>
      <c r="AJ9" s="242">
        <f>'MD-data'!M32/'MD-data'!M59</f>
        <v>1.6129196893002414E-4</v>
      </c>
      <c r="AK9" s="242">
        <f>'MD-data'!O32/'MD-data'!O59</f>
        <v>6.1261649348374617E-3</v>
      </c>
      <c r="AL9" s="242">
        <f>'MD-data'!Q32/'MD-data'!Q59</f>
        <v>4.7696634241167351</v>
      </c>
      <c r="AM9" s="242">
        <f>'MD-data'!S32/'MD-data'!S59</f>
        <v>0.44122905896528941</v>
      </c>
      <c r="AN9" s="242">
        <f>'MD-data'!U32/'MD-data'!U59</f>
        <v>6.7225796235547701</v>
      </c>
      <c r="AO9" s="242">
        <f>'MD-data'!W32/'MD-data'!W59</f>
        <v>4.9044968173698411E-2</v>
      </c>
      <c r="AP9" s="242">
        <f>'MD-data'!Y32/'MD-data'!Y59</f>
        <v>0.72180082963274261</v>
      </c>
      <c r="AQ9" s="242">
        <f>'MD-data'!AA32/'MD-data'!AA59</f>
        <v>3.7877141705005397E-2</v>
      </c>
      <c r="AR9" s="242">
        <f>'MD-data'!AC32/'MD-data'!AC59</f>
        <v>2.3927093909668544</v>
      </c>
      <c r="AS9" s="242">
        <f>'MD-data'!AE32/'MD-data'!AE59</f>
        <v>0.22098846845687492</v>
      </c>
      <c r="AT9" s="242">
        <f>'MD-data'!AG32/'MD-data'!AG59</f>
        <v>0.41707214906343737</v>
      </c>
      <c r="AU9" s="242">
        <f>'MD-data'!AI32/'MD-data'!AI59</f>
        <v>0.37591107190428341</v>
      </c>
      <c r="AV9" s="242">
        <f>'MD-data'!AK32/'MD-data'!AK59</f>
        <v>0.90159467923544634</v>
      </c>
      <c r="AW9" s="242">
        <f>'MD-data'!AM32/'MD-data'!AM59</f>
        <v>0.14630075167424433</v>
      </c>
      <c r="AX9" s="242">
        <f>'MD-data'!AO32/'MD-data'!AO59</f>
        <v>0.85538906674107151</v>
      </c>
      <c r="AY9" s="242">
        <f>'MD-data'!AQ32/'MD-data'!AQ59</f>
        <v>0.63172857591994269</v>
      </c>
      <c r="AZ9" s="242">
        <f>'MD-data'!AS32/'MD-data'!AS59</f>
        <v>0.7429476105368874</v>
      </c>
      <c r="BA9" s="242">
        <f>'MD-data'!AU32/'MD-data'!AU59</f>
        <v>4.35347765083183</v>
      </c>
      <c r="BB9" s="242">
        <f>'MD-data'!AW32/'MD-data'!AW59</f>
        <v>1.3842140343778019E-2</v>
      </c>
      <c r="BC9" s="242">
        <f>'MD-data'!AY32/'MD-data'!AY59</f>
        <v>0.46868816814143227</v>
      </c>
      <c r="BD9" s="242">
        <f>'MD-data'!BA32/'MD-data'!BA59</f>
        <v>1.1291166194763997E-2</v>
      </c>
      <c r="BE9" s="242">
        <f>'MD-data'!BC32/'MD-data'!BC59</f>
        <v>0.12090434234168031</v>
      </c>
      <c r="BF9" s="242">
        <f>'MD-data'!BE32/'MD-data'!BE59</f>
        <v>1.1462557348766613</v>
      </c>
      <c r="BG9" s="242">
        <f>'MD-data'!BG32/'MD-data'!BG59</f>
        <v>0.10498976782237271</v>
      </c>
      <c r="BH9" s="242">
        <f>'MD-data'!BI32/'MD-data'!BI59</f>
        <v>6.5680862057225717E-2</v>
      </c>
      <c r="BI9" s="242">
        <f>'MD-data'!BL32/'MD-data'!BL59</f>
        <v>1.6118820333881809</v>
      </c>
      <c r="BJ9" s="242">
        <f>'MD-data'!BM32/'MD-data'!BM59</f>
        <v>3.2383219859933448</v>
      </c>
      <c r="BK9" s="242">
        <f>'MD-data'!BO32/'MD-data'!BO59</f>
        <v>1.3272941863701048E-2</v>
      </c>
      <c r="BL9" s="242">
        <f>'MD-data'!BQ32/'MD-data'!BQ59</f>
        <v>21.822867513611616</v>
      </c>
      <c r="BM9" s="242">
        <f>'MD-data'!BS32/'MD-data'!BS59</f>
        <v>2.1108597487369787</v>
      </c>
      <c r="BN9" s="242">
        <f>'MD-data'!BU32/'MD-data'!BU59</f>
        <v>3.1280304509391677E-2</v>
      </c>
      <c r="BO9" s="242">
        <f>'MD-data'!BW32/'MD-data'!BW59</f>
        <v>2.2785291657068032</v>
      </c>
      <c r="BP9" s="242">
        <f>'MD-data'!BY32/'MD-data'!BY59</f>
        <v>1.1248920735482331</v>
      </c>
      <c r="BQ9" s="242">
        <f>'MD-data'!CA32/'MD-data'!CA59</f>
        <v>6.7640153755174452</v>
      </c>
      <c r="BR9" s="242">
        <f>'MD-data'!CC32/'MD-data'!CC59</f>
        <v>2.0539546290619253E-2</v>
      </c>
      <c r="BS9" s="242">
        <f>'MD-data'!CE32/'MD-data'!CE59</f>
        <v>3.5585964832761565</v>
      </c>
      <c r="BT9" s="242">
        <f>'MD-data'!CG32/'MD-data'!CG59</f>
        <v>20.550231000879112</v>
      </c>
      <c r="BU9" s="242">
        <f>'MD-data'!CI32/'MD-data'!CI59</f>
        <v>1.179997200104491E-2</v>
      </c>
      <c r="BV9" s="242">
        <f>'MD-data'!CK32/'MD-data'!CK59</f>
        <v>0.10181733941984135</v>
      </c>
      <c r="BW9" s="242">
        <f>'MD-data'!CM32/'MD-data'!CM59</f>
        <v>0.25299275165137797</v>
      </c>
      <c r="BX9" s="242">
        <f>'MD-data'!CO32/'MD-data'!CO59</f>
        <v>0.15252099388326365</v>
      </c>
      <c r="BY9" s="242">
        <f>'MD-data'!CQ32/'MD-data'!CQ59</f>
        <v>1.8094506663065769E-2</v>
      </c>
      <c r="BZ9" s="242">
        <f>'MD-data'!CS32/'MD-data'!CS59</f>
        <v>9.4470732578431065E-3</v>
      </c>
      <c r="CA9" s="242">
        <f>'MD-data'!CU32/'MD-data'!CU59</f>
        <v>0.7004421119424592</v>
      </c>
      <c r="CB9" s="242">
        <f>'MD-data'!CW32/'MD-data'!CW59</f>
        <v>4.2641130232698738E-3</v>
      </c>
      <c r="CC9" s="242">
        <f>'MD-data'!CY32/'MD-data'!CY59</f>
        <v>0.2583426158684009</v>
      </c>
      <c r="CD9" s="242"/>
      <c r="CF9" s="226">
        <f t="shared" si="2"/>
        <v>1.6129196893002414E-4</v>
      </c>
      <c r="CG9" s="226">
        <f t="shared" si="2"/>
        <v>4.2641130232698738E-3</v>
      </c>
      <c r="CH9" s="226">
        <f t="shared" si="2"/>
        <v>6.1261649348374617E-3</v>
      </c>
      <c r="CI9" s="226">
        <f t="shared" si="2"/>
        <v>9.4470732578431065E-3</v>
      </c>
      <c r="CJ9" s="226">
        <f t="shared" si="2"/>
        <v>1.1291166194763997E-2</v>
      </c>
      <c r="CK9" s="226">
        <f t="shared" si="2"/>
        <v>1.179997200104491E-2</v>
      </c>
      <c r="CL9" s="226">
        <f t="shared" si="2"/>
        <v>1.3272941863701048E-2</v>
      </c>
      <c r="CM9" s="226">
        <f t="shared" si="2"/>
        <v>1.3842140343778019E-2</v>
      </c>
      <c r="CN9" s="226">
        <f t="shared" si="2"/>
        <v>1.8094506663065769E-2</v>
      </c>
      <c r="CO9" s="226">
        <f t="shared" si="2"/>
        <v>2.0539546290619253E-2</v>
      </c>
      <c r="CP9" s="226">
        <f t="shared" si="3"/>
        <v>3.1280304509391677E-2</v>
      </c>
      <c r="CQ9" s="226">
        <f t="shared" si="3"/>
        <v>3.7877141705005397E-2</v>
      </c>
      <c r="CR9" s="226">
        <f t="shared" si="3"/>
        <v>4.5898887445016093E-2</v>
      </c>
      <c r="CS9" s="226">
        <f t="shared" si="3"/>
        <v>4.9044968173698411E-2</v>
      </c>
      <c r="CT9" s="226">
        <f t="shared" si="3"/>
        <v>6.5680862057225717E-2</v>
      </c>
      <c r="CU9" s="226">
        <f t="shared" si="3"/>
        <v>8.7966682751770928E-2</v>
      </c>
      <c r="CV9" s="226">
        <f t="shared" si="3"/>
        <v>0.10181733941984135</v>
      </c>
      <c r="CW9" s="226">
        <f t="shared" si="3"/>
        <v>0.10498976782237271</v>
      </c>
      <c r="CX9" s="226">
        <f t="shared" si="3"/>
        <v>0.12090434234168031</v>
      </c>
      <c r="CY9" s="226">
        <f t="shared" si="3"/>
        <v>0.14625522571507793</v>
      </c>
      <c r="CZ9" s="226">
        <f t="shared" si="4"/>
        <v>0.14630075167424433</v>
      </c>
      <c r="DA9" s="226">
        <f t="shared" si="4"/>
        <v>0.15252099388326365</v>
      </c>
      <c r="DB9" s="226">
        <f t="shared" si="4"/>
        <v>0.15368295209426569</v>
      </c>
      <c r="DC9" s="226">
        <f t="shared" si="4"/>
        <v>0.22098846845687492</v>
      </c>
      <c r="DD9" s="226">
        <f t="shared" si="4"/>
        <v>0.25299275165137797</v>
      </c>
      <c r="DE9" s="226">
        <f t="shared" si="4"/>
        <v>0.2583426158684009</v>
      </c>
      <c r="DF9" s="226">
        <f t="shared" si="4"/>
        <v>0.37591107190428341</v>
      </c>
      <c r="DG9" s="226">
        <f t="shared" si="4"/>
        <v>0.41707214906343737</v>
      </c>
      <c r="DH9" s="226">
        <f t="shared" si="4"/>
        <v>0.44122905896528941</v>
      </c>
      <c r="DI9" s="226">
        <f t="shared" si="4"/>
        <v>0.46868816814143227</v>
      </c>
      <c r="DJ9" s="226">
        <f t="shared" si="5"/>
        <v>0.63172857591994269</v>
      </c>
      <c r="DK9" s="226">
        <f t="shared" si="5"/>
        <v>0.7004421119424592</v>
      </c>
      <c r="DL9" s="226">
        <f t="shared" si="5"/>
        <v>0.72180082963274261</v>
      </c>
      <c r="DM9" s="226">
        <f t="shared" si="5"/>
        <v>0.7429476105368874</v>
      </c>
      <c r="DN9" s="226">
        <f t="shared" si="5"/>
        <v>0.85538906674107151</v>
      </c>
      <c r="DO9" s="226">
        <f t="shared" si="5"/>
        <v>0.90159467923544634</v>
      </c>
      <c r="DP9" s="226">
        <f t="shared" si="5"/>
        <v>1.1248920735482331</v>
      </c>
      <c r="DQ9" s="226">
        <f t="shared" si="5"/>
        <v>1.1462557348766613</v>
      </c>
      <c r="DR9" s="226">
        <f t="shared" si="5"/>
        <v>1.6118820333881809</v>
      </c>
      <c r="DS9" s="226">
        <f t="shared" si="5"/>
        <v>2.1108597487369787</v>
      </c>
      <c r="DT9" s="226">
        <f t="shared" si="6"/>
        <v>2.2785291657068032</v>
      </c>
      <c r="DU9" s="226">
        <f t="shared" si="6"/>
        <v>2.3927093909668544</v>
      </c>
      <c r="DV9" s="226">
        <f t="shared" si="6"/>
        <v>3.2383219859933448</v>
      </c>
      <c r="DW9" s="226">
        <f t="shared" si="6"/>
        <v>3.5585964832761565</v>
      </c>
      <c r="DX9" s="226">
        <f t="shared" si="6"/>
        <v>4.35347765083183</v>
      </c>
      <c r="DY9" s="226">
        <f t="shared" si="6"/>
        <v>4.7696634241167351</v>
      </c>
      <c r="DZ9" s="226">
        <f t="shared" si="6"/>
        <v>6.7225796235547701</v>
      </c>
      <c r="EA9" s="226">
        <f t="shared" si="6"/>
        <v>6.7640153755174452</v>
      </c>
      <c r="EB9" s="226">
        <f t="shared" si="6"/>
        <v>20.550231000879112</v>
      </c>
      <c r="EC9" s="226">
        <f t="shared" si="6"/>
        <v>21.822867513611616</v>
      </c>
      <c r="EF9" s="226">
        <f t="shared" si="11"/>
        <v>26.437230889777542</v>
      </c>
      <c r="EG9" s="226">
        <f t="shared" si="12"/>
        <v>1.4366797740599522</v>
      </c>
      <c r="EH9" s="226">
        <f t="shared" si="13"/>
        <v>1.542086012755018</v>
      </c>
      <c r="EI9" s="226">
        <f t="shared" si="14"/>
        <v>1.195202565555411</v>
      </c>
      <c r="EJ9" s="226">
        <f t="shared" si="15"/>
        <v>1.0450622900685722</v>
      </c>
      <c r="EK9" s="226">
        <f t="shared" si="16"/>
        <v>1.1248282506539595</v>
      </c>
      <c r="EL9" s="226">
        <f t="shared" si="17"/>
        <v>1.0428841236496047</v>
      </c>
      <c r="EM9" s="226">
        <f t="shared" si="18"/>
        <v>1.3072043927945847</v>
      </c>
      <c r="EN9" s="226">
        <f t="shared" si="19"/>
        <v>1.1351260729613735</v>
      </c>
      <c r="EO9" s="226">
        <f t="shared" si="20"/>
        <v>1.5229306464124723</v>
      </c>
      <c r="EP9" s="226">
        <f t="shared" si="21"/>
        <v>1.2108942767367585</v>
      </c>
      <c r="EQ9" s="226">
        <f t="shared" si="22"/>
        <v>1.2117832914237727</v>
      </c>
      <c r="ER9" s="226">
        <f t="shared" si="23"/>
        <v>1.0685437252144971</v>
      </c>
      <c r="ES9" s="226">
        <f t="shared" si="24"/>
        <v>1.3391967515323768</v>
      </c>
      <c r="ET9" s="226">
        <f t="shared" si="25"/>
        <v>1.3393046314637018</v>
      </c>
      <c r="EU9" s="226">
        <f t="shared" si="26"/>
        <v>1.1574534384473147</v>
      </c>
      <c r="EV9" s="226">
        <f t="shared" si="27"/>
        <v>1.0311580367411677</v>
      </c>
      <c r="EW9" s="226">
        <f t="shared" si="28"/>
        <v>1.1515821479501958</v>
      </c>
      <c r="EX9" s="226">
        <f t="shared" si="29"/>
        <v>1.2096771950651288</v>
      </c>
      <c r="EY9" s="226">
        <f t="shared" si="30"/>
        <v>1.0003112774873091</v>
      </c>
      <c r="EZ9" s="226">
        <f t="shared" si="31"/>
        <v>1.0425168164745278</v>
      </c>
      <c r="FA9" s="226">
        <f t="shared" si="32"/>
        <v>1.007618349326332</v>
      </c>
      <c r="FB9" s="226">
        <f t="shared" si="33"/>
        <v>1.4379504391698927</v>
      </c>
      <c r="FC9" s="226">
        <f t="shared" si="34"/>
        <v>1.1448233177865956</v>
      </c>
      <c r="FD9" s="226">
        <f t="shared" si="35"/>
        <v>1.0211463142011081</v>
      </c>
      <c r="FE9" s="226">
        <f t="shared" si="36"/>
        <v>1.4550873484062405</v>
      </c>
      <c r="FF9" s="226">
        <f t="shared" si="37"/>
        <v>1.1094968470884374</v>
      </c>
      <c r="FG9" s="226">
        <f t="shared" si="38"/>
        <v>1.057920218255038</v>
      </c>
      <c r="FH9" s="226">
        <f t="shared" si="39"/>
        <v>1.062233229245001</v>
      </c>
      <c r="FI9" s="226">
        <f t="shared" si="40"/>
        <v>1.3478654228141536</v>
      </c>
      <c r="FJ9" s="226">
        <f t="shared" si="41"/>
        <v>1.1087706629741321</v>
      </c>
      <c r="FK9" s="226">
        <f t="shared" si="42"/>
        <v>1.0304931946924945</v>
      </c>
      <c r="FL9" s="226">
        <f t="shared" si="43"/>
        <v>1.0292972521448949</v>
      </c>
      <c r="FM9" s="226">
        <f t="shared" si="44"/>
        <v>1.1513450674172421</v>
      </c>
      <c r="FN9" s="226">
        <f t="shared" si="45"/>
        <v>1.0540170716354986</v>
      </c>
      <c r="FO9" s="226">
        <f t="shared" si="46"/>
        <v>1.2476693789964945</v>
      </c>
      <c r="FP9" s="226">
        <f t="shared" si="47"/>
        <v>1.0189917431465592</v>
      </c>
      <c r="FQ9" s="226">
        <f t="shared" si="48"/>
        <v>1.4062150219572263</v>
      </c>
      <c r="FR9" s="226">
        <f t="shared" si="49"/>
        <v>1.3095621794976802</v>
      </c>
      <c r="FS9" s="226">
        <f t="shared" si="50"/>
        <v>1.0794318130658129</v>
      </c>
      <c r="FT9" s="226">
        <f t="shared" si="51"/>
        <v>1.0501113731518255</v>
      </c>
      <c r="FU9" s="226">
        <f t="shared" si="52"/>
        <v>1.3534121603814127</v>
      </c>
      <c r="FV9" s="226">
        <f t="shared" si="53"/>
        <v>1.098901375054145</v>
      </c>
      <c r="FW9" s="226">
        <f t="shared" si="54"/>
        <v>1.2233692893508064</v>
      </c>
      <c r="FX9" s="226">
        <f t="shared" si="55"/>
        <v>1.0955984632665756</v>
      </c>
      <c r="FY9" s="226">
        <f t="shared" si="56"/>
        <v>1.4094452848734675</v>
      </c>
      <c r="FZ9" s="226">
        <f t="shared" si="57"/>
        <v>1.0061636684551107</v>
      </c>
      <c r="GA9" s="226">
        <f t="shared" si="58"/>
        <v>3.0381703559192492</v>
      </c>
      <c r="GB9" s="226">
        <f t="shared" si="59"/>
        <v>1.0619280879459732</v>
      </c>
    </row>
    <row r="10" spans="1:184" ht="15.75" thickBot="1" x14ac:dyDescent="0.3">
      <c r="A10" s="641"/>
      <c r="B10" s="635"/>
      <c r="C10" s="636" t="s">
        <v>395</v>
      </c>
      <c r="D10" s="637"/>
      <c r="E10" s="638"/>
      <c r="G10" s="595"/>
      <c r="J10" s="646"/>
      <c r="L10" s="226"/>
      <c r="M10" s="226"/>
      <c r="N10" s="226"/>
      <c r="O10" s="226"/>
      <c r="P10" s="226"/>
      <c r="Q10" s="226"/>
      <c r="R10" s="563"/>
      <c r="S10" s="563"/>
      <c r="T10" s="563"/>
      <c r="U10" s="570"/>
      <c r="V10" s="570"/>
      <c r="W10" s="226"/>
      <c r="X10" s="255"/>
      <c r="Y10" s="563"/>
      <c r="Z10" s="563"/>
      <c r="AA10" s="563"/>
      <c r="AB10" s="563"/>
      <c r="AC10" s="563"/>
      <c r="AF10" s="242"/>
      <c r="AG10" s="242"/>
      <c r="AH10" s="242"/>
      <c r="AI10" s="242"/>
      <c r="AJ10" s="242"/>
      <c r="AK10" s="242"/>
      <c r="AL10" s="242"/>
      <c r="AM10" s="242"/>
      <c r="AN10" s="242"/>
      <c r="AO10" s="242"/>
      <c r="AP10" s="242"/>
      <c r="AQ10" s="242"/>
      <c r="AR10" s="242"/>
      <c r="AS10" s="242"/>
      <c r="AT10" s="242"/>
      <c r="AU10" s="242"/>
      <c r="AV10" s="242"/>
      <c r="AW10" s="242"/>
      <c r="AX10" s="242"/>
      <c r="AY10" s="242"/>
      <c r="AZ10" s="242"/>
      <c r="BA10" s="242"/>
      <c r="BB10" s="242"/>
      <c r="BC10" s="242"/>
      <c r="BD10" s="242"/>
      <c r="BE10" s="242"/>
      <c r="BF10" s="242"/>
      <c r="BG10" s="242"/>
      <c r="BH10" s="242"/>
      <c r="BI10" s="242"/>
      <c r="BJ10" s="242"/>
      <c r="BK10" s="242"/>
      <c r="BL10" s="242"/>
      <c r="BM10" s="242"/>
      <c r="BN10" s="242"/>
      <c r="BO10" s="242"/>
      <c r="BP10" s="242"/>
      <c r="BQ10" s="242"/>
      <c r="BR10" s="242"/>
      <c r="BS10" s="242"/>
      <c r="BT10" s="242"/>
      <c r="BU10" s="242"/>
      <c r="BV10" s="242"/>
      <c r="BW10" s="242"/>
      <c r="BX10" s="242"/>
      <c r="BY10" s="242"/>
      <c r="BZ10" s="242"/>
      <c r="CA10" s="242"/>
      <c r="CB10" s="242"/>
      <c r="CC10" s="242"/>
      <c r="CD10" s="242"/>
    </row>
    <row r="11" spans="1:184" ht="15.75" thickBot="1" x14ac:dyDescent="0.3">
      <c r="A11" s="639">
        <v>0.3</v>
      </c>
      <c r="B11" s="633" t="s">
        <v>391</v>
      </c>
      <c r="C11" s="235">
        <v>0.1</v>
      </c>
      <c r="D11" s="234" t="s">
        <v>88</v>
      </c>
      <c r="E11" s="225" t="s">
        <v>89</v>
      </c>
      <c r="G11" s="595" t="s">
        <v>386</v>
      </c>
      <c r="H11" s="224" t="s">
        <v>389</v>
      </c>
      <c r="J11" s="646"/>
      <c r="L11" s="226">
        <f t="shared" ref="L11:P13" si="60">QUARTILE($AF11:$CC11,L$2)</f>
        <v>-0.35183241381241775</v>
      </c>
      <c r="M11" s="226">
        <f t="shared" si="60"/>
        <v>-1.8842125815271336E-3</v>
      </c>
      <c r="N11" s="226">
        <f t="shared" si="60"/>
        <v>1.0130534744598491E-2</v>
      </c>
      <c r="O11" s="226">
        <f t="shared" si="60"/>
        <v>3.3428511007341392E-2</v>
      </c>
      <c r="P11" s="226">
        <f t="shared" si="60"/>
        <v>0.19180528907240227</v>
      </c>
      <c r="Q11" s="226"/>
      <c r="R11" s="573">
        <f t="shared" ref="R11:R13" si="61">(T11-S11)^2</f>
        <v>1.5882900492556174E-9</v>
      </c>
      <c r="S11" s="563">
        <f>(U11-1)/LN(U11)</f>
        <v>7.7581094717970931</v>
      </c>
      <c r="T11" s="563">
        <f t="array" ref="T11">((AVERAGE(IF(ABS(AF11:CC11)&lt;AC11,ABS(AF11:CC11)))-MIN(IF(ABS(AF11:CC11)&lt;AC11,ABS(AF11:CC11))))/(MAX(IF(ABS(AF11:CC11)&lt;AC11,ABS(AF11:CC11)))-MIN(IF(ABS(AF11:CC11)&lt;AC11,ABS(AF11:CC11)))))^(-3/2)</f>
        <v>7.758149325153906</v>
      </c>
      <c r="U11" s="570">
        <v>26.39308354104994</v>
      </c>
      <c r="V11" s="570">
        <f>AVERAGE(AF11:CC11)</f>
        <v>2.8910685416336009E-3</v>
      </c>
      <c r="W11" s="226"/>
      <c r="X11" s="255"/>
      <c r="Y11" s="565">
        <f>AA11-$X$1*$W$1*(O11-M11)</f>
        <v>-0.10593817076660558</v>
      </c>
      <c r="Z11" s="566">
        <f>AA11-$W$1*(O11-M11)</f>
        <v>-5.2969085383302791E-2</v>
      </c>
      <c r="AA11" s="565">
        <v>0</v>
      </c>
      <c r="AB11" s="566">
        <f>AA11+$W$1*(O11-M11)</f>
        <v>5.2969085383302791E-2</v>
      </c>
      <c r="AC11" s="565">
        <f>AA11+$X$1*$W$1*(O11-M11)</f>
        <v>0.10593817076660558</v>
      </c>
      <c r="AF11" s="242">
        <f>'MD-data'!E91/'MD-data'!E36</f>
        <v>3.9771320631611089E-2</v>
      </c>
      <c r="AG11" s="242">
        <f>'MD-data'!G91/'MD-data'!G36</f>
        <v>5.0545593877095295E-3</v>
      </c>
      <c r="AH11" s="242">
        <f>'MD-data'!I91/'MD-data'!I36</f>
        <v>-7.1780846799521777E-2</v>
      </c>
      <c r="AI11" s="242">
        <f>'MD-data'!K91/'MD-data'!K36</f>
        <v>1.4064623540212824E-3</v>
      </c>
      <c r="AJ11" s="242">
        <f>'MD-data'!M91/'MD-data'!M36</f>
        <v>0.10804595696221217</v>
      </c>
      <c r="AK11" s="242">
        <f>'MD-data'!O91/'MD-data'!O36</f>
        <v>-0.22678000501540785</v>
      </c>
      <c r="AL11" s="242">
        <f>'MD-data'!Q91/'MD-data'!Q36</f>
        <v>4.5479779058951678E-3</v>
      </c>
      <c r="AM11" s="242">
        <f>'MD-data'!S91/'MD-data'!S36</f>
        <v>2.3644506568582212E-2</v>
      </c>
      <c r="AN11" s="242">
        <f>'MD-data'!U91/'MD-data'!U36</f>
        <v>1.3257768156570043E-2</v>
      </c>
      <c r="AO11" s="242">
        <f>'MD-data'!W91/'MD-data'!W36</f>
        <v>-3.8034457665752461E-2</v>
      </c>
      <c r="AP11" s="242">
        <f>'MD-data'!Y91/'MD-data'!Y36</f>
        <v>2.4233013040652896E-4</v>
      </c>
      <c r="AQ11" s="242">
        <f>'MD-data'!AA91/'MD-data'!AA36</f>
        <v>2.7557531625526828E-2</v>
      </c>
      <c r="AR11" s="242">
        <f>'MD-data'!AC91/'MD-data'!AC36</f>
        <v>0.12147137290342118</v>
      </c>
      <c r="AS11" s="242">
        <f>'MD-data'!AE91/'MD-data'!AE36</f>
        <v>-0.33426580465802469</v>
      </c>
      <c r="AT11" s="242">
        <f>'MD-data'!AG91/'MD-data'!AG36</f>
        <v>3.6011775681040303E-2</v>
      </c>
      <c r="AU11" s="242">
        <f>'MD-data'!AI91/'MD-data'!AI36</f>
        <v>-2.2963049694212659E-2</v>
      </c>
      <c r="AV11" s="242">
        <f>'MD-data'!AK91/'MD-data'!AK36</f>
        <v>2.9631930608322785E-2</v>
      </c>
      <c r="AW11" s="242">
        <f>'MD-data'!AM91/'MD-data'!AM36</f>
        <v>2.3128096234855844E-2</v>
      </c>
      <c r="AX11" s="242">
        <f>'MD-data'!AO91/'MD-data'!AO36</f>
        <v>7.619213386248695E-4</v>
      </c>
      <c r="AY11" s="242">
        <f>'MD-data'!AQ91/'MD-data'!AQ36</f>
        <v>2.2898541151240826E-3</v>
      </c>
      <c r="AZ11" s="242">
        <f>'MD-data'!AS91/'MD-data'!AS36</f>
        <v>1.1977734642949732E-3</v>
      </c>
      <c r="BA11" s="242">
        <f>'MD-data'!AU91/'MD-data'!AU36</f>
        <v>0.19180528907240227</v>
      </c>
      <c r="BB11" s="242">
        <f>'MD-data'!AW91/'MD-data'!AW36</f>
        <v>-7.5588327047068169E-3</v>
      </c>
      <c r="BC11" s="242">
        <f>'MD-data'!AY91/'MD-data'!AY36</f>
        <v>1.2449642189751265E-2</v>
      </c>
      <c r="BD11" s="242">
        <f>'MD-data'!BA91/'MD-data'!BA36</f>
        <v>-0.2631627091095568</v>
      </c>
      <c r="BE11" s="242">
        <f>'MD-data'!BC91/'MD-data'!BC36</f>
        <v>5.3229923941899258E-3</v>
      </c>
      <c r="BF11" s="242">
        <f>'MD-data'!BE91/'MD-data'!BE36</f>
        <v>0.11867564056851122</v>
      </c>
      <c r="BG11" s="242">
        <f>'MD-data'!BG91/'MD-data'!BG36</f>
        <v>-2.093035823149372E-2</v>
      </c>
      <c r="BH11" s="242">
        <f>'MD-data'!BI91/'MD-data'!BI36</f>
        <v>3.4694037807014258E-2</v>
      </c>
      <c r="BI11" s="242">
        <f>'MD-data'!BL91/'MD-data'!BL36</f>
        <v>9.2756692514485567E-3</v>
      </c>
      <c r="BJ11" s="242">
        <f>'MD-data'!BM91/'MD-data'!BM36</f>
        <v>0.17463493515402959</v>
      </c>
      <c r="BK11" s="242">
        <f>'MD-data'!BO91/'MD-data'!BO36</f>
        <v>1.1210190105200759E-3</v>
      </c>
      <c r="BL11" s="242">
        <f>'MD-data'!BQ91/'MD-data'!BQ36</f>
        <v>1.9179271757973768E-2</v>
      </c>
      <c r="BM11" s="242">
        <f>'MD-data'!BS91/'MD-data'!BS36</f>
        <v>6.8130450556981415E-2</v>
      </c>
      <c r="BN11" s="242">
        <f>'MD-data'!BU91/'MD-data'!BU36</f>
        <v>3.5352203501318034E-2</v>
      </c>
      <c r="BO11" s="242">
        <f>'MD-data'!BW91/'MD-data'!BW36</f>
        <v>1.8077766726414122E-2</v>
      </c>
      <c r="BP11" s="242">
        <f>'MD-data'!BY91/'MD-data'!BY36</f>
        <v>0.16374353062327529</v>
      </c>
      <c r="BQ11" s="242">
        <f>'MD-data'!CA91/'MD-data'!CA36</f>
        <v>-3.4540245838514455E-3</v>
      </c>
      <c r="BR11" s="242">
        <f>'MD-data'!CC91/'MD-data'!CC36</f>
        <v>4.4430657945973062E-2</v>
      </c>
      <c r="BS11" s="242">
        <f>'MD-data'!CE91/'MD-data'!CE36</f>
        <v>-4.5976709260167579E-3</v>
      </c>
      <c r="BT11" s="242">
        <f>'MD-data'!CG91/'MD-data'!CG36</f>
        <v>0.10816894152787493</v>
      </c>
      <c r="BU11" s="242">
        <f>'MD-data'!CI91/'MD-data'!CI36</f>
        <v>1.517264458482535E-2</v>
      </c>
      <c r="BV11" s="242">
        <f>'MD-data'!CK91/'MD-data'!CK36</f>
        <v>1.0985400237748423E-2</v>
      </c>
      <c r="BW11" s="242">
        <f>'MD-data'!CM91/'MD-data'!CM36</f>
        <v>2.8762638831346618E-3</v>
      </c>
      <c r="BX11" s="242">
        <f>'MD-data'!CO91/'MD-data'!CO36</f>
        <v>-0.35183241381241775</v>
      </c>
      <c r="BY11" s="242">
        <f>'MD-data'!CQ91/'MD-data'!CQ36</f>
        <v>-2.5930601521716879E-3</v>
      </c>
      <c r="BZ11" s="242">
        <f>'MD-data'!CS91/'MD-data'!CS36</f>
        <v>1.3187979994811682E-2</v>
      </c>
      <c r="CA11" s="242">
        <f>'MD-data'!CU91/'MD-data'!CU36</f>
        <v>2.6327940567052989E-2</v>
      </c>
      <c r="CB11" s="242">
        <f>'MD-data'!CW91/'MD-data'!CW36</f>
        <v>-2.1749818636905928E-2</v>
      </c>
      <c r="CC11" s="242">
        <f>'MD-data'!CY91/'MD-data'!CY36</f>
        <v>2.6230636482505783E-3</v>
      </c>
      <c r="CD11" s="242"/>
      <c r="CF11" s="226">
        <f t="array" ref="CF11">SMALL(ABS($AF11:$CC11),CF$1)</f>
        <v>2.4233013040652896E-4</v>
      </c>
      <c r="CG11" s="226">
        <f t="array" ref="CG11">SMALL(ABS($AF11:$CC11),CG$1)</f>
        <v>7.619213386248695E-4</v>
      </c>
      <c r="CH11" s="226">
        <f t="array" ref="CH11">SMALL(ABS($AF11:$CC11),CH$1)</f>
        <v>1.1210190105200759E-3</v>
      </c>
      <c r="CI11" s="226">
        <f t="array" ref="CI11">SMALL(ABS($AF11:$CC11),CI$1)</f>
        <v>1.1977734642949732E-3</v>
      </c>
      <c r="CJ11" s="226">
        <f t="array" ref="CJ11">SMALL(ABS($AF11:$CC11),CJ$1)</f>
        <v>1.4064623540212824E-3</v>
      </c>
      <c r="CK11" s="226">
        <f t="array" ref="CK11">SMALL(ABS($AF11:$CC11),CK$1)</f>
        <v>2.2898541151240826E-3</v>
      </c>
      <c r="CL11" s="226">
        <f t="array" ref="CL11">SMALL(ABS($AF11:$CC11),CL$1)</f>
        <v>2.5930601521716879E-3</v>
      </c>
      <c r="CM11" s="226">
        <f t="array" ref="CM11">SMALL(ABS($AF11:$CC11),CM$1)</f>
        <v>2.6230636482505783E-3</v>
      </c>
      <c r="CN11" s="226">
        <f t="array" ref="CN11">SMALL(ABS($AF11:$CC11),CN$1)</f>
        <v>2.8762638831346618E-3</v>
      </c>
      <c r="CO11" s="226">
        <f t="array" ref="CO11">SMALL(ABS($AF11:$CC11),CO$1)</f>
        <v>3.4540245838514455E-3</v>
      </c>
      <c r="CP11" s="226">
        <f t="array" ref="CP11">SMALL(ABS($AF11:$CC11),CP$1)</f>
        <v>4.5479779058951678E-3</v>
      </c>
      <c r="CQ11" s="226">
        <f t="array" ref="CQ11">SMALL(ABS($AF11:$CC11),CQ$1)</f>
        <v>4.5976709260167579E-3</v>
      </c>
      <c r="CR11" s="226">
        <f t="array" ref="CR11">SMALL(ABS($AF11:$CC11),CR$1)</f>
        <v>5.0545593877095295E-3</v>
      </c>
      <c r="CS11" s="226">
        <f t="array" ref="CS11">SMALL(ABS($AF11:$CC11),CS$1)</f>
        <v>5.3229923941899258E-3</v>
      </c>
      <c r="CT11" s="226">
        <f t="array" ref="CT11">SMALL(ABS($AF11:$CC11),CT$1)</f>
        <v>7.5588327047068169E-3</v>
      </c>
      <c r="CU11" s="226">
        <f t="array" ref="CU11">SMALL(ABS($AF11:$CC11),CU$1)</f>
        <v>9.2756692514485567E-3</v>
      </c>
      <c r="CV11" s="226">
        <f t="array" ref="CV11">SMALL(ABS($AF11:$CC11),CV$1)</f>
        <v>1.0985400237748423E-2</v>
      </c>
      <c r="CW11" s="226">
        <f t="array" ref="CW11">SMALL(ABS($AF11:$CC11),CW$1)</f>
        <v>1.2449642189751265E-2</v>
      </c>
      <c r="CX11" s="226">
        <f t="array" ref="CX11">SMALL(ABS($AF11:$CC11),CX$1)</f>
        <v>1.3187979994811682E-2</v>
      </c>
      <c r="CY11" s="226">
        <f t="array" ref="CY11">SMALL(ABS($AF11:$CC11),CY$1)</f>
        <v>1.3257768156570043E-2</v>
      </c>
      <c r="CZ11" s="226">
        <f t="array" ref="CZ11">SMALL(ABS($AF11:$CC11),CZ$1)</f>
        <v>1.517264458482535E-2</v>
      </c>
      <c r="DA11" s="226">
        <f t="array" ref="DA11">SMALL(ABS($AF11:$CC11),DA$1)</f>
        <v>1.8077766726414122E-2</v>
      </c>
      <c r="DB11" s="226">
        <f t="array" ref="DB11">SMALL(ABS($AF11:$CC11),DB$1)</f>
        <v>1.9179271757973768E-2</v>
      </c>
      <c r="DC11" s="226">
        <f t="array" ref="DC11">SMALL(ABS($AF11:$CC11),DC$1)</f>
        <v>2.093035823149372E-2</v>
      </c>
      <c r="DD11" s="226">
        <f t="array" ref="DD11">SMALL(ABS($AF11:$CC11),DD$1)</f>
        <v>2.1749818636905928E-2</v>
      </c>
      <c r="DE11" s="226">
        <f t="array" ref="DE11">SMALL(ABS($AF11:$CC11),DE$1)</f>
        <v>2.2963049694212659E-2</v>
      </c>
      <c r="DF11" s="226">
        <f t="array" ref="DF11">SMALL(ABS($AF11:$CC11),DF$1)</f>
        <v>2.3128096234855844E-2</v>
      </c>
      <c r="DG11" s="226">
        <f t="array" ref="DG11">SMALL(ABS($AF11:$CC11),DG$1)</f>
        <v>2.3644506568582212E-2</v>
      </c>
      <c r="DH11" s="226">
        <f t="array" ref="DH11">SMALL(ABS($AF11:$CC11),DH$1)</f>
        <v>2.6327940567052989E-2</v>
      </c>
      <c r="DI11" s="226">
        <f t="array" ref="DI11">SMALL(ABS($AF11:$CC11),DI$1)</f>
        <v>2.7557531625526828E-2</v>
      </c>
      <c r="DJ11" s="226">
        <f t="array" ref="DJ11">SMALL(ABS($AF11:$CC11),DJ$1)</f>
        <v>2.9631930608322785E-2</v>
      </c>
      <c r="DK11" s="226">
        <f t="array" ref="DK11">SMALL(ABS($AF11:$CC11),DK$1)</f>
        <v>3.4694037807014258E-2</v>
      </c>
      <c r="DL11" s="226">
        <f t="array" ref="DL11">SMALL(ABS($AF11:$CC11),DL$1)</f>
        <v>3.5352203501318034E-2</v>
      </c>
      <c r="DM11" s="226">
        <f t="array" ref="DM11">SMALL(ABS($AF11:$CC11),DM$1)</f>
        <v>3.6011775681040303E-2</v>
      </c>
      <c r="DN11" s="226">
        <f t="array" ref="DN11">SMALL(ABS($AF11:$CC11),DN$1)</f>
        <v>3.8034457665752461E-2</v>
      </c>
      <c r="DO11" s="226">
        <f t="array" ref="DO11">SMALL(ABS($AF11:$CC11),DO$1)</f>
        <v>3.9771320631611089E-2</v>
      </c>
      <c r="DP11" s="226">
        <f t="array" ref="DP11">SMALL(ABS($AF11:$CC11),DP$1)</f>
        <v>4.4430657945973062E-2</v>
      </c>
      <c r="DQ11" s="226">
        <f t="array" ref="DQ11">SMALL(ABS($AF11:$CC11),DQ$1)</f>
        <v>6.8130450556981415E-2</v>
      </c>
      <c r="DR11" s="226">
        <f t="array" ref="DR11">SMALL(ABS($AF11:$CC11),DR$1)</f>
        <v>7.1780846799521777E-2</v>
      </c>
      <c r="DS11" s="226">
        <f t="array" ref="DS11">SMALL(ABS($AF11:$CC11),DS$1)</f>
        <v>0.10804595696221217</v>
      </c>
      <c r="DT11" s="226">
        <f t="array" ref="DT11">SMALL(ABS($AF11:$CC11),DT$1)</f>
        <v>0.10816894152787493</v>
      </c>
      <c r="DU11" s="226">
        <f t="array" ref="DU11">SMALL(ABS($AF11:$CC11),DU$1)</f>
        <v>0.11867564056851122</v>
      </c>
      <c r="DV11" s="226">
        <f t="array" ref="DV11">SMALL(ABS($AF11:$CC11),DV$1)</f>
        <v>0.12147137290342118</v>
      </c>
      <c r="DW11" s="226">
        <f t="array" ref="DW11">SMALL(ABS($AF11:$CC11),DW$1)</f>
        <v>0.16374353062327529</v>
      </c>
      <c r="DX11" s="226">
        <f t="array" ref="DX11">SMALL(ABS($AF11:$CC11),DX$1)</f>
        <v>0.17463493515402959</v>
      </c>
      <c r="DY11" s="226">
        <f t="array" ref="DY11">SMALL(ABS($AF11:$CC11),DY$1)</f>
        <v>0.19180528907240227</v>
      </c>
      <c r="DZ11" s="226">
        <f t="array" ref="DZ11">SMALL(ABS($AF11:$CC11),DZ$1)</f>
        <v>0.22678000501540785</v>
      </c>
      <c r="EA11" s="226">
        <f t="array" ref="EA11">SMALL(ABS($AF11:$CC11),EA$1)</f>
        <v>0.2631627091095568</v>
      </c>
      <c r="EB11" s="226">
        <f t="array" ref="EB11">SMALL(ABS($AF11:$CC11),EB$1)</f>
        <v>0.33426580465802469</v>
      </c>
      <c r="EC11" s="226">
        <f t="array" ref="EC11">SMALL(ABS($AF11:$CC11),EC$1)</f>
        <v>0.35183241381241775</v>
      </c>
      <c r="EF11" s="226">
        <f t="shared" ref="EF11:EF13" si="62">IFERROR(CG11/CF11,"")</f>
        <v>3.1441461173098162</v>
      </c>
      <c r="EG11" s="226">
        <f t="shared" ref="EG11:EG13" si="63">IFERROR(CH11/CG11,"")</f>
        <v>1.4713054401958514</v>
      </c>
      <c r="EH11" s="226">
        <f t="shared" ref="EH11:EH13" si="64">IFERROR(CI11/CH11,"")</f>
        <v>1.0684684675769134</v>
      </c>
      <c r="EI11" s="226">
        <f t="shared" ref="EI11:EI13" si="65">IFERROR(CJ11/CI11,"")</f>
        <v>1.1742306838039249</v>
      </c>
      <c r="EJ11" s="226">
        <f t="shared" ref="EJ11:EJ13" si="66">IFERROR(CK11/CJ11,"")</f>
        <v>1.6280948498742633</v>
      </c>
      <c r="EK11" s="226">
        <f t="shared" ref="EK11:EK13" si="67">IFERROR(CL11/CK11,"")</f>
        <v>1.1324128183734425</v>
      </c>
      <c r="EL11" s="226">
        <f t="shared" ref="EL11:EL13" si="68">IFERROR(CM11/CL11,"")</f>
        <v>1.0115706903496868</v>
      </c>
      <c r="EM11" s="226">
        <f t="shared" ref="EM11:EM13" si="69">IFERROR(CN11/CM11,"")</f>
        <v>1.0965284372923823</v>
      </c>
      <c r="EN11" s="226">
        <f t="shared" ref="EN11:EN13" si="70">IFERROR(CO11/CN11,"")</f>
        <v>1.2008719381085153</v>
      </c>
      <c r="EO11" s="226">
        <f t="shared" ref="EO11:EO13" si="71">IFERROR(CP11/CO11,"")</f>
        <v>1.3167184527748492</v>
      </c>
      <c r="EP11" s="226">
        <f t="shared" ref="EP11:EP13" si="72">IFERROR(CQ11/CP11,"")</f>
        <v>1.0109263987534278</v>
      </c>
      <c r="EQ11" s="226">
        <f t="shared" ref="EQ11:EQ13" si="73">IFERROR(CR11/CQ11,"")</f>
        <v>1.099373893661546</v>
      </c>
      <c r="ER11" s="226">
        <f t="shared" ref="ER11:ER13" si="74">IFERROR(CS11/CR11,"")</f>
        <v>1.0531071030905499</v>
      </c>
      <c r="ES11" s="226">
        <f t="shared" ref="ES11:ES13" si="75">IFERROR(CT11/CS11,"")</f>
        <v>1.4200344740220412</v>
      </c>
      <c r="ET11" s="226">
        <f t="shared" ref="ET11:ET13" si="76">IFERROR(CU11/CT11,"")</f>
        <v>1.2271298511042164</v>
      </c>
      <c r="EU11" s="226">
        <f t="shared" ref="EU11:EU13" si="77">IFERROR(CV11/CU11,"")</f>
        <v>1.1843242724542882</v>
      </c>
      <c r="EV11" s="226">
        <f t="shared" ref="EV11:EV13" si="78">IFERROR(CW11/CV11,"")</f>
        <v>1.1332898137813279</v>
      </c>
      <c r="EW11" s="226">
        <f t="shared" ref="EW11:EW13" si="79">IFERROR(CX11/CW11,"")</f>
        <v>1.0593059458100913</v>
      </c>
      <c r="EX11" s="226">
        <f t="shared" ref="EX11:EX13" si="80">IFERROR(CY11/CX11,"")</f>
        <v>1.0052918006992593</v>
      </c>
      <c r="EY11" s="226">
        <f t="shared" ref="EY11:EY13" si="81">IFERROR(CZ11/CY11,"")</f>
        <v>1.1444342973599495</v>
      </c>
      <c r="EZ11" s="226">
        <f t="shared" ref="EZ11:EZ13" si="82">IFERROR(DA11/CZ11,"")</f>
        <v>1.1914710468137029</v>
      </c>
      <c r="FA11" s="226">
        <f t="shared" ref="FA11:FA13" si="83">IFERROR(DB11/DA11,"")</f>
        <v>1.0609314772244625</v>
      </c>
      <c r="FB11" s="226">
        <f t="shared" ref="FB11:FB13" si="84">IFERROR(DC11/DB11,"")</f>
        <v>1.0913009886724161</v>
      </c>
      <c r="FC11" s="226">
        <f t="shared" ref="FC11:FC13" si="85">IFERROR(DD11/DC11,"")</f>
        <v>1.0391517620648831</v>
      </c>
      <c r="FD11" s="226">
        <f t="shared" ref="FD11:FD13" si="86">IFERROR(DE11/DD11,"")</f>
        <v>1.0557812034003848</v>
      </c>
      <c r="FE11" s="226">
        <f t="shared" ref="FE11:FE13" si="87">IFERROR(DF11/DE11,"")</f>
        <v>1.0071874834937444</v>
      </c>
      <c r="FF11" s="226">
        <f t="shared" ref="FF11:FF13" si="88">IFERROR(DG11/DF11,"")</f>
        <v>1.0223282681152155</v>
      </c>
      <c r="FG11" s="226">
        <f t="shared" ref="FG11:FG13" si="89">IFERROR(DH11/DG11,"")</f>
        <v>1.1134908013701756</v>
      </c>
      <c r="FH11" s="226">
        <f t="shared" ref="FH11:FH13" si="90">IFERROR(DI11/DH11,"")</f>
        <v>1.0467028955547157</v>
      </c>
      <c r="FI11" s="226">
        <f t="shared" ref="FI11:FI13" si="91">IFERROR(DJ11/DI11,"")</f>
        <v>1.0752752100944492</v>
      </c>
      <c r="FJ11" s="226">
        <f t="shared" ref="FJ11:FJ13" si="92">IFERROR(DK11/DJ11,"")</f>
        <v>1.1708328514129844</v>
      </c>
      <c r="FK11" s="226">
        <f t="shared" ref="FK11:FK13" si="93">IFERROR(DL11/DK11,"")</f>
        <v>1.0189705706197942</v>
      </c>
      <c r="FL11" s="226">
        <f t="shared" ref="FL11:FL13" si="94">IFERROR(DM11/DL11,"")</f>
        <v>1.0186571730867549</v>
      </c>
      <c r="FM11" s="226">
        <f t="shared" ref="FM11:FM13" si="95">IFERROR(DN11/DM11,"")</f>
        <v>1.056167238256376</v>
      </c>
      <c r="FN11" s="226">
        <f t="shared" ref="FN11:FN13" si="96">IFERROR(DO11/DN11,"")</f>
        <v>1.0456655115506632</v>
      </c>
      <c r="FO11" s="226">
        <f t="shared" ref="FO11:FO13" si="97">IFERROR(DP11/DO11,"")</f>
        <v>1.1171531958297265</v>
      </c>
      <c r="FP11" s="226">
        <f t="shared" ref="FP11:FP13" si="98">IFERROR(DQ11/DP11,"")</f>
        <v>1.5334107957578955</v>
      </c>
      <c r="FQ11" s="226">
        <f t="shared" ref="FQ11:FQ13" si="99">IFERROR(DR11/DQ11,"")</f>
        <v>1.0535795112566786</v>
      </c>
      <c r="FR11" s="226">
        <f t="shared" ref="FR11:FR13" si="100">IFERROR(DS11/DR11,"")</f>
        <v>1.5052198710329507</v>
      </c>
      <c r="FS11" s="226">
        <f t="shared" ref="FS11:FS13" si="101">IFERROR(DT11/DS11,"")</f>
        <v>1.0011382616168207</v>
      </c>
      <c r="FT11" s="226">
        <f t="shared" ref="FT11:FT13" si="102">IFERROR(DU11/DT11,"")</f>
        <v>1.09713230888858</v>
      </c>
      <c r="FU11" s="226">
        <f t="shared" ref="FU11:FU13" si="103">IFERROR(DV11/DU11,"")</f>
        <v>1.0235577606450414</v>
      </c>
      <c r="FV11" s="226">
        <f t="shared" ref="FV11:FV13" si="104">IFERROR(DW11/DV11,"")</f>
        <v>1.348000987471045</v>
      </c>
      <c r="FW11" s="226">
        <f t="shared" ref="FW11:FW13" si="105">IFERROR(DX11/DW11,"")</f>
        <v>1.0665150219327575</v>
      </c>
      <c r="FX11" s="226">
        <f t="shared" ref="FX11:FX13" si="106">IFERROR(DY11/DX11,"")</f>
        <v>1.0983214149175151</v>
      </c>
      <c r="FY11" s="226">
        <f t="shared" ref="FY11:FY13" si="107">IFERROR(DZ11/DY11,"")</f>
        <v>1.1823448983714073</v>
      </c>
      <c r="FZ11" s="226">
        <f t="shared" ref="FZ11:FZ13" si="108">IFERROR(EA11/DZ11,"")</f>
        <v>1.1604317104220765</v>
      </c>
      <c r="GA11" s="226">
        <f t="shared" ref="GA11:GA13" si="109">IFERROR(EB11/EA11,"")</f>
        <v>1.2701868201199702</v>
      </c>
      <c r="GB11" s="226">
        <f t="shared" ref="GB11:GB13" si="110">IFERROR(EC11/EB11,"")</f>
        <v>1.0525528154827708</v>
      </c>
    </row>
    <row r="12" spans="1:184" ht="15.75" thickBot="1" x14ac:dyDescent="0.3">
      <c r="A12" s="640"/>
      <c r="B12" s="634"/>
      <c r="C12" s="240">
        <v>0.1</v>
      </c>
      <c r="D12" s="234" t="s">
        <v>102</v>
      </c>
      <c r="E12" s="225" t="s">
        <v>103</v>
      </c>
      <c r="G12" s="595" t="s">
        <v>386</v>
      </c>
      <c r="H12" s="224" t="s">
        <v>389</v>
      </c>
      <c r="J12" s="646"/>
      <c r="L12" s="226">
        <f t="shared" si="60"/>
        <v>-0.53068838498192017</v>
      </c>
      <c r="M12" s="226">
        <f t="shared" si="60"/>
        <v>4.7277213695454633E-4</v>
      </c>
      <c r="N12" s="226">
        <f t="shared" si="60"/>
        <v>2.3967871666112431E-2</v>
      </c>
      <c r="O12" s="226">
        <f t="shared" si="60"/>
        <v>9.6058424582195601E-2</v>
      </c>
      <c r="P12" s="226">
        <f t="shared" si="60"/>
        <v>0.9163531358253254</v>
      </c>
      <c r="Q12" s="226"/>
      <c r="R12" s="573">
        <f t="shared" si="61"/>
        <v>2.9193153920385657E-9</v>
      </c>
      <c r="S12" s="563">
        <f t="shared" ref="S12:S13" si="111">(U12-1)/LN(U12)</f>
        <v>8.9131964394550049</v>
      </c>
      <c r="T12" s="563">
        <f t="array" ref="T12">((AVERAGE(IF(ABS(AF12:CC12)&lt;AC12,ABS(AF12:CC12)))-MIN(IF(ABS(AF12:CC12)&lt;AC12,ABS(AF12:CC12))))/(MAX(IF(ABS(AF12:CC12)&lt;AC12,ABS(AF12:CC12)))-MIN(IF(ABS(AF12:CC12)&lt;AC12,ABS(AF12:CC12)))))^(-3/2)</f>
        <v>8.9131424087656512</v>
      </c>
      <c r="U12" s="570">
        <v>31.848480957203769</v>
      </c>
      <c r="V12" s="570">
        <f>AVERAGE(AF12:CC12)</f>
        <v>3.5375399888392771E-2</v>
      </c>
      <c r="W12" s="226"/>
      <c r="X12" s="255"/>
      <c r="Y12" s="565">
        <f t="shared" ref="Y12:Y13" si="112">AA12-$X$1*$W$1*(O12-M12)</f>
        <v>-0.28675695733572315</v>
      </c>
      <c r="Z12" s="566">
        <f>AA12-$W$1*(O12-M12)</f>
        <v>-0.14337847866786158</v>
      </c>
      <c r="AA12" s="565">
        <v>0</v>
      </c>
      <c r="AB12" s="566">
        <f>AA12+$W$1*(O12-M12)</f>
        <v>0.14337847866786158</v>
      </c>
      <c r="AC12" s="565">
        <f t="shared" ref="AC12:AC13" si="113">AA12+$X$1*$W$1*(O12-M12)</f>
        <v>0.28675695733572315</v>
      </c>
      <c r="AF12" s="242">
        <f>'MD-data'!E91/'MD-data'!E73</f>
        <v>4.1531323123082331E-2</v>
      </c>
      <c r="AG12" s="242">
        <f>'MD-data'!G91/'MD-data'!G73</f>
        <v>8.7254607027600784E-3</v>
      </c>
      <c r="AH12" s="242">
        <f>'MD-data'!I91/'MD-data'!I73</f>
        <v>-0.19996723365840968</v>
      </c>
      <c r="AI12" s="242">
        <f>'MD-data'!K91/'MD-data'!K73</f>
        <v>1.5611615798370312E-3</v>
      </c>
      <c r="AJ12" s="242">
        <f>'MD-data'!M91/'MD-data'!M73</f>
        <v>0.12293297974042797</v>
      </c>
      <c r="AK12" s="242">
        <f>'MD-data'!O91/'MD-data'!O73</f>
        <v>-0.28089331579548393</v>
      </c>
      <c r="AL12" s="242">
        <f>'MD-data'!Q91/'MD-data'!Q73</f>
        <v>2.9434326579330997E-2</v>
      </c>
      <c r="AM12" s="242">
        <f>'MD-data'!S91/'MD-data'!S73</f>
        <v>2.4014368883032294E-2</v>
      </c>
      <c r="AN12" s="242">
        <f>'MD-data'!U91/'MD-data'!U73</f>
        <v>1.3486223070542907E-2</v>
      </c>
      <c r="AO12" s="242">
        <f>'MD-data'!W91/'MD-data'!W73</f>
        <v>-5.0437487526666484E-2</v>
      </c>
      <c r="AP12" s="242">
        <f>'MD-data'!Y91/'MD-data'!Y73</f>
        <v>3.6022986208079455E-4</v>
      </c>
      <c r="AQ12" s="242">
        <f>'MD-data'!AA91/'MD-data'!AA73</f>
        <v>3.605232552221399E-2</v>
      </c>
      <c r="AR12" s="242">
        <f>'MD-data'!AC91/'MD-data'!AC73</f>
        <v>0.13340305519488191</v>
      </c>
      <c r="AS12" s="242">
        <f>'MD-data'!AE91/'MD-data'!AE73</f>
        <v>-0.44255160921258974</v>
      </c>
      <c r="AT12" s="242">
        <f>'MD-data'!AG91/'MD-data'!AG73</f>
        <v>0.12376723208308915</v>
      </c>
      <c r="AU12" s="242">
        <f>'MD-data'!AI91/'MD-data'!AI73</f>
        <v>-2.5550291813869787E-2</v>
      </c>
      <c r="AV12" s="242">
        <f>'MD-data'!AK91/'MD-data'!AK73</f>
        <v>3.6364064737346394E-2</v>
      </c>
      <c r="AW12" s="242">
        <f>'MD-data'!AM91/'MD-data'!AM73</f>
        <v>0.1868428870040327</v>
      </c>
      <c r="AX12" s="242">
        <f>'MD-data'!AO91/'MD-data'!AO73</f>
        <v>8.1039896157580167E-4</v>
      </c>
      <c r="AY12" s="242">
        <f>'MD-data'!AQ91/'MD-data'!AQ73</f>
        <v>3.063823979550938E-3</v>
      </c>
      <c r="AZ12" s="242">
        <f>'MD-data'!AS91/'MD-data'!AS73</f>
        <v>1.353798754876234E-3</v>
      </c>
      <c r="BA12" s="242">
        <f>'MD-data'!AU91/'MD-data'!AU73</f>
        <v>0.19381287630398789</v>
      </c>
      <c r="BB12" s="242">
        <f>'MD-data'!AW91/'MD-data'!AW73</f>
        <v>-1.2866643805375656E-2</v>
      </c>
      <c r="BC12" s="242">
        <f>'MD-data'!AY91/'MD-data'!AY73</f>
        <v>6.8730344926446807E-2</v>
      </c>
      <c r="BD12" s="242">
        <f>'MD-data'!BA91/'MD-data'!BA73</f>
        <v>0.9163531358253254</v>
      </c>
      <c r="BE12" s="242">
        <f>'MD-data'!BC91/'MD-data'!BC73</f>
        <v>0.14163345974872801</v>
      </c>
      <c r="BF12" s="242">
        <f>'MD-data'!BE91/'MD-data'!BE73</f>
        <v>0.15011125939237302</v>
      </c>
      <c r="BG12" s="242">
        <f>'MD-data'!BG91/'MD-data'!BG73</f>
        <v>-2.3373851367472869E-2</v>
      </c>
      <c r="BH12" s="242">
        <f>'MD-data'!BI91/'MD-data'!BI73</f>
        <v>4.3246756221750733E-2</v>
      </c>
      <c r="BI12" s="242">
        <f>'MD-data'!BL91/'MD-data'!BL73</f>
        <v>1.0867107661539657E-2</v>
      </c>
      <c r="BJ12" s="242">
        <f>'MD-data'!BM91/'MD-data'!BM73</f>
        <v>0.19392343608059964</v>
      </c>
      <c r="BK12" s="242">
        <f>'MD-data'!BO91/'MD-data'!BO73</f>
        <v>3.5809612550473532E-3</v>
      </c>
      <c r="BL12" s="242">
        <f>'MD-data'!BQ91/'MD-data'!BQ73</f>
        <v>0.15112763113932509</v>
      </c>
      <c r="BM12" s="242">
        <f>'MD-data'!BS91/'MD-data'!BS73</f>
        <v>9.7406439714132029E-2</v>
      </c>
      <c r="BN12" s="242">
        <f>'MD-data'!BU91/'MD-data'!BU73</f>
        <v>9.201437918638633E-2</v>
      </c>
      <c r="BO12" s="242">
        <f>'MD-data'!BW91/'MD-data'!BW73</f>
        <v>1.9049439129626543E-2</v>
      </c>
      <c r="BP12" s="242">
        <f>'MD-data'!BY91/'MD-data'!BY73</f>
        <v>0.17045993383380834</v>
      </c>
      <c r="BQ12" s="242">
        <f>'MD-data'!CA91/'MD-data'!CA73</f>
        <v>-3.4614625680610086E-3</v>
      </c>
      <c r="BR12" s="242">
        <f>'MD-data'!CC91/'MD-data'!CC73</f>
        <v>5.110021642824137E-2</v>
      </c>
      <c r="BS12" s="242">
        <f>'MD-data'!CE91/'MD-data'!CE73</f>
        <v>-4.8227782973915782E-3</v>
      </c>
      <c r="BT12" s="242">
        <f>'MD-data'!CG91/'MD-data'!CG73</f>
        <v>0.1104955638352699</v>
      </c>
      <c r="BU12" s="242">
        <f>'MD-data'!CI91/'MD-data'!CI73</f>
        <v>2.3921374449192564E-2</v>
      </c>
      <c r="BV12" s="242">
        <f>'MD-data'!CK91/'MD-data'!CK73</f>
        <v>3.7293735235084106E-2</v>
      </c>
      <c r="BW12" s="242">
        <f>'MD-data'!CM91/'MD-data'!CM73</f>
        <v>3.4120874151891628E-3</v>
      </c>
      <c r="BX12" s="242">
        <f>'MD-data'!CO91/'MD-data'!CO73</f>
        <v>-0.53068838498192017</v>
      </c>
      <c r="BY12" s="242">
        <f>'MD-data'!CQ91/'MD-data'!CQ73</f>
        <v>-5.0860206706587465E-3</v>
      </c>
      <c r="BZ12" s="242">
        <f>'MD-data'!CS91/'MD-data'!CS73</f>
        <v>7.1292876419701751E-2</v>
      </c>
      <c r="CA12" s="242">
        <f>'MD-data'!CU91/'MD-data'!CU73</f>
        <v>5.4433637011031127E-2</v>
      </c>
      <c r="CB12" s="242">
        <f>'MD-data'!CW91/'MD-data'!CW73</f>
        <v>-2.2728292603306038E-2</v>
      </c>
      <c r="CC12" s="242">
        <f>'MD-data'!CY91/'MD-data'!CY73</f>
        <v>3.2270557293959824E-3</v>
      </c>
      <c r="CD12" s="242"/>
      <c r="CF12" s="226">
        <f t="array" ref="CF12">SMALL(ABS($AF12:$CC12),CF$1)</f>
        <v>3.6022986208079455E-4</v>
      </c>
      <c r="CG12" s="226">
        <f t="array" ref="CG12">SMALL(ABS($AF12:$CC12),CG$1)</f>
        <v>8.1039896157580167E-4</v>
      </c>
      <c r="CH12" s="226">
        <f t="array" ref="CH12">SMALL(ABS($AF12:$CC12),CH$1)</f>
        <v>1.353798754876234E-3</v>
      </c>
      <c r="CI12" s="226">
        <f t="array" ref="CI12">SMALL(ABS($AF12:$CC12),CI$1)</f>
        <v>1.5611615798370312E-3</v>
      </c>
      <c r="CJ12" s="226">
        <f t="array" ref="CJ12">SMALL(ABS($AF12:$CC12),CJ$1)</f>
        <v>3.063823979550938E-3</v>
      </c>
      <c r="CK12" s="226">
        <f t="array" ref="CK12">SMALL(ABS($AF12:$CC12),CK$1)</f>
        <v>3.2270557293959824E-3</v>
      </c>
      <c r="CL12" s="226">
        <f t="array" ref="CL12">SMALL(ABS($AF12:$CC12),CL$1)</f>
        <v>3.4120874151891628E-3</v>
      </c>
      <c r="CM12" s="226">
        <f t="array" ref="CM12">SMALL(ABS($AF12:$CC12),CM$1)</f>
        <v>3.4614625680610086E-3</v>
      </c>
      <c r="CN12" s="226">
        <f t="array" ref="CN12">SMALL(ABS($AF12:$CC12),CN$1)</f>
        <v>3.5809612550473532E-3</v>
      </c>
      <c r="CO12" s="226">
        <f t="array" ref="CO12">SMALL(ABS($AF12:$CC12),CO$1)</f>
        <v>4.8227782973915782E-3</v>
      </c>
      <c r="CP12" s="226">
        <f t="array" ref="CP12">SMALL(ABS($AF12:$CC12),CP$1)</f>
        <v>5.0860206706587465E-3</v>
      </c>
      <c r="CQ12" s="226">
        <f t="array" ref="CQ12">SMALL(ABS($AF12:$CC12),CQ$1)</f>
        <v>8.7254607027600784E-3</v>
      </c>
      <c r="CR12" s="226">
        <f t="array" ref="CR12">SMALL(ABS($AF12:$CC12),CR$1)</f>
        <v>1.0867107661539657E-2</v>
      </c>
      <c r="CS12" s="226">
        <f t="array" ref="CS12">SMALL(ABS($AF12:$CC12),CS$1)</f>
        <v>1.2866643805375656E-2</v>
      </c>
      <c r="CT12" s="226">
        <f t="array" ref="CT12">SMALL(ABS($AF12:$CC12),CT$1)</f>
        <v>1.3486223070542907E-2</v>
      </c>
      <c r="CU12" s="226">
        <f t="array" ref="CU12">SMALL(ABS($AF12:$CC12),CU$1)</f>
        <v>1.9049439129626543E-2</v>
      </c>
      <c r="CV12" s="226">
        <f t="array" ref="CV12">SMALL(ABS($AF12:$CC12),CV$1)</f>
        <v>2.2728292603306038E-2</v>
      </c>
      <c r="CW12" s="226">
        <f t="array" ref="CW12">SMALL(ABS($AF12:$CC12),CW$1)</f>
        <v>2.3373851367472869E-2</v>
      </c>
      <c r="CX12" s="226">
        <f t="array" ref="CX12">SMALL(ABS($AF12:$CC12),CX$1)</f>
        <v>2.3921374449192564E-2</v>
      </c>
      <c r="CY12" s="226">
        <f t="array" ref="CY12">SMALL(ABS($AF12:$CC12),CY$1)</f>
        <v>2.4014368883032294E-2</v>
      </c>
      <c r="CZ12" s="226">
        <f t="array" ref="CZ12">SMALL(ABS($AF12:$CC12),CZ$1)</f>
        <v>2.5550291813869787E-2</v>
      </c>
      <c r="DA12" s="226">
        <f t="array" ref="DA12">SMALL(ABS($AF12:$CC12),DA$1)</f>
        <v>2.9434326579330997E-2</v>
      </c>
      <c r="DB12" s="226">
        <f t="array" ref="DB12">SMALL(ABS($AF12:$CC12),DB$1)</f>
        <v>3.605232552221399E-2</v>
      </c>
      <c r="DC12" s="226">
        <f t="array" ref="DC12">SMALL(ABS($AF12:$CC12),DC$1)</f>
        <v>3.6364064737346394E-2</v>
      </c>
      <c r="DD12" s="226">
        <f t="array" ref="DD12">SMALL(ABS($AF12:$CC12),DD$1)</f>
        <v>3.7293735235084106E-2</v>
      </c>
      <c r="DE12" s="226">
        <f t="array" ref="DE12">SMALL(ABS($AF12:$CC12),DE$1)</f>
        <v>4.1531323123082331E-2</v>
      </c>
      <c r="DF12" s="226">
        <f t="array" ref="DF12">SMALL(ABS($AF12:$CC12),DF$1)</f>
        <v>4.3246756221750733E-2</v>
      </c>
      <c r="DG12" s="226">
        <f t="array" ref="DG12">SMALL(ABS($AF12:$CC12),DG$1)</f>
        <v>5.0437487526666484E-2</v>
      </c>
      <c r="DH12" s="226">
        <f t="array" ref="DH12">SMALL(ABS($AF12:$CC12),DH$1)</f>
        <v>5.110021642824137E-2</v>
      </c>
      <c r="DI12" s="226">
        <f t="array" ref="DI12">SMALL(ABS($AF12:$CC12),DI$1)</f>
        <v>5.4433637011031127E-2</v>
      </c>
      <c r="DJ12" s="226">
        <f t="array" ref="DJ12">SMALL(ABS($AF12:$CC12),DJ$1)</f>
        <v>6.8730344926446807E-2</v>
      </c>
      <c r="DK12" s="226">
        <f t="array" ref="DK12">SMALL(ABS($AF12:$CC12),DK$1)</f>
        <v>7.1292876419701751E-2</v>
      </c>
      <c r="DL12" s="226">
        <f t="array" ref="DL12">SMALL(ABS($AF12:$CC12),DL$1)</f>
        <v>9.201437918638633E-2</v>
      </c>
      <c r="DM12" s="226">
        <f t="array" ref="DM12">SMALL(ABS($AF12:$CC12),DM$1)</f>
        <v>9.7406439714132029E-2</v>
      </c>
      <c r="DN12" s="226">
        <f t="array" ref="DN12">SMALL(ABS($AF12:$CC12),DN$1)</f>
        <v>0.1104955638352699</v>
      </c>
      <c r="DO12" s="226">
        <f t="array" ref="DO12">SMALL(ABS($AF12:$CC12),DO$1)</f>
        <v>0.12293297974042797</v>
      </c>
      <c r="DP12" s="226">
        <f t="array" ref="DP12">SMALL(ABS($AF12:$CC12),DP$1)</f>
        <v>0.12376723208308915</v>
      </c>
      <c r="DQ12" s="226">
        <f t="array" ref="DQ12">SMALL(ABS($AF12:$CC12),DQ$1)</f>
        <v>0.13340305519488191</v>
      </c>
      <c r="DR12" s="226">
        <f t="array" ref="DR12">SMALL(ABS($AF12:$CC12),DR$1)</f>
        <v>0.14163345974872801</v>
      </c>
      <c r="DS12" s="226">
        <f t="array" ref="DS12">SMALL(ABS($AF12:$CC12),DS$1)</f>
        <v>0.15011125939237302</v>
      </c>
      <c r="DT12" s="226">
        <f t="array" ref="DT12">SMALL(ABS($AF12:$CC12),DT$1)</f>
        <v>0.15112763113932509</v>
      </c>
      <c r="DU12" s="226">
        <f t="array" ref="DU12">SMALL(ABS($AF12:$CC12),DU$1)</f>
        <v>0.17045993383380834</v>
      </c>
      <c r="DV12" s="226">
        <f t="array" ref="DV12">SMALL(ABS($AF12:$CC12),DV$1)</f>
        <v>0.1868428870040327</v>
      </c>
      <c r="DW12" s="226">
        <f t="array" ref="DW12">SMALL(ABS($AF12:$CC12),DW$1)</f>
        <v>0.19381287630398789</v>
      </c>
      <c r="DX12" s="226">
        <f t="array" ref="DX12">SMALL(ABS($AF12:$CC12),DX$1)</f>
        <v>0.19392343608059964</v>
      </c>
      <c r="DY12" s="226">
        <f t="array" ref="DY12">SMALL(ABS($AF12:$CC12),DY$1)</f>
        <v>0.19996723365840968</v>
      </c>
      <c r="DZ12" s="226">
        <f t="array" ref="DZ12">SMALL(ABS($AF12:$CC12),DZ$1)</f>
        <v>0.28089331579548393</v>
      </c>
      <c r="EA12" s="226">
        <f t="array" ref="EA12">SMALL(ABS($AF12:$CC12),EA$1)</f>
        <v>0.44255160921258974</v>
      </c>
      <c r="EB12" s="226">
        <f t="array" ref="EB12">SMALL(ABS($AF12:$CC12),EB$1)</f>
        <v>0.53068838498192017</v>
      </c>
      <c r="EC12" s="226">
        <f t="array" ref="EC12">SMALL(ABS($AF12:$CC12),EC$1)</f>
        <v>0.9163531358253254</v>
      </c>
      <c r="EF12" s="226">
        <f t="shared" si="62"/>
        <v>2.2496717981532592</v>
      </c>
      <c r="EG12" s="226">
        <f t="shared" si="63"/>
        <v>1.6705336742334964</v>
      </c>
      <c r="EH12" s="226">
        <f t="shared" si="64"/>
        <v>1.1531710855944424</v>
      </c>
      <c r="EI12" s="226">
        <f t="shared" si="65"/>
        <v>1.9625284269875312</v>
      </c>
      <c r="EJ12" s="226">
        <f t="shared" si="66"/>
        <v>1.0532771304534829</v>
      </c>
      <c r="EK12" s="226">
        <f t="shared" si="67"/>
        <v>1.0573376171064184</v>
      </c>
      <c r="EL12" s="226">
        <f t="shared" si="68"/>
        <v>1.0144706588266317</v>
      </c>
      <c r="EM12" s="226">
        <f t="shared" si="69"/>
        <v>1.0345225998076539</v>
      </c>
      <c r="EN12" s="226">
        <f t="shared" si="70"/>
        <v>1.3467831551078326</v>
      </c>
      <c r="EO12" s="226">
        <f t="shared" si="71"/>
        <v>1.0545831379828394</v>
      </c>
      <c r="EP12" s="226">
        <f t="shared" si="72"/>
        <v>1.7155771216379951</v>
      </c>
      <c r="EQ12" s="226">
        <f t="shared" si="73"/>
        <v>1.2454480091924685</v>
      </c>
      <c r="ER12" s="226">
        <f t="shared" si="74"/>
        <v>1.1839989264956545</v>
      </c>
      <c r="ES12" s="226">
        <f t="shared" si="75"/>
        <v>1.0481539144581271</v>
      </c>
      <c r="ET12" s="226">
        <f t="shared" si="76"/>
        <v>1.412511051462215</v>
      </c>
      <c r="EU12" s="226">
        <f t="shared" si="77"/>
        <v>1.1931213537913552</v>
      </c>
      <c r="EV12" s="226">
        <f t="shared" si="78"/>
        <v>1.028403311037668</v>
      </c>
      <c r="EW12" s="226">
        <f t="shared" si="79"/>
        <v>1.0234245984160586</v>
      </c>
      <c r="EX12" s="226">
        <f t="shared" si="80"/>
        <v>1.003887503790271</v>
      </c>
      <c r="EY12" s="226">
        <f t="shared" si="81"/>
        <v>1.0639584966116982</v>
      </c>
      <c r="EZ12" s="226">
        <f t="shared" si="82"/>
        <v>1.1520152800506487</v>
      </c>
      <c r="FA12" s="226">
        <f t="shared" si="83"/>
        <v>1.2248394888548326</v>
      </c>
      <c r="FB12" s="226">
        <f t="shared" si="84"/>
        <v>1.0086468545542318</v>
      </c>
      <c r="FC12" s="226">
        <f t="shared" si="85"/>
        <v>1.0255656375174949</v>
      </c>
      <c r="FD12" s="226">
        <f t="shared" si="86"/>
        <v>1.1136273387818689</v>
      </c>
      <c r="FE12" s="226">
        <f t="shared" si="87"/>
        <v>1.0413045617059813</v>
      </c>
      <c r="FF12" s="226">
        <f t="shared" si="88"/>
        <v>1.1662721538707963</v>
      </c>
      <c r="FG12" s="226">
        <f t="shared" si="89"/>
        <v>1.0131396097243048</v>
      </c>
      <c r="FH12" s="226">
        <f t="shared" si="90"/>
        <v>1.0652330032196788</v>
      </c>
      <c r="FI12" s="226">
        <f t="shared" si="91"/>
        <v>1.262644730362559</v>
      </c>
      <c r="FJ12" s="226">
        <f t="shared" si="92"/>
        <v>1.0372838445085251</v>
      </c>
      <c r="FK12" s="226">
        <f t="shared" si="93"/>
        <v>1.290653201375926</v>
      </c>
      <c r="FL12" s="226">
        <f t="shared" si="94"/>
        <v>1.0586001946154897</v>
      </c>
      <c r="FM12" s="226">
        <f t="shared" si="95"/>
        <v>1.1343763734672141</v>
      </c>
      <c r="FN12" s="226">
        <f t="shared" si="96"/>
        <v>1.1125603189255646</v>
      </c>
      <c r="FO12" s="226">
        <f t="shared" si="97"/>
        <v>1.0067862370571568</v>
      </c>
      <c r="FP12" s="226">
        <f t="shared" si="98"/>
        <v>1.0778543961080418</v>
      </c>
      <c r="FQ12" s="226">
        <f t="shared" si="99"/>
        <v>1.0616957725729947</v>
      </c>
      <c r="FR12" s="226">
        <f t="shared" si="100"/>
        <v>1.059857322264707</v>
      </c>
      <c r="FS12" s="226">
        <f t="shared" si="101"/>
        <v>1.0067707895534699</v>
      </c>
      <c r="FT12" s="226">
        <f t="shared" si="102"/>
        <v>1.127920371336071</v>
      </c>
      <c r="FU12" s="226">
        <f t="shared" si="103"/>
        <v>1.0961102870437407</v>
      </c>
      <c r="FV12" s="226">
        <f t="shared" si="104"/>
        <v>1.0373040120055774</v>
      </c>
      <c r="FW12" s="226">
        <f t="shared" si="105"/>
        <v>1.0005704459823317</v>
      </c>
      <c r="FX12" s="226">
        <f t="shared" si="106"/>
        <v>1.0311658956749203</v>
      </c>
      <c r="FY12" s="226">
        <f t="shared" si="107"/>
        <v>1.404696712839038</v>
      </c>
      <c r="FZ12" s="226">
        <f t="shared" si="108"/>
        <v>1.5755149173247249</v>
      </c>
      <c r="GA12" s="226">
        <f t="shared" si="109"/>
        <v>1.1991559265283158</v>
      </c>
      <c r="GB12" s="226">
        <f t="shared" si="110"/>
        <v>1.7267254414406381</v>
      </c>
    </row>
    <row r="13" spans="1:184" ht="15.75" thickBot="1" x14ac:dyDescent="0.3">
      <c r="A13" s="640"/>
      <c r="B13" s="634"/>
      <c r="C13" s="240">
        <v>0.1</v>
      </c>
      <c r="D13" s="234" t="s">
        <v>116</v>
      </c>
      <c r="E13" s="225" t="s">
        <v>117</v>
      </c>
      <c r="G13" s="595" t="s">
        <v>386</v>
      </c>
      <c r="H13" s="224" t="s">
        <v>389</v>
      </c>
      <c r="J13" s="646"/>
      <c r="L13" s="226">
        <f t="shared" si="60"/>
        <v>-1.271286781368679</v>
      </c>
      <c r="M13" s="226">
        <f t="shared" si="60"/>
        <v>-2.3806899857453205E-3</v>
      </c>
      <c r="N13" s="226">
        <f t="shared" si="60"/>
        <v>1.0810084059941532E-2</v>
      </c>
      <c r="O13" s="226">
        <f t="shared" si="60"/>
        <v>4.6191513261906188E-2</v>
      </c>
      <c r="P13" s="226">
        <f t="shared" si="60"/>
        <v>0.41936693969865718</v>
      </c>
      <c r="Q13" s="226"/>
      <c r="R13" s="573">
        <f t="shared" si="61"/>
        <v>8.7570388248295239E-10</v>
      </c>
      <c r="S13" s="563">
        <f t="shared" si="111"/>
        <v>5.7169767555080533</v>
      </c>
      <c r="T13" s="563">
        <f t="array" ref="T13">((AVERAGE(IF(ABS(AF13:CC13)&lt;AC13,ABS(AF13:CC13)))-MIN(IF(ABS(AF13:CC13)&lt;AC13,ABS(AF13:CC13))))/(MAX(IF(ABS(AF13:CC13)&lt;AC13,ABS(AF13:CC13)))-MIN(IF(ABS(AF13:CC13)&lt;AC13,ABS(AF13:CC13)))))^(-3/2)</f>
        <v>5.7170063478023625</v>
      </c>
      <c r="U13" s="570">
        <v>17.296150581224119</v>
      </c>
      <c r="V13" s="570">
        <f>AVERAGE(AF13:CC13)</f>
        <v>-3.8380663278833715E-2</v>
      </c>
      <c r="W13" s="226"/>
      <c r="X13" s="255"/>
      <c r="Y13" s="565">
        <f t="shared" si="112"/>
        <v>-0.14571660974295453</v>
      </c>
      <c r="Z13" s="566">
        <f>AA13-$W$1*(O13-M13)</f>
        <v>-7.2858304871477264E-2</v>
      </c>
      <c r="AA13" s="565">
        <v>0</v>
      </c>
      <c r="AB13" s="566">
        <f>AA13+$W$1*(O13-M13)</f>
        <v>7.2858304871477264E-2</v>
      </c>
      <c r="AC13" s="565">
        <f t="shared" si="113"/>
        <v>0.14571660974295453</v>
      </c>
      <c r="AF13" s="242">
        <f>('MD-data'!E91/('MD-data'!E78+'MD-data'!E81))</f>
        <v>0.10712758194526764</v>
      </c>
      <c r="AG13" s="242">
        <f>('MD-data'!G91/('MD-data'!G78+'MD-data'!G81))</f>
        <v>3.2678101091259204E-3</v>
      </c>
      <c r="AH13" s="242">
        <f>('MD-data'!I91/('MD-data'!I78+'MD-data'!I81))</f>
        <v>-0.15306346533649648</v>
      </c>
      <c r="AI13" s="242">
        <f>('MD-data'!K91/('MD-data'!K78+'MD-data'!K81))</f>
        <v>6.8554972678708517E-3</v>
      </c>
      <c r="AJ13" s="242">
        <f>('MD-data'!M91/('MD-data'!M78+'MD-data'!M81))</f>
        <v>0.30438838448548905</v>
      </c>
      <c r="AK13" s="242">
        <f>('MD-data'!O91/('MD-data'!O78+'MD-data'!O81))</f>
        <v>-0.51694165136415426</v>
      </c>
      <c r="AL13" s="242">
        <f>('MD-data'!Q91/('MD-data'!Q78+'MD-data'!Q81))</f>
        <v>3.3167235212849318E-2</v>
      </c>
      <c r="AM13" s="242">
        <f>('MD-data'!S91/('MD-data'!S78+'MD-data'!S81))</f>
        <v>5.7128945614229334E-2</v>
      </c>
      <c r="AN13" s="242">
        <f>('MD-data'!U91/('MD-data'!U78+'MD-data'!U81))</f>
        <v>2.7124942843210618E-2</v>
      </c>
      <c r="AO13" s="242">
        <f>('MD-data'!W91/('MD-data'!W78+'MD-data'!W81))</f>
        <v>-9.5474415388008951E-2</v>
      </c>
      <c r="AP13" s="242">
        <f>('MD-data'!Y91/('MD-data'!Y78+'MD-data'!Y81))</f>
        <v>4.6287866226896568E-2</v>
      </c>
      <c r="AQ13" s="242">
        <f>('MD-data'!AA91/('MD-data'!AA78+'MD-data'!AA81))</f>
        <v>5.5267298321713232E-2</v>
      </c>
      <c r="AR13" s="242">
        <f>('MD-data'!AC91/('MD-data'!AC78+'MD-data'!AC81))</f>
        <v>0.18538322914001992</v>
      </c>
      <c r="AS13" s="242">
        <f>('MD-data'!AE91/('MD-data'!AE78+'MD-data'!AE81))</f>
        <v>-1.271286781368679</v>
      </c>
      <c r="AT13" s="242">
        <f>('MD-data'!AG91/('MD-data'!AG78+'MD-data'!AG81))</f>
        <v>9.9902439024390239E-3</v>
      </c>
      <c r="AU13" s="242">
        <f>('MD-data'!AI91/('MD-data'!AI78+'MD-data'!AI81))</f>
        <v>-3.7863945490958513E-2</v>
      </c>
      <c r="AV13" s="242">
        <f>('MD-data'!AK91/('MD-data'!AK78+'MD-data'!AK81))</f>
        <v>1.8705185393794538E-2</v>
      </c>
      <c r="AW13" s="242">
        <f>('MD-data'!AM91/('MD-data'!AM78+'MD-data'!AM81))</f>
        <v>1.7403813400422713E-2</v>
      </c>
      <c r="AX13" s="242">
        <f>('MD-data'!AO91/('MD-data'!AO78+'MD-data'!AO81))</f>
        <v>1.3225063761219539E-3</v>
      </c>
      <c r="AY13" s="242">
        <f>('MD-data'!AQ91/('MD-data'!AQ78+'MD-data'!AQ81))</f>
        <v>1.4446099746897665E-3</v>
      </c>
      <c r="AZ13" s="242">
        <f>('MD-data'!AS91/('MD-data'!AS78+'MD-data'!AS81))</f>
        <v>9.5291017656235031E-4</v>
      </c>
      <c r="BA13" s="242">
        <f>('MD-data'!AU91/('MD-data'!AU78+'MD-data'!AU81))</f>
        <v>4.5902454366935047E-2</v>
      </c>
      <c r="BB13" s="242">
        <f>('MD-data'!AW91/('MD-data'!AW78+'MD-data'!AW81))</f>
        <v>-7.5557181671050922E-3</v>
      </c>
      <c r="BC13" s="242">
        <f>('MD-data'!AY91/('MD-data'!AY78+'MD-data'!AY81))</f>
        <v>1.1629924217444038E-2</v>
      </c>
      <c r="BD13" s="242">
        <f>('MD-data'!BA91/('MD-data'!BA78+'MD-data'!BA81))</f>
        <v>-0.60054641850633728</v>
      </c>
      <c r="BE13" s="242">
        <f>('MD-data'!BC91/('MD-data'!BC78+'MD-data'!BC81))</f>
        <v>5.6981917652636346E-4</v>
      </c>
      <c r="BF13" s="242">
        <f>('MD-data'!BE91/('MD-data'!BE78+'MD-data'!BE81))</f>
        <v>8.7174179881683994E-2</v>
      </c>
      <c r="BG13" s="242">
        <f>('MD-data'!BG91/('MD-data'!BG78+'MD-data'!BG81))</f>
        <v>-7.3295566863303768E-2</v>
      </c>
      <c r="BH13" s="242">
        <f>('MD-data'!BI91/('MD-data'!BI78+'MD-data'!BI81))</f>
        <v>7.9436464612121144E-2</v>
      </c>
      <c r="BI13" s="242">
        <f>('MD-data'!BL91/('MD-data'!BL78+'MD-data'!BL81))</f>
        <v>9.0503137009863895E-3</v>
      </c>
      <c r="BJ13" s="242">
        <f>('MD-data'!BM91/('MD-data'!BM78+'MD-data'!BM81))</f>
        <v>9.2373887518098871E-2</v>
      </c>
      <c r="BK13" s="242">
        <f>('MD-data'!BO91/('MD-data'!BO78+'MD-data'!BO81))</f>
        <v>5.5578195723054546E-4</v>
      </c>
      <c r="BL13" s="242">
        <f>('MD-data'!BQ91/('MD-data'!BQ78+'MD-data'!BQ81))</f>
        <v>0.11691745794189604</v>
      </c>
      <c r="BM13" s="242">
        <f>('MD-data'!BS91/('MD-data'!BS78+'MD-data'!BS81))</f>
        <v>2.5146832863977366E-2</v>
      </c>
      <c r="BN13" s="242">
        <f>('MD-data'!BU91/('MD-data'!BU78+'MD-data'!BU81))</f>
        <v>3.5240077684427218E-2</v>
      </c>
      <c r="BO13" s="242">
        <f>('MD-data'!BW91/('MD-data'!BW78+'MD-data'!BW81))</f>
        <v>2.1625379687497975E-2</v>
      </c>
      <c r="BP13" s="242">
        <f>('MD-data'!BY91/('MD-data'!BY78+'MD-data'!BY81))</f>
        <v>0.41936693969865718</v>
      </c>
      <c r="BQ13" s="242">
        <f>('MD-data'!CA91/('MD-data'!CA78+'MD-data'!CA81))</f>
        <v>-7.3936909564209771E-2</v>
      </c>
      <c r="BR13" s="242">
        <f>('MD-data'!CC91/('MD-data'!CC78+'MD-data'!CC81))</f>
        <v>0.11862346037955278</v>
      </c>
      <c r="BS13" s="242">
        <f>('MD-data'!CE91/('MD-data'!CE78+'MD-data'!CE81))</f>
        <v>-3.9924148041291192E-2</v>
      </c>
      <c r="BT13" s="242">
        <f>('MD-data'!CG91/('MD-data'!CG78+'MD-data'!CG81))</f>
        <v>0.12300112589917425</v>
      </c>
      <c r="BU13" s="242">
        <f>('MD-data'!CI91/('MD-data'!CI78+'MD-data'!CI81))</f>
        <v>2.2009060888034407E-2</v>
      </c>
      <c r="BV13" s="242">
        <f>('MD-data'!CK91/('MD-data'!CK78+'MD-data'!CK81))</f>
        <v>6.6528219359344278E-3</v>
      </c>
      <c r="BW13" s="242">
        <f>('MD-data'!CM91/('MD-data'!CM78+'MD-data'!CM81))</f>
        <v>2.4911396266401225E-3</v>
      </c>
      <c r="BX13" s="242">
        <f>('MD-data'!CO91/('MD-data'!CO78+'MD-data'!CO81))</f>
        <v>-0.68714050989889974</v>
      </c>
      <c r="BY13" s="242">
        <f>('MD-data'!CQ91/('MD-data'!CQ78+'MD-data'!CQ81))</f>
        <v>-3.3595139667372755E-3</v>
      </c>
      <c r="BZ13" s="242">
        <f>('MD-data'!CS91/('MD-data'!CS78+'MD-data'!CS81))</f>
        <v>3.7945295243385392E-2</v>
      </c>
      <c r="CA13" s="242">
        <f>('MD-data'!CU91/('MD-data'!CU78+'MD-data'!CU81))</f>
        <v>3.7033271101562397E-2</v>
      </c>
      <c r="CB13" s="242">
        <f>('MD-data'!CW91/('MD-data'!CW78+'MD-data'!CW81))</f>
        <v>-0.52933074720482243</v>
      </c>
      <c r="CC13" s="242">
        <f>('MD-data'!CY91/('MD-data'!CY78+'MD-data'!CY81))</f>
        <v>2.1228784468490785E-3</v>
      </c>
      <c r="CD13" s="242"/>
      <c r="CF13" s="226">
        <f t="array" ref="CF13">SMALL(ABS($AF13:$CC13),CF$1)</f>
        <v>5.5578195723054546E-4</v>
      </c>
      <c r="CG13" s="226">
        <f t="array" ref="CG13">SMALL(ABS($AF13:$CC13),CG$1)</f>
        <v>5.6981917652636346E-4</v>
      </c>
      <c r="CH13" s="226">
        <f t="array" ref="CH13">SMALL(ABS($AF13:$CC13),CH$1)</f>
        <v>9.5291017656235031E-4</v>
      </c>
      <c r="CI13" s="226">
        <f t="array" ref="CI13">SMALL(ABS($AF13:$CC13),CI$1)</f>
        <v>1.3225063761219539E-3</v>
      </c>
      <c r="CJ13" s="226">
        <f t="array" ref="CJ13">SMALL(ABS($AF13:$CC13),CJ$1)</f>
        <v>1.4446099746897665E-3</v>
      </c>
      <c r="CK13" s="226">
        <f t="array" ref="CK13">SMALL(ABS($AF13:$CC13),CK$1)</f>
        <v>2.1228784468490785E-3</v>
      </c>
      <c r="CL13" s="226">
        <f t="array" ref="CL13">SMALL(ABS($AF13:$CC13),CL$1)</f>
        <v>2.4911396266401225E-3</v>
      </c>
      <c r="CM13" s="226">
        <f t="array" ref="CM13">SMALL(ABS($AF13:$CC13),CM$1)</f>
        <v>3.2678101091259204E-3</v>
      </c>
      <c r="CN13" s="226">
        <f t="array" ref="CN13">SMALL(ABS($AF13:$CC13),CN$1)</f>
        <v>3.3595139667372755E-3</v>
      </c>
      <c r="CO13" s="226">
        <f t="array" ref="CO13">SMALL(ABS($AF13:$CC13),CO$1)</f>
        <v>6.6528219359344278E-3</v>
      </c>
      <c r="CP13" s="226">
        <f t="array" ref="CP13">SMALL(ABS($AF13:$CC13),CP$1)</f>
        <v>6.8554972678708517E-3</v>
      </c>
      <c r="CQ13" s="226">
        <f t="array" ref="CQ13">SMALL(ABS($AF13:$CC13),CQ$1)</f>
        <v>7.5557181671050922E-3</v>
      </c>
      <c r="CR13" s="226">
        <f t="array" ref="CR13">SMALL(ABS($AF13:$CC13),CR$1)</f>
        <v>9.0503137009863895E-3</v>
      </c>
      <c r="CS13" s="226">
        <f t="array" ref="CS13">SMALL(ABS($AF13:$CC13),CS$1)</f>
        <v>9.9902439024390239E-3</v>
      </c>
      <c r="CT13" s="226">
        <f t="array" ref="CT13">SMALL(ABS($AF13:$CC13),CT$1)</f>
        <v>1.1629924217444038E-2</v>
      </c>
      <c r="CU13" s="226">
        <f t="array" ref="CU13">SMALL(ABS($AF13:$CC13),CU$1)</f>
        <v>1.7403813400422713E-2</v>
      </c>
      <c r="CV13" s="226">
        <f t="array" ref="CV13">SMALL(ABS($AF13:$CC13),CV$1)</f>
        <v>1.8705185393794538E-2</v>
      </c>
      <c r="CW13" s="226">
        <f t="array" ref="CW13">SMALL(ABS($AF13:$CC13),CW$1)</f>
        <v>2.1625379687497975E-2</v>
      </c>
      <c r="CX13" s="226">
        <f t="array" ref="CX13">SMALL(ABS($AF13:$CC13),CX$1)</f>
        <v>2.2009060888034407E-2</v>
      </c>
      <c r="CY13" s="226">
        <f t="array" ref="CY13">SMALL(ABS($AF13:$CC13),CY$1)</f>
        <v>2.5146832863977366E-2</v>
      </c>
      <c r="CZ13" s="226">
        <f t="array" ref="CZ13">SMALL(ABS($AF13:$CC13),CZ$1)</f>
        <v>2.7124942843210618E-2</v>
      </c>
      <c r="DA13" s="226">
        <f t="array" ref="DA13">SMALL(ABS($AF13:$CC13),DA$1)</f>
        <v>3.3167235212849318E-2</v>
      </c>
      <c r="DB13" s="226">
        <f t="array" ref="DB13">SMALL(ABS($AF13:$CC13),DB$1)</f>
        <v>3.5240077684427218E-2</v>
      </c>
      <c r="DC13" s="226">
        <f t="array" ref="DC13">SMALL(ABS($AF13:$CC13),DC$1)</f>
        <v>3.7033271101562397E-2</v>
      </c>
      <c r="DD13" s="226">
        <f t="array" ref="DD13">SMALL(ABS($AF13:$CC13),DD$1)</f>
        <v>3.7863945490958513E-2</v>
      </c>
      <c r="DE13" s="226">
        <f t="array" ref="DE13">SMALL(ABS($AF13:$CC13),DE$1)</f>
        <v>3.7945295243385392E-2</v>
      </c>
      <c r="DF13" s="226">
        <f t="array" ref="DF13">SMALL(ABS($AF13:$CC13),DF$1)</f>
        <v>3.9924148041291192E-2</v>
      </c>
      <c r="DG13" s="226">
        <f t="array" ref="DG13">SMALL(ABS($AF13:$CC13),DG$1)</f>
        <v>4.5902454366935047E-2</v>
      </c>
      <c r="DH13" s="226">
        <f t="array" ref="DH13">SMALL(ABS($AF13:$CC13),DH$1)</f>
        <v>4.6287866226896568E-2</v>
      </c>
      <c r="DI13" s="226">
        <f t="array" ref="DI13">SMALL(ABS($AF13:$CC13),DI$1)</f>
        <v>5.5267298321713232E-2</v>
      </c>
      <c r="DJ13" s="226">
        <f t="array" ref="DJ13">SMALL(ABS($AF13:$CC13),DJ$1)</f>
        <v>5.7128945614229334E-2</v>
      </c>
      <c r="DK13" s="226">
        <f t="array" ref="DK13">SMALL(ABS($AF13:$CC13),DK$1)</f>
        <v>7.3295566863303768E-2</v>
      </c>
      <c r="DL13" s="226">
        <f t="array" ref="DL13">SMALL(ABS($AF13:$CC13),DL$1)</f>
        <v>7.3936909564209771E-2</v>
      </c>
      <c r="DM13" s="226">
        <f t="array" ref="DM13">SMALL(ABS($AF13:$CC13),DM$1)</f>
        <v>7.9436464612121144E-2</v>
      </c>
      <c r="DN13" s="226">
        <f t="array" ref="DN13">SMALL(ABS($AF13:$CC13),DN$1)</f>
        <v>8.7174179881683994E-2</v>
      </c>
      <c r="DO13" s="226">
        <f t="array" ref="DO13">SMALL(ABS($AF13:$CC13),DO$1)</f>
        <v>9.2373887518098871E-2</v>
      </c>
      <c r="DP13" s="226">
        <f t="array" ref="DP13">SMALL(ABS($AF13:$CC13),DP$1)</f>
        <v>9.5474415388008951E-2</v>
      </c>
      <c r="DQ13" s="226">
        <f t="array" ref="DQ13">SMALL(ABS($AF13:$CC13),DQ$1)</f>
        <v>0.10712758194526764</v>
      </c>
      <c r="DR13" s="226">
        <f t="array" ref="DR13">SMALL(ABS($AF13:$CC13),DR$1)</f>
        <v>0.11691745794189604</v>
      </c>
      <c r="DS13" s="226">
        <f t="array" ref="DS13">SMALL(ABS($AF13:$CC13),DS$1)</f>
        <v>0.11862346037955278</v>
      </c>
      <c r="DT13" s="226">
        <f t="array" ref="DT13">SMALL(ABS($AF13:$CC13),DT$1)</f>
        <v>0.12300112589917425</v>
      </c>
      <c r="DU13" s="226">
        <f t="array" ref="DU13">SMALL(ABS($AF13:$CC13),DU$1)</f>
        <v>0.15306346533649648</v>
      </c>
      <c r="DV13" s="226">
        <f t="array" ref="DV13">SMALL(ABS($AF13:$CC13),DV$1)</f>
        <v>0.18538322914001992</v>
      </c>
      <c r="DW13" s="226">
        <f t="array" ref="DW13">SMALL(ABS($AF13:$CC13),DW$1)</f>
        <v>0.30438838448548905</v>
      </c>
      <c r="DX13" s="226">
        <f t="array" ref="DX13">SMALL(ABS($AF13:$CC13),DX$1)</f>
        <v>0.41936693969865718</v>
      </c>
      <c r="DY13" s="226">
        <f t="array" ref="DY13">SMALL(ABS($AF13:$CC13),DY$1)</f>
        <v>0.51694165136415426</v>
      </c>
      <c r="DZ13" s="226">
        <f t="array" ref="DZ13">SMALL(ABS($AF13:$CC13),DZ$1)</f>
        <v>0.52933074720482243</v>
      </c>
      <c r="EA13" s="226">
        <f t="array" ref="EA13">SMALL(ABS($AF13:$CC13),EA$1)</f>
        <v>0.60054641850633728</v>
      </c>
      <c r="EB13" s="226">
        <f t="array" ref="EB13">SMALL(ABS($AF13:$CC13),EB$1)</f>
        <v>0.68714050989889974</v>
      </c>
      <c r="EC13" s="226">
        <f t="array" ref="EC13">SMALL(ABS($AF13:$CC13),EC$1)</f>
        <v>1.271286781368679</v>
      </c>
      <c r="EF13" s="226">
        <f t="shared" si="62"/>
        <v>1.0252567020451064</v>
      </c>
      <c r="EG13" s="226">
        <f t="shared" si="63"/>
        <v>1.6723027511487456</v>
      </c>
      <c r="EH13" s="226">
        <f t="shared" si="64"/>
        <v>1.3878604811346773</v>
      </c>
      <c r="EI13" s="226">
        <f t="shared" si="65"/>
        <v>1.0923274176763236</v>
      </c>
      <c r="EJ13" s="226">
        <f t="shared" si="66"/>
        <v>1.469516675118467</v>
      </c>
      <c r="EK13" s="226">
        <f t="shared" si="67"/>
        <v>1.173472569914515</v>
      </c>
      <c r="EL13" s="226">
        <f t="shared" si="68"/>
        <v>1.3117731636477228</v>
      </c>
      <c r="EM13" s="226">
        <f t="shared" si="69"/>
        <v>1.0280627865601053</v>
      </c>
      <c r="EN13" s="226">
        <f t="shared" si="70"/>
        <v>1.9802929833911596</v>
      </c>
      <c r="EO13" s="226">
        <f t="shared" si="71"/>
        <v>1.0304645658471179</v>
      </c>
      <c r="EP13" s="226">
        <f t="shared" si="72"/>
        <v>1.1021400595571547</v>
      </c>
      <c r="EQ13" s="226">
        <f t="shared" si="73"/>
        <v>1.1978098574915399</v>
      </c>
      <c r="ER13" s="226">
        <f t="shared" si="74"/>
        <v>1.1038560907949735</v>
      </c>
      <c r="ES13" s="226">
        <f t="shared" si="75"/>
        <v>1.1641281565312636</v>
      </c>
      <c r="ET13" s="226">
        <f t="shared" si="76"/>
        <v>1.4964683410678001</v>
      </c>
      <c r="EU13" s="226">
        <f t="shared" si="77"/>
        <v>1.0747751060891182</v>
      </c>
      <c r="EV13" s="226">
        <f t="shared" si="78"/>
        <v>1.1561168324304454</v>
      </c>
      <c r="EW13" s="226">
        <f t="shared" si="79"/>
        <v>1.0177421717482373</v>
      </c>
      <c r="EX13" s="226">
        <f t="shared" si="80"/>
        <v>1.1425672813531478</v>
      </c>
      <c r="EY13" s="226">
        <f t="shared" si="81"/>
        <v>1.0786623902076702</v>
      </c>
      <c r="EZ13" s="226">
        <f t="shared" si="82"/>
        <v>1.2227577917699128</v>
      </c>
      <c r="FA13" s="226">
        <f t="shared" si="83"/>
        <v>1.0624966916378626</v>
      </c>
      <c r="FB13" s="226">
        <f t="shared" si="84"/>
        <v>1.0508850585743061</v>
      </c>
      <c r="FC13" s="226">
        <f t="shared" si="85"/>
        <v>1.0224304892516252</v>
      </c>
      <c r="FD13" s="226">
        <f t="shared" si="86"/>
        <v>1.0021484753205738</v>
      </c>
      <c r="FE13" s="226">
        <f t="shared" si="87"/>
        <v>1.05215014892395</v>
      </c>
      <c r="FF13" s="226">
        <f t="shared" si="88"/>
        <v>1.1497416130072668</v>
      </c>
      <c r="FG13" s="226">
        <f t="shared" si="89"/>
        <v>1.0083963235795763</v>
      </c>
      <c r="FH13" s="226">
        <f t="shared" si="90"/>
        <v>1.193991056982423</v>
      </c>
      <c r="FI13" s="226">
        <f t="shared" si="91"/>
        <v>1.0336844273023693</v>
      </c>
      <c r="FJ13" s="226">
        <f t="shared" si="92"/>
        <v>1.2829847649953432</v>
      </c>
      <c r="FK13" s="226">
        <f t="shared" si="93"/>
        <v>1.0087500885572263</v>
      </c>
      <c r="FL13" s="226">
        <f t="shared" si="94"/>
        <v>1.0743817273446536</v>
      </c>
      <c r="FM13" s="226">
        <f t="shared" si="95"/>
        <v>1.0974075987312024</v>
      </c>
      <c r="FN13" s="226">
        <f t="shared" si="96"/>
        <v>1.0596473364415027</v>
      </c>
      <c r="FO13" s="226">
        <f t="shared" si="97"/>
        <v>1.033564981979378</v>
      </c>
      <c r="FP13" s="226">
        <f t="shared" si="98"/>
        <v>1.1220553853082011</v>
      </c>
      <c r="FQ13" s="226">
        <f t="shared" si="99"/>
        <v>1.0913852046210668</v>
      </c>
      <c r="FR13" s="226">
        <f t="shared" si="100"/>
        <v>1.014591511547442</v>
      </c>
      <c r="FS13" s="226">
        <f t="shared" si="101"/>
        <v>1.0369038763969161</v>
      </c>
      <c r="FT13" s="226">
        <f t="shared" si="102"/>
        <v>1.2444070265012432</v>
      </c>
      <c r="FU13" s="226">
        <f t="shared" si="103"/>
        <v>1.2111526988656065</v>
      </c>
      <c r="FV13" s="226">
        <f t="shared" si="104"/>
        <v>1.641941322834465</v>
      </c>
      <c r="FW13" s="226">
        <f t="shared" si="105"/>
        <v>1.3777363430195197</v>
      </c>
      <c r="FX13" s="226">
        <f t="shared" si="106"/>
        <v>1.2326714445721709</v>
      </c>
      <c r="FY13" s="226">
        <f t="shared" si="107"/>
        <v>1.0239661397141722</v>
      </c>
      <c r="FZ13" s="226">
        <f t="shared" si="108"/>
        <v>1.13453907916284</v>
      </c>
      <c r="GA13" s="226">
        <f t="shared" si="109"/>
        <v>1.1441921702038236</v>
      </c>
      <c r="GB13" s="226">
        <f t="shared" si="110"/>
        <v>1.850111822916285</v>
      </c>
    </row>
    <row r="14" spans="1:184" ht="15.75" thickBot="1" x14ac:dyDescent="0.3">
      <c r="A14" s="641"/>
      <c r="B14" s="635"/>
      <c r="C14" s="636" t="s">
        <v>396</v>
      </c>
      <c r="D14" s="637"/>
      <c r="E14" s="638"/>
      <c r="G14" s="595"/>
      <c r="J14" s="646"/>
      <c r="L14" s="226"/>
      <c r="M14" s="226"/>
      <c r="N14" s="226"/>
      <c r="O14" s="226"/>
      <c r="P14" s="226"/>
      <c r="Q14" s="226"/>
      <c r="R14" s="563"/>
      <c r="S14" s="563"/>
      <c r="T14" s="563"/>
      <c r="U14" s="570"/>
      <c r="V14" s="570"/>
      <c r="W14" s="226"/>
      <c r="X14" s="255"/>
      <c r="Y14" s="563"/>
      <c r="Z14" s="563"/>
      <c r="AA14" s="563"/>
      <c r="AB14" s="563"/>
      <c r="AC14" s="563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2"/>
      <c r="AV14" s="242"/>
      <c r="AW14" s="242"/>
      <c r="AX14" s="242"/>
      <c r="AY14" s="242"/>
      <c r="AZ14" s="242"/>
      <c r="BA14" s="242"/>
      <c r="BB14" s="242"/>
      <c r="BC14" s="242"/>
      <c r="BD14" s="242"/>
      <c r="BE14" s="242"/>
      <c r="BF14" s="242"/>
      <c r="BG14" s="242"/>
      <c r="BH14" s="242"/>
      <c r="BI14" s="242"/>
      <c r="BJ14" s="242"/>
      <c r="BK14" s="242"/>
      <c r="BL14" s="242"/>
      <c r="BM14" s="242"/>
      <c r="BN14" s="242"/>
      <c r="BO14" s="242"/>
      <c r="BP14" s="242"/>
      <c r="BQ14" s="242"/>
      <c r="BR14" s="242"/>
      <c r="BS14" s="242"/>
      <c r="BT14" s="242"/>
      <c r="BU14" s="242"/>
      <c r="BV14" s="242"/>
      <c r="BW14" s="242"/>
      <c r="BX14" s="242"/>
      <c r="BY14" s="242"/>
      <c r="BZ14" s="242"/>
      <c r="CA14" s="242"/>
      <c r="CB14" s="242"/>
      <c r="CC14" s="242"/>
      <c r="CD14" s="242"/>
    </row>
    <row r="15" spans="1:184" ht="15.75" thickBot="1" x14ac:dyDescent="0.3">
      <c r="A15" s="639">
        <v>0.25</v>
      </c>
      <c r="B15" s="633" t="s">
        <v>392</v>
      </c>
      <c r="C15" s="235">
        <v>0.15</v>
      </c>
      <c r="D15" s="234" t="s">
        <v>142</v>
      </c>
      <c r="E15" s="225" t="s">
        <v>143</v>
      </c>
      <c r="G15" s="597" t="s">
        <v>311</v>
      </c>
      <c r="H15" s="224" t="s">
        <v>388</v>
      </c>
      <c r="J15" s="646"/>
      <c r="L15" s="226">
        <f t="shared" ref="L15:P16" si="114">QUARTILE($AF15:$CC15,L$2)</f>
        <v>0</v>
      </c>
      <c r="M15" s="226">
        <f t="shared" si="114"/>
        <v>3.9689448077535466E-3</v>
      </c>
      <c r="N15" s="226">
        <f t="shared" si="114"/>
        <v>2.2741136275318621E-2</v>
      </c>
      <c r="O15" s="226">
        <f t="shared" si="114"/>
        <v>0.10636254855203015</v>
      </c>
      <c r="P15" s="226">
        <f t="shared" si="114"/>
        <v>0.87166392717452534</v>
      </c>
      <c r="Q15" s="226"/>
      <c r="R15" s="573">
        <f t="shared" ref="R15:R16" si="115">(T15-S15)^2</f>
        <v>2.3014551886049724E-10</v>
      </c>
      <c r="S15" s="563">
        <f t="shared" ref="S15:S16" si="116">(U15-1)/LN(U15)</f>
        <v>11.96430549452605</v>
      </c>
      <c r="T15" s="563">
        <f t="array" ref="T15">((AVERAGE(IF((AF15:CC15&gt;=0)*(AF15:CC15&lt;Y15),AF15:CC15))-MIN(IF((AF15:CC15&gt;=0)*(AF15:CC15&lt;Y15),AF15:CC15)))/(MAX(IF((AF15:CC15&gt;=0)*(AF15:CC15&lt;Y15),AF15:CC15))-MIN(IF((AF15:CC15&gt;=0)*(AF15:CC15&lt;Y15),AF15:CC15))))^(-3/2)</f>
        <v>11.964320665073794</v>
      </c>
      <c r="U15" s="570">
        <v>47.086287214144001</v>
      </c>
      <c r="V15" s="570">
        <f>AVERAGE(AF15:CC15)</f>
        <v>0.10342352427520417</v>
      </c>
      <c r="W15" s="226"/>
      <c r="X15" s="255"/>
      <c r="Y15" s="565">
        <f t="array" ref="Y15">Z15*(AVERAGE(IF($EF15:$GB15&lt;=QUARTILE($EF15:$GB15,3)+X$1*(QUARTILE($EF15:$GB15,3)-QUARTILE($EF15:$GB15,1)),$EF15:$GB15,"")))^(COUNT($AF15:$CC15)/4)</f>
        <v>0.42915244238690342</v>
      </c>
      <c r="Z15" s="566">
        <f t="array" ref="Z15">AA15*AVERAGE(IF($EF15:$GB15&lt;=QUARTILE($EF15:$GB15,3),$EF15:$GB15,""))^(COUNT($AF15:$CC15)/4)</f>
        <v>7.2526757140747924E-2</v>
      </c>
      <c r="AA15" s="566">
        <f>N15</f>
        <v>2.2741136275318621E-2</v>
      </c>
      <c r="AB15" s="566">
        <f t="array" ref="AB15">AA15/AVERAGE(IF($EF15:$GB15&lt;=QUARTILE($EF15:$GB15,3),$EF15:$GB15,""))^(COUNT($AF15:$CC15)/4)</f>
        <v>7.1305997880064496E-3</v>
      </c>
      <c r="AC15" s="565">
        <v>0</v>
      </c>
      <c r="AF15" s="242">
        <f>('MD-data'!E38+'MD-data'!E39+'MD-data'!E40+'MD-data'!E41+'MD-data'!E42+'MD-data'!E45+'MD-data'!E46+'MD-data'!E47+'MD-data'!E58)/'MD-data'!E36</f>
        <v>4.304545545803699E-3</v>
      </c>
      <c r="AG15" s="242">
        <f>('MD-data'!G38+'MD-data'!G39+'MD-data'!G40+'MD-data'!G41+'MD-data'!G42+'MD-data'!G45+'MD-data'!G46+'MD-data'!G47+'MD-data'!G58)/'MD-data'!G36</f>
        <v>0.28250313325762294</v>
      </c>
      <c r="AH15" s="242">
        <f>('MD-data'!I38+'MD-data'!I39+'MD-data'!I40+'MD-data'!I41+'MD-data'!I42+'MD-data'!I45+'MD-data'!I46+'MD-data'!I47+'MD-data'!I58)/'MD-data'!I36</f>
        <v>0.37034729969625446</v>
      </c>
      <c r="AI15" s="242">
        <f>('MD-data'!K38+'MD-data'!K39+'MD-data'!K40+'MD-data'!K41+'MD-data'!K42+'MD-data'!K45+'MD-data'!K46+'MD-data'!K47+'MD-data'!K58)/'MD-data'!K36</f>
        <v>6.8021806622408643E-2</v>
      </c>
      <c r="AJ15" s="242">
        <f>('MD-data'!M38+'MD-data'!M39+'MD-data'!M40+'MD-data'!M41+'MD-data'!M42+'MD-data'!M45+'MD-data'!M46+'MD-data'!M47+'MD-data'!M58)/'MD-data'!M36</f>
        <v>0.12109868978731035</v>
      </c>
      <c r="AK15" s="242">
        <f>('MD-data'!O38+'MD-data'!O39+'MD-data'!O40+'MD-data'!O41+'MD-data'!O42+'MD-data'!O45+'MD-data'!O46+'MD-data'!O47+'MD-data'!O58)/'MD-data'!O36</f>
        <v>4.2140906618595833E-2</v>
      </c>
      <c r="AL15" s="242">
        <f>('MD-data'!Q38+'MD-data'!Q39+'MD-data'!Q40+'MD-data'!Q41+'MD-data'!Q42+'MD-data'!Q45+'MD-data'!Q46+'MD-data'!Q47+'MD-data'!Q58)/'MD-data'!Q36</f>
        <v>0.83373461834996332</v>
      </c>
      <c r="AM15" s="242">
        <f>('MD-data'!S38+'MD-data'!S39+'MD-data'!S40+'MD-data'!S41+'MD-data'!S42+'MD-data'!S45+'MD-data'!S46+'MD-data'!S47+'MD-data'!S58)/'MD-data'!S36</f>
        <v>4.4245954410867113E-3</v>
      </c>
      <c r="AN15" s="242">
        <f>('MD-data'!U38+'MD-data'!U39+'MD-data'!U40+'MD-data'!U41+'MD-data'!U42+'MD-data'!U45+'MD-data'!U46+'MD-data'!U47+'MD-data'!U58)/'MD-data'!U36</f>
        <v>6.5304731884083759E-3</v>
      </c>
      <c r="AO15" s="242">
        <f>('MD-data'!W38+'MD-data'!W39+'MD-data'!W40+'MD-data'!W41+'MD-data'!W42+'MD-data'!W45+'MD-data'!W46+'MD-data'!W47+'MD-data'!W58)/'MD-data'!W36</f>
        <v>9.5482637740214857E-2</v>
      </c>
      <c r="AP15" s="242">
        <f>('MD-data'!Y38+'MD-data'!Y39+'MD-data'!Y40+'MD-data'!Y41+'MD-data'!Y42+'MD-data'!Y45+'MD-data'!Y46+'MD-data'!Y47+'MD-data'!Y58)/'MD-data'!Y36</f>
        <v>0.28893170389500494</v>
      </c>
      <c r="AQ15" s="242">
        <f>('MD-data'!AA38+'MD-data'!AA39+'MD-data'!AA40+'MD-data'!AA41+'MD-data'!AA42+'MD-data'!AA45+'MD-data'!AA46+'MD-data'!AA47+'MD-data'!AA58)/'MD-data'!AA36</f>
        <v>9.828479997800102E-2</v>
      </c>
      <c r="AR15" s="242">
        <f>('MD-data'!AC38+'MD-data'!AC39+'MD-data'!AC40+'MD-data'!AC41+'MD-data'!AC42+'MD-data'!AC45+'MD-data'!AC46+'MD-data'!AC47+'MD-data'!AC58)/'MD-data'!AC36</f>
        <v>3.9021616232391824E-3</v>
      </c>
      <c r="AS15" s="242">
        <f>('MD-data'!AE38+'MD-data'!AE39+'MD-data'!AE40+'MD-data'!AE41+'MD-data'!AE42+'MD-data'!AE45+'MD-data'!AE46+'MD-data'!AE47+'MD-data'!AE58)/'MD-data'!AE36</f>
        <v>0.2040439282075989</v>
      </c>
      <c r="AT15" s="242">
        <f>('MD-data'!AG38+'MD-data'!AG39+'MD-data'!AG40+'MD-data'!AG41+'MD-data'!AG42+'MD-data'!AG45+'MD-data'!AG46+'MD-data'!AG47+'MD-data'!AG58)/'MD-data'!AG36</f>
        <v>3.2944517610447623E-3</v>
      </c>
      <c r="AU15" s="242">
        <f>('MD-data'!AI38+'MD-data'!AI39+'MD-data'!AI40+'MD-data'!AI41+'MD-data'!AI42+'MD-data'!AI45+'MD-data'!AI46+'MD-data'!AI47+'MD-data'!AI58)/'MD-data'!AI36</f>
        <v>2.7928957072012473E-3</v>
      </c>
      <c r="AV15" s="242">
        <f>('MD-data'!AK38+'MD-data'!AK39+'MD-data'!AK40+'MD-data'!AK41+'MD-data'!AK42+'MD-data'!AK45+'MD-data'!AK46+'MD-data'!AK47+'MD-data'!AK58)/'MD-data'!AK36</f>
        <v>1.1240015123782409E-2</v>
      </c>
      <c r="AW15" s="242">
        <f>('MD-data'!AM38+'MD-data'!AM39+'MD-data'!AM40+'MD-data'!AM41+'MD-data'!AM42+'MD-data'!AM45+'MD-data'!AM46+'MD-data'!AM47+'MD-data'!AM58)/'MD-data'!AM36</f>
        <v>1.2164521124770525E-2</v>
      </c>
      <c r="AX15" s="242">
        <f>('MD-data'!AO38+'MD-data'!AO39+'MD-data'!AO40+'MD-data'!AO41+'MD-data'!AO42+'MD-data'!AO45+'MD-data'!AO46+'MD-data'!AO47+'MD-data'!AO58)/'MD-data'!AO36</f>
        <v>8.8410564661458423E-3</v>
      </c>
      <c r="AY15" s="242">
        <f>('MD-data'!AQ38+'MD-data'!AQ39+'MD-data'!AQ40+'MD-data'!AQ41+'MD-data'!AQ42+'MD-data'!AQ45+'MD-data'!AQ46+'MD-data'!AQ47+'MD-data'!AQ58)/'MD-data'!AQ36</f>
        <v>6.7634879950104346E-3</v>
      </c>
      <c r="AZ15" s="242">
        <f>('MD-data'!AS38+'MD-data'!AS39+'MD-data'!AS40+'MD-data'!AS41+'MD-data'!AS42+'MD-data'!AS45+'MD-data'!AS46+'MD-data'!AS47+'MD-data'!AS58)/'MD-data'!AS36</f>
        <v>3.7322601834459657E-3</v>
      </c>
      <c r="BA15" s="242">
        <f>('MD-data'!AU38+'MD-data'!AU39+'MD-data'!AU40+'MD-data'!AU41+'MD-data'!AU42+'MD-data'!AU45+'MD-data'!AU46+'MD-data'!AU47+'MD-data'!AU58)/'MD-data'!AU36</f>
        <v>2.4718873638982166E-3</v>
      </c>
      <c r="BB15" s="242">
        <f>('MD-data'!AW38+'MD-data'!AW39+'MD-data'!AW40+'MD-data'!AW41+'MD-data'!AW42+'MD-data'!AW45+'MD-data'!AW46+'MD-data'!AW47+'MD-data'!AW58)/'MD-data'!AW36</f>
        <v>5.9847030631895837E-2</v>
      </c>
      <c r="BC15" s="242">
        <f>('MD-data'!AY38+'MD-data'!AY39+'MD-data'!AY40+'MD-data'!AY41+'MD-data'!AY42+'MD-data'!AY45+'MD-data'!AY46+'MD-data'!AY47+'MD-data'!AY58)/'MD-data'!AY36</f>
        <v>4.8665614628931993E-2</v>
      </c>
      <c r="BD15" s="242">
        <f>('MD-data'!BA38+'MD-data'!BA39+'MD-data'!BA40+'MD-data'!BA41+'MD-data'!BA42+'MD-data'!BA45+'MD-data'!BA46+'MD-data'!BA47+'MD-data'!BA58)/'MD-data'!BA36</f>
        <v>0.27261538983387151</v>
      </c>
      <c r="BE15" s="242">
        <f>('MD-data'!BC38+'MD-data'!BC39+'MD-data'!BC40+'MD-data'!BC41+'MD-data'!BC42+'MD-data'!BC45+'MD-data'!BC46+'MD-data'!BC47+'MD-data'!BC58)/'MD-data'!BC36</f>
        <v>3.2590545335719024E-5</v>
      </c>
      <c r="BF15" s="242">
        <f>('MD-data'!BE38+'MD-data'!BE39+'MD-data'!BE40+'MD-data'!BE41+'MD-data'!BE42+'MD-data'!BE45+'MD-data'!BE46+'MD-data'!BE47+'MD-data'!BE58)/'MD-data'!BE36</f>
        <v>0.12971337061827781</v>
      </c>
      <c r="BG15" s="242">
        <f>('MD-data'!BG38+'MD-data'!BG39+'MD-data'!BG40+'MD-data'!BG41+'MD-data'!BG42+'MD-data'!BG45+'MD-data'!BG46+'MD-data'!BG47+'MD-data'!BG58)/'MD-data'!BG36</f>
        <v>4.1692943612966389E-3</v>
      </c>
      <c r="BH15" s="242">
        <f>('MD-data'!BI38+'MD-data'!BI39+'MD-data'!BI40+'MD-data'!BI41+'MD-data'!BI42+'MD-data'!BI45+'MD-data'!BI46+'MD-data'!BI47+'MD-data'!BI58)/'MD-data'!BI36</f>
        <v>0.17159988950462385</v>
      </c>
      <c r="BI15" s="242">
        <f>('MD-data'!BL38+'MD-data'!BL39+'MD-data'!BL40+'MD-data'!BL41+'MD-data'!BL42+'MD-data'!BL45+'MD-data'!BL46+'MD-data'!BL47+'MD-data'!BL58)/'MD-data'!BL36</f>
        <v>2.0688169230636499E-2</v>
      </c>
      <c r="BJ15" s="242">
        <f>('MD-data'!BM38+'MD-data'!BM39+'MD-data'!BM40+'MD-data'!BM41+'MD-data'!BM42+'MD-data'!BM45+'MD-data'!BM46+'MD-data'!BM47+'MD-data'!BM58)/'MD-data'!BM36</f>
        <v>4.3067306959371906E-3</v>
      </c>
      <c r="BK15" s="242">
        <f>('MD-data'!BO38+'MD-data'!BO39+'MD-data'!BO40+'MD-data'!BO41+'MD-data'!BO42+'MD-data'!BO45+'MD-data'!BO46+'MD-data'!BO47+'MD-data'!BO58)/'MD-data'!BO36</f>
        <v>0.3473405571019848</v>
      </c>
      <c r="BL15" s="242">
        <f>('MD-data'!BQ38+'MD-data'!BQ39+'MD-data'!BQ40+'MD-data'!BQ41+'MD-data'!BQ42+'MD-data'!BQ45+'MD-data'!BQ46+'MD-data'!BQ47+'MD-data'!BQ58)/'MD-data'!BQ36</f>
        <v>0.87166392717452534</v>
      </c>
      <c r="BM15" s="242">
        <f>('MD-data'!BS38+'MD-data'!BS39+'MD-data'!BS40+'MD-data'!BS41+'MD-data'!BS42+'MD-data'!BS45+'MD-data'!BS46+'MD-data'!BS47+'MD-data'!BS58)/'MD-data'!BS36</f>
        <v>4.5687257286445666E-5</v>
      </c>
      <c r="BN15" s="242">
        <f>('MD-data'!BU38+'MD-data'!BU39+'MD-data'!BU40+'MD-data'!BU41+'MD-data'!BU42+'MD-data'!BU45+'MD-data'!BU46+'MD-data'!BU47+'MD-data'!BU58)/'MD-data'!BU36</f>
        <v>6.8979284017324755E-2</v>
      </c>
      <c r="BO15" s="242">
        <f>('MD-data'!BW38+'MD-data'!BW39+'MD-data'!BW40+'MD-data'!BW41+'MD-data'!BW42+'MD-data'!BW45+'MD-data'!BW46+'MD-data'!BW47+'MD-data'!BW58)/'MD-data'!BW36</f>
        <v>4.5626172446522985E-4</v>
      </c>
      <c r="BP15" s="242">
        <f>('MD-data'!BY38+'MD-data'!BY39+'MD-data'!BY40+'MD-data'!BY41+'MD-data'!BY42+'MD-data'!BY45+'MD-data'!BY46+'MD-data'!BY47+'MD-data'!BY58)/'MD-data'!BY36</f>
        <v>7.7337718502299834E-5</v>
      </c>
      <c r="BQ15" s="242">
        <f>('MD-data'!CA38+'MD-data'!CA39+'MD-data'!CA40+'MD-data'!CA41+'MD-data'!CA42+'MD-data'!CA45+'MD-data'!CA46+'MD-data'!CA47+'MD-data'!CA58)/'MD-data'!CA36</f>
        <v>5.6992072764835396E-5</v>
      </c>
      <c r="BR15" s="242">
        <f>('MD-data'!CC38+'MD-data'!CC39+'MD-data'!CC40+'MD-data'!CC41+'MD-data'!CC42+'MD-data'!CC45+'MD-data'!CC46+'MD-data'!CC47+'MD-data'!CC58)/'MD-data'!CC36</f>
        <v>2.132598982292416E-4</v>
      </c>
      <c r="BS15" s="242">
        <f>('MD-data'!CE38+'MD-data'!CE39+'MD-data'!CE40+'MD-data'!CE41+'MD-data'!CE42+'MD-data'!CE45+'MD-data'!CE46+'MD-data'!CE47+'MD-data'!CE58)/'MD-data'!CE36</f>
        <v>2.4794103320000743E-2</v>
      </c>
      <c r="BT15" s="242">
        <f>('MD-data'!CG38+'MD-data'!CG39+'MD-data'!CG40+'MD-data'!CG41+'MD-data'!CG42+'MD-data'!CG45+'MD-data'!CG46+'MD-data'!CG47+'MD-data'!CG58)/'MD-data'!CG36</f>
        <v>0</v>
      </c>
      <c r="BU15" s="242">
        <f>('MD-data'!CI38+'MD-data'!CI39+'MD-data'!CI40+'MD-data'!CI41+'MD-data'!CI42+'MD-data'!CI45+'MD-data'!CI46+'MD-data'!CI47+'MD-data'!CI58)/'MD-data'!CI36</f>
        <v>0.10905513141003986</v>
      </c>
      <c r="BV15" s="242">
        <f>('MD-data'!CK38+'MD-data'!CK39+'MD-data'!CK40+'MD-data'!CK41+'MD-data'!CK42+'MD-data'!CK45+'MD-data'!CK46+'MD-data'!CK47+'MD-data'!CK58)/'MD-data'!CK36</f>
        <v>9.9536223148659741E-3</v>
      </c>
      <c r="BW15" s="242">
        <f>('MD-data'!CM38+'MD-data'!CM39+'MD-data'!CM40+'MD-data'!CM41+'MD-data'!CM42+'MD-data'!CM45+'MD-data'!CM46+'MD-data'!CM47+'MD-data'!CM58)/'MD-data'!CM36</f>
        <v>3.0156629286590166E-2</v>
      </c>
      <c r="BX15" s="242">
        <f>('MD-data'!CO38+'MD-data'!CO39+'MD-data'!CO40+'MD-data'!CO41+'MD-data'!CO42+'MD-data'!CO45+'MD-data'!CO46+'MD-data'!CO47+'MD-data'!CO58)/'MD-data'!CO36</f>
        <v>2.5672277144537486E-2</v>
      </c>
      <c r="BY15" s="242">
        <f>('MD-data'!CQ38+'MD-data'!CQ39+'MD-data'!CQ40+'MD-data'!CQ41+'MD-data'!CQ42+'MD-data'!CQ45+'MD-data'!CQ46+'MD-data'!CQ47+'MD-data'!CQ58)/'MD-data'!CQ36</f>
        <v>3.1845508205670614E-2</v>
      </c>
      <c r="BZ15" s="242">
        <f>('MD-data'!CS38+'MD-data'!CS39+'MD-data'!CS40+'MD-data'!CS41+'MD-data'!CS42+'MD-data'!CS45+'MD-data'!CS46+'MD-data'!CS47+'MD-data'!CS58)/'MD-data'!CS36</f>
        <v>7.3800804792557781E-2</v>
      </c>
      <c r="CA15" s="242">
        <f>('MD-data'!CU38+'MD-data'!CU39+'MD-data'!CU40+'MD-data'!CU41+'MD-data'!CU42+'MD-data'!CU45+'MD-data'!CU46+'MD-data'!CU47+'MD-data'!CU58)/'MD-data'!CU36</f>
        <v>0.37770391917281448</v>
      </c>
      <c r="CB15" s="242">
        <f>('MD-data'!CW38+'MD-data'!CW39+'MD-data'!CW40+'MD-data'!CW41+'MD-data'!CW42+'MD-data'!CW45+'MD-data'!CW46+'MD-data'!CW47+'MD-data'!CW58)/'MD-data'!CW36</f>
        <v>9.9577105960743061E-3</v>
      </c>
      <c r="CC15" s="242">
        <f>('MD-data'!CY38+'MD-data'!CY39+'MD-data'!CY40+'MD-data'!CY41+'MD-data'!CY42+'MD-data'!CY45+'MD-data'!CY46+'MD-data'!CY47+'MD-data'!CY58)/'MD-data'!CY36</f>
        <v>2.7132448243533604E-3</v>
      </c>
      <c r="CD15" s="242"/>
      <c r="CF15" s="226">
        <f t="shared" ref="CF15:DK15" si="117">SMALL($AF15:$CC15,CF$1)</f>
        <v>0</v>
      </c>
      <c r="CG15" s="226">
        <f t="shared" si="117"/>
        <v>3.2590545335719024E-5</v>
      </c>
      <c r="CH15" s="226">
        <f t="shared" si="117"/>
        <v>4.5687257286445666E-5</v>
      </c>
      <c r="CI15" s="226">
        <f t="shared" si="117"/>
        <v>5.6992072764835396E-5</v>
      </c>
      <c r="CJ15" s="226">
        <f t="shared" si="117"/>
        <v>7.7337718502299834E-5</v>
      </c>
      <c r="CK15" s="226">
        <f t="shared" si="117"/>
        <v>2.132598982292416E-4</v>
      </c>
      <c r="CL15" s="226">
        <f t="shared" si="117"/>
        <v>4.5626172446522985E-4</v>
      </c>
      <c r="CM15" s="226">
        <f t="shared" si="117"/>
        <v>2.4718873638982166E-3</v>
      </c>
      <c r="CN15" s="226">
        <f t="shared" si="117"/>
        <v>2.7132448243533604E-3</v>
      </c>
      <c r="CO15" s="226">
        <f t="shared" si="117"/>
        <v>2.7928957072012473E-3</v>
      </c>
      <c r="CP15" s="226">
        <f t="shared" si="117"/>
        <v>3.2944517610447623E-3</v>
      </c>
      <c r="CQ15" s="226">
        <f t="shared" si="117"/>
        <v>3.7322601834459657E-3</v>
      </c>
      <c r="CR15" s="226">
        <f t="shared" si="117"/>
        <v>3.9021616232391824E-3</v>
      </c>
      <c r="CS15" s="226">
        <f t="shared" si="117"/>
        <v>4.1692943612966389E-3</v>
      </c>
      <c r="CT15" s="226">
        <f t="shared" si="117"/>
        <v>4.304545545803699E-3</v>
      </c>
      <c r="CU15" s="226">
        <f t="shared" si="117"/>
        <v>4.3067306959371906E-3</v>
      </c>
      <c r="CV15" s="226">
        <f t="shared" si="117"/>
        <v>4.4245954410867113E-3</v>
      </c>
      <c r="CW15" s="226">
        <f t="shared" si="117"/>
        <v>6.5304731884083759E-3</v>
      </c>
      <c r="CX15" s="226">
        <f t="shared" si="117"/>
        <v>6.7634879950104346E-3</v>
      </c>
      <c r="CY15" s="226">
        <f t="shared" si="117"/>
        <v>8.8410564661458423E-3</v>
      </c>
      <c r="CZ15" s="226">
        <f t="shared" si="117"/>
        <v>9.9536223148659741E-3</v>
      </c>
      <c r="DA15" s="226">
        <f t="shared" si="117"/>
        <v>9.9577105960743061E-3</v>
      </c>
      <c r="DB15" s="226">
        <f t="shared" si="117"/>
        <v>1.1240015123782409E-2</v>
      </c>
      <c r="DC15" s="226">
        <f t="shared" si="117"/>
        <v>1.2164521124770525E-2</v>
      </c>
      <c r="DD15" s="226">
        <f t="shared" si="117"/>
        <v>2.0688169230636499E-2</v>
      </c>
      <c r="DE15" s="226">
        <f t="shared" si="117"/>
        <v>2.4794103320000743E-2</v>
      </c>
      <c r="DF15" s="226">
        <f t="shared" si="117"/>
        <v>2.5672277144537486E-2</v>
      </c>
      <c r="DG15" s="226">
        <f t="shared" si="117"/>
        <v>3.0156629286590166E-2</v>
      </c>
      <c r="DH15" s="226">
        <f t="shared" si="117"/>
        <v>3.1845508205670614E-2</v>
      </c>
      <c r="DI15" s="226">
        <f t="shared" si="117"/>
        <v>4.2140906618595833E-2</v>
      </c>
      <c r="DJ15" s="226">
        <f t="shared" si="117"/>
        <v>4.8665614628931993E-2</v>
      </c>
      <c r="DK15" s="226">
        <f t="shared" si="117"/>
        <v>5.9847030631895837E-2</v>
      </c>
      <c r="DL15" s="226">
        <f t="shared" ref="DL15:EC15" si="118">SMALL($AF15:$CC15,DL$1)</f>
        <v>6.8021806622408643E-2</v>
      </c>
      <c r="DM15" s="226">
        <f t="shared" si="118"/>
        <v>6.8979284017324755E-2</v>
      </c>
      <c r="DN15" s="226">
        <f t="shared" si="118"/>
        <v>7.3800804792557781E-2</v>
      </c>
      <c r="DO15" s="226">
        <f t="shared" si="118"/>
        <v>9.5482637740214857E-2</v>
      </c>
      <c r="DP15" s="226">
        <f t="shared" si="118"/>
        <v>9.828479997800102E-2</v>
      </c>
      <c r="DQ15" s="226">
        <f t="shared" si="118"/>
        <v>0.10905513141003986</v>
      </c>
      <c r="DR15" s="226">
        <f t="shared" si="118"/>
        <v>0.12109868978731035</v>
      </c>
      <c r="DS15" s="226">
        <f t="shared" si="118"/>
        <v>0.12971337061827781</v>
      </c>
      <c r="DT15" s="226">
        <f t="shared" si="118"/>
        <v>0.17159988950462385</v>
      </c>
      <c r="DU15" s="226">
        <f t="shared" si="118"/>
        <v>0.2040439282075989</v>
      </c>
      <c r="DV15" s="226">
        <f t="shared" si="118"/>
        <v>0.27261538983387151</v>
      </c>
      <c r="DW15" s="226">
        <f t="shared" si="118"/>
        <v>0.28250313325762294</v>
      </c>
      <c r="DX15" s="226">
        <f t="shared" si="118"/>
        <v>0.28893170389500494</v>
      </c>
      <c r="DY15" s="226">
        <f t="shared" si="118"/>
        <v>0.3473405571019848</v>
      </c>
      <c r="DZ15" s="226">
        <f t="shared" si="118"/>
        <v>0.37034729969625446</v>
      </c>
      <c r="EA15" s="226">
        <f t="shared" si="118"/>
        <v>0.37770391917281448</v>
      </c>
      <c r="EB15" s="226">
        <f t="shared" si="118"/>
        <v>0.83373461834996332</v>
      </c>
      <c r="EC15" s="226">
        <f t="shared" si="118"/>
        <v>0.87166392717452534</v>
      </c>
      <c r="EF15" s="226" t="str">
        <f t="shared" ref="EF15:EF16" si="119">IFERROR(CG15/CF15,"")</f>
        <v/>
      </c>
      <c r="EG15" s="226">
        <f t="shared" ref="EG15:EG16" si="120">IFERROR(CH15/CG15,"")</f>
        <v>1.4018561768701898</v>
      </c>
      <c r="EH15" s="226">
        <f t="shared" ref="EH15:EH16" si="121">IFERROR(CI15/CH15,"")</f>
        <v>1.2474391362018487</v>
      </c>
      <c r="EI15" s="226">
        <f t="shared" ref="EI15:EI16" si="122">IFERROR(CJ15/CI15,"")</f>
        <v>1.3569908015350844</v>
      </c>
      <c r="EJ15" s="226">
        <f t="shared" ref="EJ15:EJ16" si="123">IFERROR(CK15/CJ15,"")</f>
        <v>2.7575147335500954</v>
      </c>
      <c r="EK15" s="226">
        <f t="shared" ref="EK15:EK16" si="124">IFERROR(CL15/CK15,"")</f>
        <v>2.1394632945701582</v>
      </c>
      <c r="EL15" s="226">
        <f t="shared" ref="EL15:EL16" si="125">IFERROR(CM15/CL15,"")</f>
        <v>5.417696097114959</v>
      </c>
      <c r="EM15" s="226">
        <f t="shared" ref="EM15:EM16" si="126">IFERROR(CN15/CM15,"")</f>
        <v>1.0976409621167036</v>
      </c>
      <c r="EN15" s="226">
        <f t="shared" ref="EN15:EN16" si="127">IFERROR(CO15/CN15,"")</f>
        <v>1.0293563198326086</v>
      </c>
      <c r="EO15" s="226">
        <f t="shared" ref="EO15:EO16" si="128">IFERROR(CP15/CO15,"")</f>
        <v>1.1795828081049695</v>
      </c>
      <c r="EP15" s="226">
        <f t="shared" ref="EP15:EP16" si="129">IFERROR(CQ15/CP15,"")</f>
        <v>1.1328926492650668</v>
      </c>
      <c r="EQ15" s="226">
        <f t="shared" ref="EQ15:EQ16" si="130">IFERROR(CR15/CQ15,"")</f>
        <v>1.0455223996833864</v>
      </c>
      <c r="ER15" s="226">
        <f t="shared" ref="ER15:ER16" si="131">IFERROR(CS15/CR15,"")</f>
        <v>1.0684576303724984</v>
      </c>
      <c r="ES15" s="226">
        <f t="shared" ref="ES15:ES16" si="132">IFERROR(CT15/CS15,"")</f>
        <v>1.032439826211982</v>
      </c>
      <c r="ET15" s="226">
        <f t="shared" ref="ET15:ET16" si="133">IFERROR(CU15/CT15,"")</f>
        <v>1.00050763782384</v>
      </c>
      <c r="EU15" s="226">
        <f t="shared" ref="EU15:EU16" si="134">IFERROR(CV15/CU15,"")</f>
        <v>1.0273675679932135</v>
      </c>
      <c r="EV15" s="226">
        <f t="shared" ref="EV15:EV16" si="135">IFERROR(CW15/CV15,"")</f>
        <v>1.4759480895736869</v>
      </c>
      <c r="EW15" s="226">
        <f t="shared" ref="EW15:EW16" si="136">IFERROR(CX15/CW15,"")</f>
        <v>1.0356811520206011</v>
      </c>
      <c r="EX15" s="226">
        <f t="shared" ref="EX15:EX16" si="137">IFERROR(CY15/CX15,"")</f>
        <v>1.3071741197246263</v>
      </c>
      <c r="EY15" s="226">
        <f t="shared" ref="EY15:EY16" si="138">IFERROR(CZ15/CY15,"")</f>
        <v>1.1258408260348034</v>
      </c>
      <c r="EZ15" s="226">
        <f t="shared" ref="EZ15:EZ16" si="139">IFERROR(DA15/CZ15,"")</f>
        <v>1.0004107330054333</v>
      </c>
      <c r="FA15" s="226">
        <f t="shared" ref="FA15:FA16" si="140">IFERROR(DB15/DA15,"")</f>
        <v>1.1287750347166781</v>
      </c>
      <c r="FB15" s="226">
        <f t="shared" ref="FB15:FB16" si="141">IFERROR(DC15/DB15,"")</f>
        <v>1.0822513129036617</v>
      </c>
      <c r="FC15" s="226">
        <f t="shared" ref="FC15:FC16" si="142">IFERROR(DD15/DC15,"")</f>
        <v>1.7006973820374509</v>
      </c>
      <c r="FD15" s="226">
        <f t="shared" ref="FD15:FD16" si="143">IFERROR(DE15/DD15,"")</f>
        <v>1.1984677350417208</v>
      </c>
      <c r="FE15" s="226">
        <f t="shared" ref="FE15:FE16" si="144">IFERROR(DF15/DE15,"")</f>
        <v>1.0354186563314167</v>
      </c>
      <c r="FF15" s="226">
        <f t="shared" ref="FF15:FF16" si="145">IFERROR(DG15/DF15,"")</f>
        <v>1.1746768359037778</v>
      </c>
      <c r="FG15" s="226">
        <f t="shared" ref="FG15:FG16" si="146">IFERROR(DH15/DG15,"")</f>
        <v>1.0560035706587223</v>
      </c>
      <c r="FH15" s="226">
        <f t="shared" ref="FH15:FH16" si="147">IFERROR(DI15/DH15,"")</f>
        <v>1.3232920117472629</v>
      </c>
      <c r="FI15" s="226">
        <f t="shared" ref="FI15:FI16" si="148">IFERROR(DJ15/DI15,"")</f>
        <v>1.154830746034708</v>
      </c>
      <c r="FJ15" s="226">
        <f t="shared" ref="FJ15:FJ16" si="149">IFERROR(DK15/DJ15,"")</f>
        <v>1.229760090121546</v>
      </c>
      <c r="FK15" s="226">
        <f t="shared" ref="FK15:FK16" si="150">IFERROR(DL15/DK15,"")</f>
        <v>1.1365945127803219</v>
      </c>
      <c r="FL15" s="226">
        <f t="shared" ref="FL15:FL16" si="151">IFERROR(DM15/DL15,"")</f>
        <v>1.014076035942872</v>
      </c>
      <c r="FM15" s="226">
        <f t="shared" ref="FM15:FM16" si="152">IFERROR(DN15/DM15,"")</f>
        <v>1.0698980983047324</v>
      </c>
      <c r="FN15" s="226">
        <f t="shared" ref="FN15:FN16" si="153">IFERROR(DO15/DN15,"")</f>
        <v>1.2937885705799717</v>
      </c>
      <c r="FO15" s="226">
        <f t="shared" ref="FO15:FO16" si="154">IFERROR(DP15/DO15,"")</f>
        <v>1.0293473484196172</v>
      </c>
      <c r="FP15" s="226">
        <f t="shared" ref="FP15:FP16" si="155">IFERROR(DQ15/DP15,"")</f>
        <v>1.1095828799005498</v>
      </c>
      <c r="FQ15" s="226">
        <f t="shared" ref="FQ15:FQ16" si="156">IFERROR(DR15/DQ15,"")</f>
        <v>1.1104355037819131</v>
      </c>
      <c r="FR15" s="226">
        <f t="shared" ref="FR15:FR16" si="157">IFERROR(DS15/DR15,"")</f>
        <v>1.0711376881624213</v>
      </c>
      <c r="FS15" s="226">
        <f t="shared" ref="FS15:FS16" si="158">IFERROR(DT15/DS15,"")</f>
        <v>1.3229159699319681</v>
      </c>
      <c r="FT15" s="226">
        <f t="shared" ref="FT15:FT16" si="159">IFERROR(DU15/DT15,"")</f>
        <v>1.1890679463526159</v>
      </c>
      <c r="FU15" s="226">
        <f t="shared" ref="FU15:FU16" si="160">IFERROR(DV15/DU15,"")</f>
        <v>1.3360622500685562</v>
      </c>
      <c r="FV15" s="226">
        <f t="shared" ref="FV15:FV16" si="161">IFERROR(DW15/DV15,"")</f>
        <v>1.0362699385011862</v>
      </c>
      <c r="FW15" s="226">
        <f t="shared" ref="FW15:FW16" si="162">IFERROR(DX15/DW15,"")</f>
        <v>1.0227557498681603</v>
      </c>
      <c r="FX15" s="226">
        <f t="shared" ref="FX15:FX16" si="163">IFERROR(DY15/DX15,"")</f>
        <v>1.2021545313982058</v>
      </c>
      <c r="FY15" s="226">
        <f t="shared" ref="FY15:FY16" si="164">IFERROR(DZ15/DY15,"")</f>
        <v>1.0662368448597683</v>
      </c>
      <c r="FZ15" s="226">
        <f t="shared" ref="FZ15:FZ16" si="165">IFERROR(EA15/DZ15,"")</f>
        <v>1.0198641099384109</v>
      </c>
      <c r="GA15" s="226">
        <f t="shared" ref="GA15:GA16" si="166">IFERROR(EB15/EA15,"")</f>
        <v>2.2073761378379997</v>
      </c>
      <c r="GB15" s="226">
        <f t="shared" ref="GB15:GB16" si="167">IFERROR(EC15/EB15,"")</f>
        <v>1.0454932636713916</v>
      </c>
    </row>
    <row r="16" spans="1:184" ht="30.75" thickBot="1" x14ac:dyDescent="0.3">
      <c r="A16" s="640"/>
      <c r="B16" s="634"/>
      <c r="C16" s="240">
        <v>0.1</v>
      </c>
      <c r="D16" s="234" t="s">
        <v>174</v>
      </c>
      <c r="E16" s="225" t="s">
        <v>176</v>
      </c>
      <c r="G16" s="595" t="s">
        <v>1533</v>
      </c>
      <c r="H16" s="224" t="s">
        <v>388</v>
      </c>
      <c r="I16" s="239"/>
      <c r="J16" s="646"/>
      <c r="L16" s="226">
        <f t="shared" si="114"/>
        <v>-12.281052631578948</v>
      </c>
      <c r="M16" s="226">
        <f t="shared" si="114"/>
        <v>-1.2374917224633949E-2</v>
      </c>
      <c r="N16" s="226">
        <f t="shared" si="114"/>
        <v>0.12616621976796039</v>
      </c>
      <c r="O16" s="226">
        <f t="shared" si="114"/>
        <v>2.971650204000901</v>
      </c>
      <c r="P16" s="226">
        <f t="shared" si="114"/>
        <v>857.2216122766705</v>
      </c>
      <c r="Q16" s="226"/>
      <c r="R16" s="573">
        <f t="shared" si="115"/>
        <v>4.0739009474878712E-9</v>
      </c>
      <c r="S16" s="563">
        <f t="shared" si="116"/>
        <v>55.108993685248855</v>
      </c>
      <c r="T16" s="563">
        <f t="array" ref="T16">((AVERAGE(IF((AF16:CC16&gt;=0)*(AF16:CC16&lt;Y16),AF16:CC16))-MIN(IF((AF16:CC16&gt;=0)*(AF16:CC16&lt;Y16),AF16:CC16)))/(MAX(IF((AF16:CC16&gt;=0)*(AF16:CC16&lt;Y16),AF16:CC16))-MIN(IF((AF16:CC16&gt;=0)*(AF16:CC16&lt;Y16),AF16:CC16))))^(-3/2)</f>
        <v>55.109057512366505</v>
      </c>
      <c r="U16" s="570">
        <v>318.65408977205362</v>
      </c>
      <c r="V16" s="570">
        <f>AVERAGE(AF16:CC16)</f>
        <v>23.928298456209077</v>
      </c>
      <c r="W16" s="226"/>
      <c r="X16" s="255"/>
      <c r="Y16" s="565">
        <f t="array" ref="Y16">Z16*(AVERAGE(IF($EF16:$GB16&lt;=QUARTILE($EF16:$GB16,3)+X$1*(QUARTILE($EF16:$GB16,3)-QUARTILE($EF16:$GB16,1)),$EF16:$GB16,"")))^(COUNT($AF16:$CC16)/4)</f>
        <v>210.60483936461708</v>
      </c>
      <c r="Z16" s="566">
        <f t="array" ref="Z16">AA16*AVERAGE(IF($EF16:$GB16&lt;=QUARTILE($EF16:$GB16,3),$EF16:$GB16,""))^(COUNTIFS($AF16:$CC16,"&gt;=0")/4)</f>
        <v>5.3219685148492397</v>
      </c>
      <c r="AA16" s="566">
        <f t="array" ref="AA16">QUARTILE(IF($AF16:$CC16&gt;=0,$AF16:$CC16,""),2)</f>
        <v>0.8898384879441904</v>
      </c>
      <c r="AB16" s="566">
        <f t="array" ref="AB16">AA16/AVERAGE(IF($EF16:$GB16&lt;=QUARTILE($EF16:$GB16,3),$EF16:$GB16,""))^(COUNTIFS($AF16:$CC16,"&gt;=0")/4)</f>
        <v>0.14878189008775705</v>
      </c>
      <c r="AC16" s="565">
        <v>0</v>
      </c>
      <c r="AF16" s="242">
        <f>('MD-data'!E38+'MD-data'!E39+'MD-data'!E40+'MD-data'!E41+'MD-data'!E42+'MD-data'!E45+'MD-data'!E46+'MD-data'!E47+'MD-data'!E58+'MD-data'!E55)/('MD-data'!E85+'MD-data'!E88)</f>
        <v>0.10989130180898454</v>
      </c>
      <c r="AG16" s="242">
        <f>('MD-data'!G38+'MD-data'!G39+'MD-data'!G40+'MD-data'!G41+'MD-data'!G42+'MD-data'!G45+'MD-data'!G46+'MD-data'!G47+'MD-data'!G58+'MD-data'!G55)/('MD-data'!G85+'MD-data'!G88)</f>
        <v>27.894211092319388</v>
      </c>
      <c r="AH16" s="242">
        <f>('MD-data'!I38+'MD-data'!I39+'MD-data'!I40+'MD-data'!I41+'MD-data'!I42+'MD-data'!I45+'MD-data'!I46+'MD-data'!I47+'MD-data'!I58+'MD-data'!I55)/('MD-data'!I85+'MD-data'!I88)</f>
        <v>-5.1594166997027102</v>
      </c>
      <c r="AI16" s="242">
        <f>('MD-data'!K38+'MD-data'!K39+'MD-data'!K40+'MD-data'!K41+'MD-data'!K42+'MD-data'!K45+'MD-data'!K46+'MD-data'!K47+'MD-data'!K58+'MD-data'!K55)/('MD-data'!K85+'MD-data'!K88)</f>
        <v>15.749746693596549</v>
      </c>
      <c r="AJ16" s="242">
        <v>0</v>
      </c>
      <c r="AK16" s="242">
        <f>('MD-data'!O38+'MD-data'!O39+'MD-data'!O40+'MD-data'!O41+'MD-data'!O42+'MD-data'!O45+'MD-data'!O46+'MD-data'!O47+'MD-data'!O58+'MD-data'!O55)/('MD-data'!O85+'MD-data'!O88)</f>
        <v>-0.18582284895766144</v>
      </c>
      <c r="AL16" s="242">
        <f>('MD-data'!Q38+'MD-data'!Q39+'MD-data'!Q40+'MD-data'!Q41+'MD-data'!Q42+'MD-data'!Q45+'MD-data'!Q46+'MD-data'!Q47+'MD-data'!Q58+'MD-data'!Q55)/('MD-data'!Q85+'MD-data'!Q88)</f>
        <v>150.13007537474689</v>
      </c>
      <c r="AM16" s="242">
        <f>('MD-data'!S38+'MD-data'!S39+'MD-data'!S40+'MD-data'!S41+'MD-data'!S42+'MD-data'!S45+'MD-data'!S46+'MD-data'!S47+'MD-data'!S58+'MD-data'!S55)/('MD-data'!S85+'MD-data'!S88)</f>
        <v>0.1424411377269362</v>
      </c>
      <c r="AN16" s="242">
        <f>('MD-data'!U38+'MD-data'!U39+'MD-data'!U40+'MD-data'!U41+'MD-data'!U42+'MD-data'!U45+'MD-data'!U46+'MD-data'!U47+'MD-data'!U58+'MD-data'!U55)/('MD-data'!U85+'MD-data'!U88)</f>
        <v>0.44352395158230645</v>
      </c>
      <c r="AO16" s="242">
        <f>('MD-data'!W38+'MD-data'!W39+'MD-data'!W40+'MD-data'!W41+'MD-data'!W42+'MD-data'!W45+'MD-data'!W46+'MD-data'!W47+'MD-data'!W58+'MD-data'!W55)/('MD-data'!W85+'MD-data'!W88)</f>
        <v>-2.5104245886537435</v>
      </c>
      <c r="AP16" s="242">
        <f>('MD-data'!Y38+'MD-data'!Y39+'MD-data'!Y40+'MD-data'!Y41+'MD-data'!Y42+'MD-data'!Y45+'MD-data'!Y46+'MD-data'!Y47+'MD-data'!Y58+'MD-data'!Y55)/('MD-data'!Y85+'MD-data'!Y88)</f>
        <v>857.2216122766705</v>
      </c>
      <c r="AQ16" s="242">
        <f>('MD-data'!AA38+'MD-data'!AA39+'MD-data'!AA40+'MD-data'!AA41+'MD-data'!AA42+'MD-data'!AA45+'MD-data'!AA46+'MD-data'!AA47+'MD-data'!AA58+'MD-data'!AA55)/('MD-data'!AA85+'MD-data'!AA88)</f>
        <v>2.659609622071808</v>
      </c>
      <c r="AR16" s="242">
        <f>('MD-data'!AC38+'MD-data'!AC39+'MD-data'!AC40+'MD-data'!AC41+'MD-data'!AC42+'MD-data'!AC45+'MD-data'!AC46+'MD-data'!AC47+'MD-data'!AC58+'MD-data'!AC55)/('MD-data'!AC85+'MD-data'!AC88)</f>
        <v>2.6757847319695573E-2</v>
      </c>
      <c r="AS16" s="242">
        <f>('MD-data'!AE38+'MD-data'!AE39+'MD-data'!AE40+'MD-data'!AE41+'MD-data'!AE42+'MD-data'!AE45+'MD-data'!AE46+'MD-data'!AE47+'MD-data'!AE58+'MD-data'!AE55)/('MD-data'!AE85+'MD-data'!AE88)</f>
        <v>-0.84616850588454995</v>
      </c>
      <c r="AT16" s="242">
        <f>('MD-data'!AG38+'MD-data'!AG39+'MD-data'!AG40+'MD-data'!AG41+'MD-data'!AG42+'MD-data'!AG45+'MD-data'!AG46+'MD-data'!AG47+'MD-data'!AG58+'MD-data'!AG55)/('MD-data'!AG85+'MD-data'!AG88)</f>
        <v>2.3838893115765512E-2</v>
      </c>
      <c r="AU16" s="242">
        <f>('MD-data'!AI38+'MD-data'!AI39+'MD-data'!AI40+'MD-data'!AI41+'MD-data'!AI42+'MD-data'!AI45+'MD-data'!AI46+'MD-data'!AI47+'MD-data'!AI58+'MD-data'!AI55)/('MD-data'!AI85+'MD-data'!AI88)</f>
        <v>-0.18658974981782853</v>
      </c>
      <c r="AV16" s="242">
        <f>('MD-data'!AK38+'MD-data'!AK39+'MD-data'!AK40+'MD-data'!AK41+'MD-data'!AK42+'MD-data'!AK45+'MD-data'!AK46+'MD-data'!AK47+'MD-data'!AK58+'MD-data'!AK55)/('MD-data'!AK85+'MD-data'!AK88)</f>
        <v>0.28188792300612575</v>
      </c>
      <c r="AW16" s="242">
        <f>('MD-data'!AM38+'MD-data'!AM39+'MD-data'!AM40+'MD-data'!AM41+'MD-data'!AM42+'MD-data'!AM45+'MD-data'!AM46+'MD-data'!AM47+'MD-data'!AM58+'MD-data'!AM55)/('MD-data'!AM85+'MD-data'!AM88)</f>
        <v>0.42676549909644673</v>
      </c>
      <c r="AX16" s="242">
        <f>('MD-data'!AO38+'MD-data'!AO39+'MD-data'!AO40+'MD-data'!AO41+'MD-data'!AO42+'MD-data'!AO45+'MD-data'!AO46+'MD-data'!AO47+'MD-data'!AO58+'MD-data'!AO55)/('MD-data'!AO85+'MD-data'!AO88)</f>
        <v>11.60363415218473</v>
      </c>
      <c r="AY16" s="242">
        <f>('MD-data'!AQ38+'MD-data'!AQ39+'MD-data'!AQ40+'MD-data'!AQ41+'MD-data'!AQ42+'MD-data'!AQ45+'MD-data'!AQ46+'MD-data'!AQ47+'MD-data'!AQ58+'MD-data'!AQ55)/('MD-data'!AQ85+'MD-data'!AQ88)</f>
        <v>0.28825693839737587</v>
      </c>
      <c r="AZ16" s="242">
        <f>('MD-data'!AS38+'MD-data'!AS39+'MD-data'!AS40+'MD-data'!AS41+'MD-data'!AS42+'MD-data'!AS45+'MD-data'!AS46+'MD-data'!AS47+'MD-data'!AS58+'MD-data'!AS55)/('MD-data'!AS85+'MD-data'!AS88)</f>
        <v>2.1389809647687379</v>
      </c>
      <c r="BA16" s="242">
        <f>('MD-data'!AU38+'MD-data'!AU39+'MD-data'!AU40+'MD-data'!AU41+'MD-data'!AU42+'MD-data'!AU45+'MD-data'!AU46+'MD-data'!AU47+'MD-data'!AU58+'MD-data'!AU55)/('MD-data'!AU85+'MD-data'!AU88)</f>
        <v>2.8245768908702184E-2</v>
      </c>
      <c r="BB16" s="242">
        <f>('MD-data'!AW38+'MD-data'!AW39+'MD-data'!AW40+'MD-data'!AW41+'MD-data'!AW42+'MD-data'!AW45+'MD-data'!AW46+'MD-data'!AW47+'MD-data'!AW58+'MD-data'!AW55)/('MD-data'!AW85+'MD-data'!AW88)</f>
        <v>-5.6734294242135528</v>
      </c>
      <c r="BC16" s="242">
        <f>('MD-data'!AY38+'MD-data'!AY39+'MD-data'!AY40+'MD-data'!AY41+'MD-data'!AY42+'MD-data'!AY45+'MD-data'!AY46+'MD-data'!AY47+'MD-data'!AY58+'MD-data'!AY55)/('MD-data'!AY85+'MD-data'!AY88)</f>
        <v>3.0756637313105988</v>
      </c>
      <c r="BD16" s="242">
        <f>('MD-data'!BA38+'MD-data'!BA39+'MD-data'!BA40+'MD-data'!BA41+'MD-data'!BA42+'MD-data'!BA45+'MD-data'!BA46+'MD-data'!BA47+'MD-data'!BA58+'MD-data'!BA55)/('MD-data'!BA85+'MD-data'!BA88)</f>
        <v>-1.0359195296183834</v>
      </c>
      <c r="BE16" s="242">
        <f>('MD-data'!BC38+'MD-data'!BC39+'MD-data'!BC40+'MD-data'!BC41+'MD-data'!BC42+'MD-data'!BC45+'MD-data'!BC46+'MD-data'!BC47+'MD-data'!BC58+'MD-data'!BC55)/('MD-data'!BC85+'MD-data'!BC88)</f>
        <v>5.2819170706884149E-3</v>
      </c>
      <c r="BF16" s="242">
        <f>('MD-data'!BE38+'MD-data'!BE39+'MD-data'!BE40+'MD-data'!BE41+'MD-data'!BE42+'MD-data'!BE45+'MD-data'!BE46+'MD-data'!BE47+'MD-data'!BE58+'MD-data'!BE55)/('MD-data'!BE85+'MD-data'!BE88)</f>
        <v>0.8898384879441904</v>
      </c>
      <c r="BG16" s="242">
        <f>('MD-data'!BG38+'MD-data'!BG39+'MD-data'!BG40+'MD-data'!BG41+'MD-data'!BG42+'MD-data'!BG45+'MD-data'!BG46+'MD-data'!BG47+'MD-data'!BG58+'MD-data'!BG55)/('MD-data'!BG85+'MD-data'!BG88)</f>
        <v>-0.19919842341843627</v>
      </c>
      <c r="BH16" s="242">
        <f>('MD-data'!BI38+'MD-data'!BI39+'MD-data'!BI40+'MD-data'!BI41+'MD-data'!BI42+'MD-data'!BI45+'MD-data'!BI46+'MD-data'!BI47+'MD-data'!BI58+'MD-data'!BI55)/('MD-data'!BI85+'MD-data'!BI88)</f>
        <v>4.3123174452352293</v>
      </c>
      <c r="BI16" s="242">
        <f>('MD-data'!BL38+'MD-data'!BL39+'MD-data'!BL40+'MD-data'!BL41+'MD-data'!BL42+'MD-data'!BL45+'MD-data'!BL46+'MD-data'!BL47+'MD-data'!BL58+'MD-data'!BL55)/('MD-data'!BL85+'MD-data'!BL88)</f>
        <v>1.2083143633832076</v>
      </c>
      <c r="BJ16" s="242">
        <f>('MD-data'!BM38+'MD-data'!BM39+'MD-data'!BM40+'MD-data'!BM41+'MD-data'!BM42+'MD-data'!BM45+'MD-data'!BM46+'MD-data'!BM47+'MD-data'!BM58+'MD-data'!BM55)/('MD-data'!BM85+'MD-data'!BM88)</f>
        <v>2.1471809766823204E-2</v>
      </c>
      <c r="BK16" s="242">
        <f>('MD-data'!BO38+'MD-data'!BO39+'MD-data'!BO40+'MD-data'!BO41+'MD-data'!BO42+'MD-data'!BO45+'MD-data'!BO46+'MD-data'!BO47+'MD-data'!BO58+'MD-data'!BO55)/('MD-data'!BO85+'MD-data'!BO88)</f>
        <v>77.945687511550929</v>
      </c>
      <c r="BL16" s="242">
        <f>('MD-data'!BQ38+'MD-data'!BQ39+'MD-data'!BQ40+'MD-data'!BQ41+'MD-data'!BQ42+'MD-data'!BQ45+'MD-data'!BQ46+'MD-data'!BQ47+'MD-data'!BQ58+'MD-data'!BQ55)/('MD-data'!BQ85+'MD-data'!BQ88)</f>
        <v>37.171578909301317</v>
      </c>
      <c r="BM16" s="242">
        <f>('MD-data'!BS38+'MD-data'!BS39+'MD-data'!BS40+'MD-data'!BS41+'MD-data'!BS42+'MD-data'!BS45+'MD-data'!BS46+'MD-data'!BS47+'MD-data'!BS58+'MD-data'!BS55)/('MD-data'!BS85+'MD-data'!BS88)</f>
        <v>4.5919883309472999E-4</v>
      </c>
      <c r="BN16" s="242">
        <f>('MD-data'!BU38+'MD-data'!BU39+'MD-data'!BU40+'MD-data'!BU41+'MD-data'!BU42+'MD-data'!BU45+'MD-data'!BU46+'MD-data'!BU47+'MD-data'!BU58+'MD-data'!BU55)/('MD-data'!BU85+'MD-data'!BU88)</f>
        <v>1.8937718948627047</v>
      </c>
      <c r="BO16" s="242">
        <f>('MD-data'!BW38+'MD-data'!BW39+'MD-data'!BW40+'MD-data'!BW41+'MD-data'!BW42+'MD-data'!BW45+'MD-data'!BW46+'MD-data'!BW47+'MD-data'!BW58+'MD-data'!BW55)/('MD-data'!BW85+'MD-data'!BW88)</f>
        <v>1.8974563411434889E-2</v>
      </c>
      <c r="BP16" s="242">
        <f>('MD-data'!BY38+'MD-data'!BY39+'MD-data'!BY40+'MD-data'!BY41+'MD-data'!BY42+'MD-data'!BY45+'MD-data'!BY46+'MD-data'!BY47+'MD-data'!BY58+'MD-data'!BY55)/('MD-data'!BY85+'MD-data'!BY88)</f>
        <v>4.1399162881990722E-4</v>
      </c>
      <c r="BQ16" s="242">
        <f>('MD-data'!CA38+'MD-data'!CA39+'MD-data'!CA40+'MD-data'!CA41+'MD-data'!CA42+'MD-data'!CA45+'MD-data'!CA46+'MD-data'!CA47+'MD-data'!CA58+'MD-data'!CA55)/('MD-data'!CA85+'MD-data'!CA88)</f>
        <v>-1.6499889632845266E-2</v>
      </c>
      <c r="BR16" s="242">
        <f>('MD-data'!CC38+'MD-data'!CC39+'MD-data'!CC40+'MD-data'!CC41+'MD-data'!CC42+'MD-data'!CC45+'MD-data'!CC46+'MD-data'!CC47+'MD-data'!CC58+'MD-data'!CC55)/('MD-data'!CC85+'MD-data'!CC88)</f>
        <v>3.8921930286832792E-3</v>
      </c>
      <c r="BS16" s="242">
        <f>('MD-data'!CE38+'MD-data'!CE39+'MD-data'!CE40+'MD-data'!CE41+'MD-data'!CE42+'MD-data'!CE45+'MD-data'!CE46+'MD-data'!CE47+'MD-data'!CE58+'MD-data'!CE55)/('MD-data'!CE85+'MD-data'!CE88)</f>
        <v>-5.3927529218541492</v>
      </c>
      <c r="BT16" s="242">
        <f>('MD-data'!CG38+'MD-data'!CG39+'MD-data'!CG40+'MD-data'!CG41+'MD-data'!CG42+'MD-data'!CG45+'MD-data'!CG46+'MD-data'!CG47+'MD-data'!CG58+'MD-data'!CG55)/('MD-data'!CG85+'MD-data'!CG88)</f>
        <v>0</v>
      </c>
      <c r="BU16" s="242">
        <f>('MD-data'!CI38+'MD-data'!CI39+'MD-data'!CI40+'MD-data'!CI41+'MD-data'!CI42+'MD-data'!CI45+'MD-data'!CI46+'MD-data'!CI47+'MD-data'!CI58+'MD-data'!CI55)/('MD-data'!CI85+'MD-data'!CI88)</f>
        <v>4.8593066465967354</v>
      </c>
      <c r="BV16" s="242">
        <f>('MD-data'!CK38+'MD-data'!CK39+'MD-data'!CK40+'MD-data'!CK41+'MD-data'!CK42+'MD-data'!CK45+'MD-data'!CK46+'MD-data'!CK47+'MD-data'!CK58+'MD-data'!CK55)/('MD-data'!CK85+'MD-data'!CK88)</f>
        <v>0.77339621107407108</v>
      </c>
      <c r="BW16" s="242">
        <f>('MD-data'!CM38+'MD-data'!CM39+'MD-data'!CM40+'MD-data'!CM41+'MD-data'!CM42+'MD-data'!CM45+'MD-data'!CM46+'MD-data'!CM47+'MD-data'!CM58+'MD-data'!CM55)/('MD-data'!CM85+'MD-data'!CM88)</f>
        <v>10.484653186175784</v>
      </c>
      <c r="BX16" s="242">
        <f>('MD-data'!CO38+'MD-data'!CO39+'MD-data'!CO40+'MD-data'!CO41+'MD-data'!CO42+'MD-data'!CO45+'MD-data'!CO46+'MD-data'!CO47+'MD-data'!CO58+'MD-data'!CO55)/('MD-data'!CO85+'MD-data'!CO88)</f>
        <v>-7.2967345067373082E-2</v>
      </c>
      <c r="BY16" s="242">
        <f>('MD-data'!CQ38+'MD-data'!CQ39+'MD-data'!CQ40+'MD-data'!CQ41+'MD-data'!CQ42+'MD-data'!CQ45+'MD-data'!CQ46+'MD-data'!CQ47+'MD-data'!CQ58+'MD-data'!CQ55)/('MD-data'!CQ85+'MD-data'!CQ88)</f>
        <v>-12.281052631578948</v>
      </c>
      <c r="BZ16" s="242">
        <f>('MD-data'!CS38+'MD-data'!CS39+'MD-data'!CS40+'MD-data'!CS41+'MD-data'!CS42+'MD-data'!CS45+'MD-data'!CS46+'MD-data'!CS47+'MD-data'!CS58+'MD-data'!CS55)/('MD-data'!CS85+'MD-data'!CS88)</f>
        <v>3.2179402867289228</v>
      </c>
      <c r="CA16" s="242">
        <f>('MD-data'!CU38+'MD-data'!CU39+'MD-data'!CU40+'MD-data'!CU41+'MD-data'!CU42+'MD-data'!CU45+'MD-data'!CU46+'MD-data'!CU47+'MD-data'!CU58+'MD-data'!CU55)/('MD-data'!CU85+'MD-data'!CU88)</f>
        <v>14.346124726727634</v>
      </c>
      <c r="CB16" s="242">
        <f>('MD-data'!CW38+'MD-data'!CW39+'MD-data'!CW40+'MD-data'!CW41+'MD-data'!CW42+'MD-data'!CW45+'MD-data'!CW46+'MD-data'!CW47+'MD-data'!CW58+'MD-data'!CW55)/('MD-data'!CW85+'MD-data'!CW88)</f>
        <v>-0.45782959215934238</v>
      </c>
      <c r="CC16" s="242">
        <f>('MD-data'!CY38+'MD-data'!CY39+'MD-data'!CY40+'MD-data'!CY41+'MD-data'!CY42+'MD-data'!CY45+'MD-data'!CY46+'MD-data'!CY47+'MD-data'!CY58+'MD-data'!CY55)/('MD-data'!CY85+'MD-data'!CY88)</f>
        <v>1.0344284490619216</v>
      </c>
      <c r="CD16" s="242"/>
      <c r="CF16" s="226">
        <f t="array" ref="CF16">IFERROR(SMALL(IF($AF16:$CC16&gt;=0,$AF16:$CC16,""),CF$1),"")</f>
        <v>0</v>
      </c>
      <c r="CG16" s="226">
        <f t="array" ref="CG16">IFERROR(SMALL(IF($AF16:$CC16&gt;=0,$AF16:$CC16,""),CG$1),"")</f>
        <v>0</v>
      </c>
      <c r="CH16" s="226">
        <f t="array" ref="CH16">IFERROR(SMALL(IF($AF16:$CC16&gt;=0,$AF16:$CC16,""),CH$1),"")</f>
        <v>4.1399162881990722E-4</v>
      </c>
      <c r="CI16" s="226">
        <f t="array" ref="CI16">IFERROR(SMALL(IF($AF16:$CC16&gt;=0,$AF16:$CC16,""),CI$1),"")</f>
        <v>4.5919883309472999E-4</v>
      </c>
      <c r="CJ16" s="226">
        <f t="array" ref="CJ16">IFERROR(SMALL(IF($AF16:$CC16&gt;=0,$AF16:$CC16,""),CJ$1),"")</f>
        <v>3.8921930286832792E-3</v>
      </c>
      <c r="CK16" s="226">
        <f t="array" ref="CK16">IFERROR(SMALL(IF($AF16:$CC16&gt;=0,$AF16:$CC16,""),CK$1),"")</f>
        <v>5.2819170706884149E-3</v>
      </c>
      <c r="CL16" s="226">
        <f t="array" ref="CL16">IFERROR(SMALL(IF($AF16:$CC16&gt;=0,$AF16:$CC16,""),CL$1),"")</f>
        <v>1.8974563411434889E-2</v>
      </c>
      <c r="CM16" s="226">
        <f t="array" ref="CM16">IFERROR(SMALL(IF($AF16:$CC16&gt;=0,$AF16:$CC16,""),CM$1),"")</f>
        <v>2.1471809766823204E-2</v>
      </c>
      <c r="CN16" s="226">
        <f t="array" ref="CN16">IFERROR(SMALL(IF($AF16:$CC16&gt;=0,$AF16:$CC16,""),CN$1),"")</f>
        <v>2.3838893115765512E-2</v>
      </c>
      <c r="CO16" s="226">
        <f t="array" ref="CO16">IFERROR(SMALL(IF($AF16:$CC16&gt;=0,$AF16:$CC16,""),CO$1),"")</f>
        <v>2.6757847319695573E-2</v>
      </c>
      <c r="CP16" s="226">
        <f t="array" ref="CP16">IFERROR(SMALL(IF($AF16:$CC16&gt;=0,$AF16:$CC16,""),CP$1),"")</f>
        <v>2.8245768908702184E-2</v>
      </c>
      <c r="CQ16" s="226">
        <f t="array" ref="CQ16">IFERROR(SMALL(IF($AF16:$CC16&gt;=0,$AF16:$CC16,""),CQ$1),"")</f>
        <v>0.10989130180898454</v>
      </c>
      <c r="CR16" s="226">
        <f t="array" ref="CR16">IFERROR(SMALL(IF($AF16:$CC16&gt;=0,$AF16:$CC16,""),CR$1),"")</f>
        <v>0.1424411377269362</v>
      </c>
      <c r="CS16" s="226">
        <f t="array" ref="CS16">IFERROR(SMALL(IF($AF16:$CC16&gt;=0,$AF16:$CC16,""),CS$1),"")</f>
        <v>0.28188792300612575</v>
      </c>
      <c r="CT16" s="226">
        <f t="array" ref="CT16">IFERROR(SMALL(IF($AF16:$CC16&gt;=0,$AF16:$CC16,""),CT$1),"")</f>
        <v>0.28825693839737587</v>
      </c>
      <c r="CU16" s="226">
        <f t="array" ref="CU16">IFERROR(SMALL(IF($AF16:$CC16&gt;=0,$AF16:$CC16,""),CU$1),"")</f>
        <v>0.42676549909644673</v>
      </c>
      <c r="CV16" s="226">
        <f t="array" ref="CV16">IFERROR(SMALL(IF($AF16:$CC16&gt;=0,$AF16:$CC16,""),CV$1),"")</f>
        <v>0.44352395158230645</v>
      </c>
      <c r="CW16" s="226">
        <f t="array" ref="CW16">IFERROR(SMALL(IF($AF16:$CC16&gt;=0,$AF16:$CC16,""),CW$1),"")</f>
        <v>0.77339621107407108</v>
      </c>
      <c r="CX16" s="226">
        <f t="array" ref="CX16">IFERROR(SMALL(IF($AF16:$CC16&gt;=0,$AF16:$CC16,""),CX$1),"")</f>
        <v>0.8898384879441904</v>
      </c>
      <c r="CY16" s="226">
        <f t="array" ref="CY16">IFERROR(SMALL(IF($AF16:$CC16&gt;=0,$AF16:$CC16,""),CY$1),"")</f>
        <v>1.0344284490619216</v>
      </c>
      <c r="CZ16" s="226">
        <f t="array" ref="CZ16">IFERROR(SMALL(IF($AF16:$CC16&gt;=0,$AF16:$CC16,""),CZ$1),"")</f>
        <v>1.2083143633832076</v>
      </c>
      <c r="DA16" s="226">
        <f t="array" ref="DA16">IFERROR(SMALL(IF($AF16:$CC16&gt;=0,$AF16:$CC16,""),DA$1),"")</f>
        <v>1.8937718948627047</v>
      </c>
      <c r="DB16" s="226">
        <f t="array" ref="DB16">IFERROR(SMALL(IF($AF16:$CC16&gt;=0,$AF16:$CC16,""),DB$1),"")</f>
        <v>2.1389809647687379</v>
      </c>
      <c r="DC16" s="226">
        <f t="array" ref="DC16">IFERROR(SMALL(IF($AF16:$CC16&gt;=0,$AF16:$CC16,""),DC$1),"")</f>
        <v>2.659609622071808</v>
      </c>
      <c r="DD16" s="226">
        <f t="array" ref="DD16">IFERROR(SMALL(IF($AF16:$CC16&gt;=0,$AF16:$CC16,""),DD$1),"")</f>
        <v>3.0756637313105988</v>
      </c>
      <c r="DE16" s="226">
        <f t="array" ref="DE16">IFERROR(SMALL(IF($AF16:$CC16&gt;=0,$AF16:$CC16,""),DE$1),"")</f>
        <v>3.2179402867289228</v>
      </c>
      <c r="DF16" s="226">
        <f t="array" ref="DF16">IFERROR(SMALL(IF($AF16:$CC16&gt;=0,$AF16:$CC16,""),DF$1),"")</f>
        <v>4.3123174452352293</v>
      </c>
      <c r="DG16" s="226">
        <f t="array" ref="DG16">IFERROR(SMALL(IF($AF16:$CC16&gt;=0,$AF16:$CC16,""),DG$1),"")</f>
        <v>4.8593066465967354</v>
      </c>
      <c r="DH16" s="226">
        <f t="array" ref="DH16">IFERROR(SMALL(IF($AF16:$CC16&gt;=0,$AF16:$CC16,""),DH$1),"")</f>
        <v>10.484653186175784</v>
      </c>
      <c r="DI16" s="226">
        <f t="array" ref="DI16">IFERROR(SMALL(IF($AF16:$CC16&gt;=0,$AF16:$CC16,""),DI$1),"")</f>
        <v>11.60363415218473</v>
      </c>
      <c r="DJ16" s="226">
        <f t="array" ref="DJ16">IFERROR(SMALL(IF($AF16:$CC16&gt;=0,$AF16:$CC16,""),DJ$1),"")</f>
        <v>14.346124726727634</v>
      </c>
      <c r="DK16" s="226">
        <f t="array" ref="DK16">IFERROR(SMALL(IF($AF16:$CC16&gt;=0,$AF16:$CC16,""),DK$1),"")</f>
        <v>15.749746693596549</v>
      </c>
      <c r="DL16" s="226">
        <f t="array" ref="DL16">IFERROR(SMALL(IF($AF16:$CC16&gt;=0,$AF16:$CC16,""),DL$1),"")</f>
        <v>27.894211092319388</v>
      </c>
      <c r="DM16" s="226">
        <f t="array" ref="DM16">IFERROR(SMALL(IF($AF16:$CC16&gt;=0,$AF16:$CC16,""),DM$1),"")</f>
        <v>37.171578909301317</v>
      </c>
      <c r="DN16" s="226">
        <f t="array" ref="DN16">IFERROR(SMALL(IF($AF16:$CC16&gt;=0,$AF16:$CC16,""),DN$1),"")</f>
        <v>77.945687511550929</v>
      </c>
      <c r="DO16" s="226">
        <f t="array" ref="DO16">IFERROR(SMALL(IF($AF16:$CC16&gt;=0,$AF16:$CC16,""),DO$1),"")</f>
        <v>150.13007537474689</v>
      </c>
      <c r="DP16" s="226">
        <f t="array" ref="DP16">IFERROR(SMALL(IF($AF16:$CC16&gt;=0,$AF16:$CC16,""),DP$1),"")</f>
        <v>857.2216122766705</v>
      </c>
      <c r="DQ16" s="226" t="str">
        <f t="array" ref="DQ16">IFERROR(SMALL(IF($AF16:$CC16&gt;=0,$AF16:$CC16,""),DQ$1),"")</f>
        <v/>
      </c>
      <c r="DR16" s="226" t="str">
        <f t="array" ref="DR16">IFERROR(SMALL(IF($AF16:$CC16&gt;=0,$AF16:$CC16,""),DR$1),"")</f>
        <v/>
      </c>
      <c r="DS16" s="226" t="str">
        <f t="array" ref="DS16">IFERROR(SMALL(IF($AF16:$CC16&gt;=0,$AF16:$CC16,""),DS$1),"")</f>
        <v/>
      </c>
      <c r="DT16" s="226" t="str">
        <f t="array" ref="DT16">IFERROR(SMALL(IF($AF16:$CC16&gt;=0,$AF16:$CC16,""),DT$1),"")</f>
        <v/>
      </c>
      <c r="DU16" s="226" t="str">
        <f t="array" ref="DU16">IFERROR(SMALL(IF($AF16:$CC16&gt;=0,$AF16:$CC16,""),DU$1),"")</f>
        <v/>
      </c>
      <c r="DV16" s="226" t="str">
        <f t="array" ref="DV16">IFERROR(SMALL(IF($AF16:$CC16&gt;=0,$AF16:$CC16,""),DV$1),"")</f>
        <v/>
      </c>
      <c r="DW16" s="226" t="str">
        <f t="array" ref="DW16">IFERROR(SMALL(IF($AF16:$CC16&gt;=0,$AF16:$CC16,""),DW$1),"")</f>
        <v/>
      </c>
      <c r="DX16" s="226" t="str">
        <f t="array" ref="DX16">IFERROR(SMALL(IF($AF16:$CC16&gt;=0,$AF16:$CC16,""),DX$1),"")</f>
        <v/>
      </c>
      <c r="DY16" s="226" t="str">
        <f t="array" ref="DY16">IFERROR(SMALL(IF($AF16:$CC16&gt;=0,$AF16:$CC16,""),DY$1),"")</f>
        <v/>
      </c>
      <c r="DZ16" s="226" t="str">
        <f t="array" ref="DZ16">IFERROR(SMALL(IF($AF16:$CC16&gt;=0,$AF16:$CC16,""),DZ$1),"")</f>
        <v/>
      </c>
      <c r="EA16" s="226" t="str">
        <f t="array" ref="EA16">IFERROR(SMALL(IF($AF16:$CC16&gt;=0,$AF16:$CC16,""),EA$1),"")</f>
        <v/>
      </c>
      <c r="EB16" s="226" t="str">
        <f t="array" ref="EB16">IFERROR(SMALL(IF($AF16:$CC16&gt;=0,$AF16:$CC16,""),EB$1),"")</f>
        <v/>
      </c>
      <c r="EC16" s="226" t="str">
        <f t="array" ref="EC16">IFERROR(SMALL(IF($AF16:$CC16&gt;=0,$AF16:$CC16,""),EC$1),"")</f>
        <v/>
      </c>
      <c r="EF16" s="226" t="str">
        <f t="shared" si="119"/>
        <v/>
      </c>
      <c r="EG16" s="226" t="str">
        <f t="shared" si="120"/>
        <v/>
      </c>
      <c r="EH16" s="226">
        <f t="shared" si="121"/>
        <v>1.1091983536084702</v>
      </c>
      <c r="EI16" s="226">
        <f t="shared" si="122"/>
        <v>8.4760516538166879</v>
      </c>
      <c r="EJ16" s="226">
        <f t="shared" si="123"/>
        <v>1.3570542446799656</v>
      </c>
      <c r="EK16" s="226">
        <f t="shared" si="124"/>
        <v>3.5923629919774287</v>
      </c>
      <c r="EL16" s="226">
        <f t="shared" si="125"/>
        <v>1.1316102142241315</v>
      </c>
      <c r="EM16" s="226">
        <f t="shared" si="126"/>
        <v>1.1102414456279213</v>
      </c>
      <c r="EN16" s="226">
        <f t="shared" si="127"/>
        <v>1.1224450392790952</v>
      </c>
      <c r="EO16" s="226">
        <f t="shared" si="128"/>
        <v>1.0556069242502704</v>
      </c>
      <c r="EP16" s="226">
        <f t="shared" si="129"/>
        <v>3.8905402846062493</v>
      </c>
      <c r="EQ16" s="226">
        <f t="shared" si="130"/>
        <v>1.2962002941281967</v>
      </c>
      <c r="ER16" s="226">
        <f t="shared" si="131"/>
        <v>1.9789783169698707</v>
      </c>
      <c r="ES16" s="226">
        <f t="shared" si="132"/>
        <v>1.0225941406901342</v>
      </c>
      <c r="ET16" s="226">
        <f t="shared" si="133"/>
        <v>1.480503822281392</v>
      </c>
      <c r="EU16" s="226">
        <f t="shared" si="134"/>
        <v>1.0392685269107764</v>
      </c>
      <c r="EV16" s="226">
        <f t="shared" si="135"/>
        <v>1.7437529772967604</v>
      </c>
      <c r="EW16" s="226">
        <f t="shared" si="136"/>
        <v>1.1505596681271655</v>
      </c>
      <c r="EX16" s="226">
        <f t="shared" si="137"/>
        <v>1.1624901182368272</v>
      </c>
      <c r="EY16" s="226">
        <f t="shared" si="138"/>
        <v>1.168098542222979</v>
      </c>
      <c r="EZ16" s="226">
        <f t="shared" si="139"/>
        <v>1.5672841044115846</v>
      </c>
      <c r="FA16" s="226">
        <f t="shared" si="140"/>
        <v>1.1294818402212112</v>
      </c>
      <c r="FB16" s="226">
        <f t="shared" si="141"/>
        <v>1.2434003228071546</v>
      </c>
      <c r="FC16" s="226">
        <f t="shared" si="142"/>
        <v>1.1564342773413074</v>
      </c>
      <c r="FD16" s="226">
        <f t="shared" si="143"/>
        <v>1.046258813657011</v>
      </c>
      <c r="FE16" s="226">
        <f t="shared" si="144"/>
        <v>1.3400862231718895</v>
      </c>
      <c r="FF16" s="226">
        <f t="shared" si="145"/>
        <v>1.1268434451563594</v>
      </c>
      <c r="FG16" s="226">
        <f t="shared" si="146"/>
        <v>2.1576438674679683</v>
      </c>
      <c r="FH16" s="226">
        <f t="shared" si="147"/>
        <v>1.106725606096761</v>
      </c>
      <c r="FI16" s="226">
        <f t="shared" si="148"/>
        <v>1.2363475561685602</v>
      </c>
      <c r="FJ16" s="226">
        <f t="shared" si="149"/>
        <v>1.0978397995002711</v>
      </c>
      <c r="FK16" s="226">
        <f t="shared" si="150"/>
        <v>1.7710895060718959</v>
      </c>
      <c r="FL16" s="226">
        <f t="shared" si="151"/>
        <v>1.3325911525612721</v>
      </c>
      <c r="FM16" s="226">
        <f t="shared" si="152"/>
        <v>2.0969162408123281</v>
      </c>
      <c r="FN16" s="226">
        <f t="shared" si="153"/>
        <v>1.9260857164483771</v>
      </c>
      <c r="FO16" s="226">
        <f t="shared" si="154"/>
        <v>5.7098593345598374</v>
      </c>
      <c r="FP16" s="226" t="str">
        <f t="shared" si="155"/>
        <v/>
      </c>
      <c r="FQ16" s="226" t="str">
        <f t="shared" si="156"/>
        <v/>
      </c>
      <c r="FR16" s="226" t="str">
        <f t="shared" si="157"/>
        <v/>
      </c>
      <c r="FS16" s="226" t="str">
        <f t="shared" si="158"/>
        <v/>
      </c>
      <c r="FT16" s="226" t="str">
        <f t="shared" si="159"/>
        <v/>
      </c>
      <c r="FU16" s="226" t="str">
        <f t="shared" si="160"/>
        <v/>
      </c>
      <c r="FV16" s="226" t="str">
        <f t="shared" si="161"/>
        <v/>
      </c>
      <c r="FW16" s="226" t="str">
        <f t="shared" si="162"/>
        <v/>
      </c>
      <c r="FX16" s="226" t="str">
        <f t="shared" si="163"/>
        <v/>
      </c>
      <c r="FY16" s="226" t="str">
        <f t="shared" si="164"/>
        <v/>
      </c>
      <c r="FZ16" s="226" t="str">
        <f t="shared" si="165"/>
        <v/>
      </c>
      <c r="GA16" s="226" t="str">
        <f t="shared" si="166"/>
        <v/>
      </c>
      <c r="GB16" s="226" t="str">
        <f t="shared" si="167"/>
        <v/>
      </c>
    </row>
    <row r="17" spans="1:184" ht="15.75" thickBot="1" x14ac:dyDescent="0.3">
      <c r="A17" s="641"/>
      <c r="B17" s="635"/>
      <c r="C17" s="636" t="s">
        <v>397</v>
      </c>
      <c r="D17" s="637"/>
      <c r="E17" s="638"/>
      <c r="G17" s="595"/>
      <c r="H17" s="239"/>
      <c r="I17" s="239"/>
      <c r="J17" s="646"/>
      <c r="L17" s="226"/>
      <c r="M17" s="226"/>
      <c r="N17" s="226"/>
      <c r="O17" s="226"/>
      <c r="P17" s="226"/>
      <c r="Q17" s="226"/>
      <c r="R17" s="563"/>
      <c r="S17" s="563"/>
      <c r="T17" s="563"/>
      <c r="U17" s="570"/>
      <c r="V17" s="570"/>
      <c r="W17" s="226"/>
      <c r="X17" s="255"/>
      <c r="Y17" s="563"/>
      <c r="Z17" s="563"/>
      <c r="AA17" s="563"/>
      <c r="AB17" s="563"/>
      <c r="AC17" s="563"/>
      <c r="AF17" s="242"/>
      <c r="AG17" s="242"/>
      <c r="AH17" s="242"/>
      <c r="AI17" s="242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2"/>
      <c r="AX17" s="242"/>
      <c r="AY17" s="242"/>
      <c r="AZ17" s="242"/>
      <c r="BA17" s="242"/>
      <c r="BB17" s="242"/>
      <c r="BC17" s="242"/>
      <c r="BD17" s="242"/>
      <c r="BE17" s="242"/>
      <c r="BF17" s="242"/>
      <c r="BG17" s="242"/>
      <c r="BH17" s="242"/>
      <c r="BI17" s="242"/>
      <c r="BJ17" s="242"/>
      <c r="BK17" s="242"/>
      <c r="BL17" s="242"/>
      <c r="BM17" s="242"/>
      <c r="BN17" s="242"/>
      <c r="BO17" s="242"/>
      <c r="BP17" s="242"/>
      <c r="BQ17" s="242"/>
      <c r="BR17" s="242"/>
      <c r="BS17" s="242"/>
      <c r="BT17" s="242"/>
      <c r="BU17" s="242"/>
      <c r="BV17" s="242"/>
      <c r="BW17" s="242"/>
      <c r="BX17" s="242"/>
      <c r="BY17" s="242"/>
      <c r="BZ17" s="242"/>
      <c r="CA17" s="242"/>
      <c r="CB17" s="242"/>
      <c r="CC17" s="242"/>
      <c r="CD17" s="242"/>
    </row>
    <row r="18" spans="1:184" ht="51.75" thickBot="1" x14ac:dyDescent="0.3">
      <c r="A18" s="630">
        <v>0.15</v>
      </c>
      <c r="B18" s="633" t="s">
        <v>393</v>
      </c>
      <c r="C18" s="244">
        <v>0.1</v>
      </c>
      <c r="D18" s="236" t="s">
        <v>202</v>
      </c>
      <c r="E18" s="225" t="s">
        <v>205</v>
      </c>
      <c r="G18" s="595" t="s">
        <v>1534</v>
      </c>
      <c r="H18" s="224" t="s">
        <v>388</v>
      </c>
      <c r="I18" s="239"/>
      <c r="J18" s="646"/>
      <c r="L18" s="226">
        <f t="shared" ref="L18:P19" si="168">QUARTILE($AF18:$CC18,L$2)</f>
        <v>-27.222876482504233</v>
      </c>
      <c r="M18" s="226">
        <f t="shared" si="168"/>
        <v>-0.61032331333454182</v>
      </c>
      <c r="N18" s="226">
        <f t="shared" si="168"/>
        <v>2.6942694736198702</v>
      </c>
      <c r="O18" s="226">
        <f t="shared" si="168"/>
        <v>5.188843347979601</v>
      </c>
      <c r="P18" s="226">
        <f t="shared" si="168"/>
        <v>256.49638099788154</v>
      </c>
      <c r="Q18" s="226"/>
      <c r="R18" s="573">
        <f t="shared" ref="R18:R19" si="169">(T18-S18)^2</f>
        <v>6.1584075635317687E-10</v>
      </c>
      <c r="S18" s="563">
        <f t="shared" ref="S18:S19" si="170">(U18-1)/LN(U18)</f>
        <v>9.1370539059169982</v>
      </c>
      <c r="T18" s="563">
        <f t="array" ref="T18">((AVERAGE(IF((AF18:CC18&gt;=0)*(AF18:CC18&lt;AC18),AF18:CC18))-MIN(IF((AF18:CC18&gt;=0)*(AF18:CC18&lt;AC18),AF18:CC18)))/(MAX(IF((AF18:CC18&gt;=0)*(AF18:CC18&lt;AC18),AF18:CC18))-MIN(IF((AF18:CC18&gt;=0)*(AF18:CC18&lt;AC18),AF18:CC18))))^(-3/2)</f>
        <v>9.1370787220560281</v>
      </c>
      <c r="U18" s="570">
        <v>32.927752117774212</v>
      </c>
      <c r="V18" s="570">
        <f>AVERAGE(AF18:CC18)</f>
        <v>7.1701726463609194</v>
      </c>
      <c r="W18" s="226"/>
      <c r="X18" s="255"/>
      <c r="Y18" s="565">
        <v>0</v>
      </c>
      <c r="Z18" s="566">
        <f t="array" ref="Z18">AA18/AVERAGE(IF($EF18:$GB18&lt;=QUARTILE($EF18:$GB18,3),$EF18:$GB18,""))^(COUNTIFS($AF18:$CC18,"&gt;=0")/4)</f>
        <v>2.061040463386604</v>
      </c>
      <c r="AA18" s="566">
        <f t="array" ref="AA18">QUARTILE(IF($AF18:$CC18&gt;=0,$AF18:$CC18,""),2)</f>
        <v>3.9323917909714576</v>
      </c>
      <c r="AB18" s="566">
        <f t="array" ref="AB18">AA18*AVERAGE(IF($EF18:$GB18&lt;=QUARTILE($EF18:$GB18,3),$EF18:$GB18,""))^(COUNTIFS($AF18:$CC18,"&gt;=0")/4)</f>
        <v>7.5028634674597718</v>
      </c>
      <c r="AC18" s="565">
        <f t="array" ref="AC18">AB18*(AVERAGE(IF($EF18:$GB18&lt;=QUARTILE($EF18:$GB18,3)+X$1*(QUARTILE($EF18:$GB18,3)-QUARTILE($EF18:$GB18,1)),$EF18:$GB18,"")))^(COUNT($AF18:$CC18)/4)</f>
        <v>39.064232400455559</v>
      </c>
      <c r="AF18" s="242">
        <f>'MD-data'!E78/('MD-data'!E35-'MD-data'!E59)</f>
        <v>0.59881689356407941</v>
      </c>
      <c r="AG18" s="242">
        <f>'MD-data'!G78/('MD-data'!G35-'MD-data'!G59)</f>
        <v>14.573159016498982</v>
      </c>
      <c r="AH18" s="242">
        <f>'MD-data'!I78/('MD-data'!I35-'MD-data'!I59)</f>
        <v>-19.463958076523458</v>
      </c>
      <c r="AI18" s="242">
        <f>'MD-data'!K78/('MD-data'!K35-'MD-data'!K59)</f>
        <v>3.6959561194588031</v>
      </c>
      <c r="AJ18" s="242">
        <f>'MD-data'!M78/('MD-data'!M35-'MD-data'!M59)</f>
        <v>-3.4226931229895707</v>
      </c>
      <c r="AK18" s="242">
        <f>'MD-data'!O78/('MD-data'!O35-'MD-data'!O59)</f>
        <v>2.726990541680046</v>
      </c>
      <c r="AL18" s="242">
        <f>'MD-data'!Q78/('MD-data'!Q35-'MD-data'!Q59)</f>
        <v>0.16402081664445012</v>
      </c>
      <c r="AM18" s="242">
        <f>'MD-data'!S78/('MD-data'!S35-'MD-data'!S59)</f>
        <v>0.91199524592017667</v>
      </c>
      <c r="AN18" s="242">
        <f>'MD-data'!U78/('MD-data'!U35-'MD-data'!U59)</f>
        <v>0.21122867801025777</v>
      </c>
      <c r="AO18" s="242">
        <f>'MD-data'!W78/('MD-data'!W35-'MD-data'!W59)</f>
        <v>18.12408805664316</v>
      </c>
      <c r="AP18" s="242">
        <f>'MD-data'!Y78/('MD-data'!Y35-'MD-data'!Y59)</f>
        <v>-0.59876011413459329</v>
      </c>
      <c r="AQ18" s="242">
        <f>'MD-data'!AA78/('MD-data'!AA35-'MD-data'!AA59)</f>
        <v>1.9337333070353966</v>
      </c>
      <c r="AR18" s="242">
        <f>'MD-data'!AC78/('MD-data'!AC35-'MD-data'!AC59)</f>
        <v>2.6490355611045353</v>
      </c>
      <c r="AS18" s="242">
        <f>'MD-data'!AE78/('MD-data'!AE35-'MD-data'!AE59)</f>
        <v>8.5365610641544709</v>
      </c>
      <c r="AT18" s="242">
        <f>'MD-data'!AG78/('MD-data'!AG35-'MD-data'!AG59)</f>
        <v>-19.109584640678811</v>
      </c>
      <c r="AU18" s="242">
        <f>'MD-data'!AI78/('MD-data'!AI35-'MD-data'!AI59)</f>
        <v>10.856222189627173</v>
      </c>
      <c r="AV18" s="242">
        <f>'MD-data'!AK78/('MD-data'!AK35-'MD-data'!AK59)</f>
        <v>3.4081553950056129</v>
      </c>
      <c r="AW18" s="242">
        <f>'MD-data'!AM78/('MD-data'!AM35-'MD-data'!AM59)</f>
        <v>-2.1999243167914786</v>
      </c>
      <c r="AX18" s="242">
        <f>'MD-data'!AO78/('MD-data'!AO35-'MD-data'!AO59)</f>
        <v>4.4530033629547816</v>
      </c>
      <c r="AY18" s="242">
        <f>'MD-data'!AQ78/('MD-data'!AQ35-'MD-data'!AQ59)</f>
        <v>9.7640887649332608</v>
      </c>
      <c r="AZ18" s="242">
        <f>'MD-data'!AS78/('MD-data'!AS35-'MD-data'!AS59)</f>
        <v>7.5155721514053013</v>
      </c>
      <c r="BA18" s="242">
        <f>'MD-data'!AU78/('MD-data'!AU35-'MD-data'!AU59)</f>
        <v>4.7623855694170123</v>
      </c>
      <c r="BB18" s="242">
        <f>'MD-data'!AW78/('MD-data'!AW35-'MD-data'!AW59)</f>
        <v>-5.358257140405116</v>
      </c>
      <c r="BC18" s="242">
        <f>'MD-data'!AY78/('MD-data'!AY35-'MD-data'!AY59)</f>
        <v>-27.222876482504233</v>
      </c>
      <c r="BD18" s="242">
        <f>'MD-data'!BA78/('MD-data'!BA35-'MD-data'!BA59)</f>
        <v>-0.61417771306785796</v>
      </c>
      <c r="BE18" s="242">
        <f>'MD-data'!BC78/('MD-data'!BC35-'MD-data'!BC59)</f>
        <v>256.49638099788154</v>
      </c>
      <c r="BF18" s="242">
        <f>'MD-data'!BE78/('MD-data'!BE35-'MD-data'!BE59)</f>
        <v>5.3045506980737711</v>
      </c>
      <c r="BG18" s="242">
        <f>'MD-data'!BG78/('MD-data'!BG35-'MD-data'!BG59)</f>
        <v>25.002690069636554</v>
      </c>
      <c r="BH18" s="242">
        <f>'MD-data'!BI78/('MD-data'!BI35-'MD-data'!BI59)</f>
        <v>-2.7487567972437033</v>
      </c>
      <c r="BI18" s="242">
        <f>'MD-data'!BL78/('MD-data'!BL35-'MD-data'!BL59)</f>
        <v>3.8085837266883567</v>
      </c>
      <c r="BJ18" s="242">
        <f>'MD-data'!BM78/('MD-data'!BM35-'MD-data'!BM59)</f>
        <v>4.1465612983352838</v>
      </c>
      <c r="BK18" s="242">
        <f>'MD-data'!BO78/('MD-data'!BO35-'MD-data'!BO59)</f>
        <v>-9.6826284930588216</v>
      </c>
      <c r="BL18" s="242">
        <f>'MD-data'!BQ78/('MD-data'!BQ35-'MD-data'!BQ59)</f>
        <v>3.8145780876751241</v>
      </c>
      <c r="BM18" s="242">
        <f>'MD-data'!BS78/('MD-data'!BS35-'MD-data'!BS59)</f>
        <v>4.8417212976970916</v>
      </c>
      <c r="BN18" s="242">
        <f>'MD-data'!BU78/('MD-data'!BU35-'MD-data'!BU59)</f>
        <v>-3.8102147301131772</v>
      </c>
      <c r="BO18" s="242">
        <f>'MD-data'!BW78/('MD-data'!BW35-'MD-data'!BW59)</f>
        <v>1.5422171286583428</v>
      </c>
      <c r="BP18" s="242">
        <f>'MD-data'!BY78/('MD-data'!BY35-'MD-data'!BY59)</f>
        <v>0.58482487964459151</v>
      </c>
      <c r="BQ18" s="242">
        <f>'MD-data'!CA78/('MD-data'!CA35-'MD-data'!CA59)</f>
        <v>2.7414588312496972</v>
      </c>
      <c r="BR18" s="242">
        <f>'MD-data'!CC78/('MD-data'!CC35-'MD-data'!CC59)</f>
        <v>-5.5472556402485687</v>
      </c>
      <c r="BS18" s="242">
        <f>'MD-data'!CE78/('MD-data'!CE35-'MD-data'!CE59)</f>
        <v>0.14816151949114381</v>
      </c>
      <c r="BT18" s="242">
        <f>'MD-data'!CG78/('MD-data'!CG35-'MD-data'!CG59)</f>
        <v>1.4040386949876404</v>
      </c>
      <c r="BU18" s="242">
        <f>'MD-data'!CI78/('MD-data'!CI35-'MD-data'!CI59)</f>
        <v>2.6615484055596945</v>
      </c>
      <c r="BV18" s="242">
        <f>'MD-data'!CK78/('MD-data'!CK35-'MD-data'!CK59)</f>
        <v>10.070629455425008</v>
      </c>
      <c r="BW18" s="242">
        <f>'MD-data'!CM78/('MD-data'!CM35-'MD-data'!CM59)</f>
        <v>3.1592204532148571</v>
      </c>
      <c r="BX18" s="242">
        <f>'MD-data'!CO78/('MD-data'!CO35-'MD-data'!CO59)</f>
        <v>17.80768153630726</v>
      </c>
      <c r="BY18" s="242">
        <f>'MD-data'!CQ78/('MD-data'!CQ35-'MD-data'!CQ59)</f>
        <v>4.0502054942677912</v>
      </c>
      <c r="BZ18" s="242">
        <f>'MD-data'!CS78/('MD-data'!CS35-'MD-data'!CS59)</f>
        <v>-1.1989447478913535</v>
      </c>
      <c r="CA18" s="242">
        <f>'MD-data'!CU78/('MD-data'!CU35-'MD-data'!CU59)</f>
        <v>12.754855263754527</v>
      </c>
      <c r="CB18" s="242">
        <f>'MD-data'!CW78/('MD-data'!CW35-'MD-data'!CW59)</f>
        <v>-1.2330630155149653</v>
      </c>
      <c r="CC18" s="242">
        <f>'MD-data'!CY78/('MD-data'!CY35-'MD-data'!CY59)</f>
        <v>5.4948067766056887</v>
      </c>
      <c r="CD18" s="242"/>
      <c r="CF18" s="226">
        <f t="array" ref="CF18">IFERROR(SMALL(IF($AF18:$CC18&gt;=0,$AF18:$CC18,""),CF$1),"")</f>
        <v>0.14816151949114381</v>
      </c>
      <c r="CG18" s="226">
        <f t="array" ref="CG18">IFERROR(SMALL(IF($AF18:$CC18&gt;=0,$AF18:$CC18,""),CG$1),"")</f>
        <v>0.16402081664445012</v>
      </c>
      <c r="CH18" s="226">
        <f t="array" ref="CH18">IFERROR(SMALL(IF($AF18:$CC18&gt;=0,$AF18:$CC18,""),CH$1),"")</f>
        <v>0.21122867801025777</v>
      </c>
      <c r="CI18" s="226">
        <f t="array" ref="CI18">IFERROR(SMALL(IF($AF18:$CC18&gt;=0,$AF18:$CC18,""),CI$1),"")</f>
        <v>0.58482487964459151</v>
      </c>
      <c r="CJ18" s="226">
        <f t="array" ref="CJ18">IFERROR(SMALL(IF($AF18:$CC18&gt;=0,$AF18:$CC18,""),CJ$1),"")</f>
        <v>0.59881689356407941</v>
      </c>
      <c r="CK18" s="226">
        <f t="array" ref="CK18">IFERROR(SMALL(IF($AF18:$CC18&gt;=0,$AF18:$CC18,""),CK$1),"")</f>
        <v>0.91199524592017667</v>
      </c>
      <c r="CL18" s="226">
        <f t="array" ref="CL18">IFERROR(SMALL(IF($AF18:$CC18&gt;=0,$AF18:$CC18,""),CL$1),"")</f>
        <v>1.4040386949876404</v>
      </c>
      <c r="CM18" s="226">
        <f t="array" ref="CM18">IFERROR(SMALL(IF($AF18:$CC18&gt;=0,$AF18:$CC18,""),CM$1),"")</f>
        <v>1.5422171286583428</v>
      </c>
      <c r="CN18" s="226">
        <f t="array" ref="CN18">IFERROR(SMALL(IF($AF18:$CC18&gt;=0,$AF18:$CC18,""),CN$1),"")</f>
        <v>1.9337333070353966</v>
      </c>
      <c r="CO18" s="226">
        <f t="array" ref="CO18">IFERROR(SMALL(IF($AF18:$CC18&gt;=0,$AF18:$CC18,""),CO$1),"")</f>
        <v>2.6490355611045353</v>
      </c>
      <c r="CP18" s="226">
        <f t="array" ref="CP18">IFERROR(SMALL(IF($AF18:$CC18&gt;=0,$AF18:$CC18,""),CP$1),"")</f>
        <v>2.6615484055596945</v>
      </c>
      <c r="CQ18" s="226">
        <f t="array" ref="CQ18">IFERROR(SMALL(IF($AF18:$CC18&gt;=0,$AF18:$CC18,""),CQ$1),"")</f>
        <v>2.726990541680046</v>
      </c>
      <c r="CR18" s="226">
        <f t="array" ref="CR18">IFERROR(SMALL(IF($AF18:$CC18&gt;=0,$AF18:$CC18,""),CR$1),"")</f>
        <v>2.7414588312496972</v>
      </c>
      <c r="CS18" s="226">
        <f t="array" ref="CS18">IFERROR(SMALL(IF($AF18:$CC18&gt;=0,$AF18:$CC18,""),CS$1),"")</f>
        <v>3.1592204532148571</v>
      </c>
      <c r="CT18" s="226">
        <f t="array" ref="CT18">IFERROR(SMALL(IF($AF18:$CC18&gt;=0,$AF18:$CC18,""),CT$1),"")</f>
        <v>3.4081553950056129</v>
      </c>
      <c r="CU18" s="226">
        <f t="array" ref="CU18">IFERROR(SMALL(IF($AF18:$CC18&gt;=0,$AF18:$CC18,""),CU$1),"")</f>
        <v>3.6959561194588031</v>
      </c>
      <c r="CV18" s="226">
        <f t="array" ref="CV18">IFERROR(SMALL(IF($AF18:$CC18&gt;=0,$AF18:$CC18,""),CV$1),"")</f>
        <v>3.8085837266883567</v>
      </c>
      <c r="CW18" s="226">
        <f t="array" ref="CW18">IFERROR(SMALL(IF($AF18:$CC18&gt;=0,$AF18:$CC18,""),CW$1),"")</f>
        <v>3.8145780876751241</v>
      </c>
      <c r="CX18" s="226">
        <f t="array" ref="CX18">IFERROR(SMALL(IF($AF18:$CC18&gt;=0,$AF18:$CC18,""),CX$1),"")</f>
        <v>4.0502054942677912</v>
      </c>
      <c r="CY18" s="226">
        <f t="array" ref="CY18">IFERROR(SMALL(IF($AF18:$CC18&gt;=0,$AF18:$CC18,""),CY$1),"")</f>
        <v>4.1465612983352838</v>
      </c>
      <c r="CZ18" s="226">
        <f t="array" ref="CZ18">IFERROR(SMALL(IF($AF18:$CC18&gt;=0,$AF18:$CC18,""),CZ$1),"")</f>
        <v>4.4530033629547816</v>
      </c>
      <c r="DA18" s="226">
        <f t="array" ref="DA18">IFERROR(SMALL(IF($AF18:$CC18&gt;=0,$AF18:$CC18,""),DA$1),"")</f>
        <v>4.7623855694170123</v>
      </c>
      <c r="DB18" s="226">
        <f t="array" ref="DB18">IFERROR(SMALL(IF($AF18:$CC18&gt;=0,$AF18:$CC18,""),DB$1),"")</f>
        <v>4.8417212976970916</v>
      </c>
      <c r="DC18" s="226">
        <f t="array" ref="DC18">IFERROR(SMALL(IF($AF18:$CC18&gt;=0,$AF18:$CC18,""),DC$1),"")</f>
        <v>5.3045506980737711</v>
      </c>
      <c r="DD18" s="226">
        <f t="array" ref="DD18">IFERROR(SMALL(IF($AF18:$CC18&gt;=0,$AF18:$CC18,""),DD$1),"")</f>
        <v>5.4948067766056887</v>
      </c>
      <c r="DE18" s="226">
        <f t="array" ref="DE18">IFERROR(SMALL(IF($AF18:$CC18&gt;=0,$AF18:$CC18,""),DE$1),"")</f>
        <v>7.5155721514053013</v>
      </c>
      <c r="DF18" s="226">
        <f t="array" ref="DF18">IFERROR(SMALL(IF($AF18:$CC18&gt;=0,$AF18:$CC18,""),DF$1),"")</f>
        <v>8.5365610641544709</v>
      </c>
      <c r="DG18" s="226">
        <f t="array" ref="DG18">IFERROR(SMALL(IF($AF18:$CC18&gt;=0,$AF18:$CC18,""),DG$1),"")</f>
        <v>9.7640887649332608</v>
      </c>
      <c r="DH18" s="226">
        <f t="array" ref="DH18">IFERROR(SMALL(IF($AF18:$CC18&gt;=0,$AF18:$CC18,""),DH$1),"")</f>
        <v>10.070629455425008</v>
      </c>
      <c r="DI18" s="226">
        <f t="array" ref="DI18">IFERROR(SMALL(IF($AF18:$CC18&gt;=0,$AF18:$CC18,""),DI$1),"")</f>
        <v>10.856222189627173</v>
      </c>
      <c r="DJ18" s="226">
        <f t="array" ref="DJ18">IFERROR(SMALL(IF($AF18:$CC18&gt;=0,$AF18:$CC18,""),DJ$1),"")</f>
        <v>12.754855263754527</v>
      </c>
      <c r="DK18" s="226">
        <f t="array" ref="DK18">IFERROR(SMALL(IF($AF18:$CC18&gt;=0,$AF18:$CC18,""),DK$1),"")</f>
        <v>14.573159016498982</v>
      </c>
      <c r="DL18" s="226">
        <f t="array" ref="DL18">IFERROR(SMALL(IF($AF18:$CC18&gt;=0,$AF18:$CC18,""),DL$1),"")</f>
        <v>17.80768153630726</v>
      </c>
      <c r="DM18" s="226">
        <f t="array" ref="DM18">IFERROR(SMALL(IF($AF18:$CC18&gt;=0,$AF18:$CC18,""),DM$1),"")</f>
        <v>18.12408805664316</v>
      </c>
      <c r="DN18" s="226">
        <f t="array" ref="DN18">IFERROR(SMALL(IF($AF18:$CC18&gt;=0,$AF18:$CC18,""),DN$1),"")</f>
        <v>25.002690069636554</v>
      </c>
      <c r="DO18" s="226">
        <f t="array" ref="DO18">IFERROR(SMALL(IF($AF18:$CC18&gt;=0,$AF18:$CC18,""),DO$1),"")</f>
        <v>256.49638099788154</v>
      </c>
      <c r="DP18" s="226" t="str">
        <f t="array" ref="DP18">IFERROR(SMALL(IF($AF18:$CC18&gt;=0,$AF18:$CC18,""),DP$1),"")</f>
        <v/>
      </c>
      <c r="DQ18" s="226" t="str">
        <f t="array" ref="DQ18">IFERROR(SMALL(IF($AF18:$CC18&gt;=0,$AF18:$CC18,""),DQ$1),"")</f>
        <v/>
      </c>
      <c r="DR18" s="226" t="str">
        <f t="array" ref="DR18">IFERROR(SMALL(IF($AF18:$CC18&gt;=0,$AF18:$CC18,""),DR$1),"")</f>
        <v/>
      </c>
      <c r="DS18" s="226" t="str">
        <f t="array" ref="DS18">IFERROR(SMALL(IF($AF18:$CC18&gt;=0,$AF18:$CC18,""),DS$1),"")</f>
        <v/>
      </c>
      <c r="DT18" s="226" t="str">
        <f t="array" ref="DT18">IFERROR(SMALL(IF($AF18:$CC18&gt;=0,$AF18:$CC18,""),DT$1),"")</f>
        <v/>
      </c>
      <c r="DU18" s="226" t="str">
        <f t="array" ref="DU18">IFERROR(SMALL(IF($AF18:$CC18&gt;=0,$AF18:$CC18,""),DU$1),"")</f>
        <v/>
      </c>
      <c r="DV18" s="226" t="str">
        <f t="array" ref="DV18">IFERROR(SMALL(IF($AF18:$CC18&gt;=0,$AF18:$CC18,""),DV$1),"")</f>
        <v/>
      </c>
      <c r="DW18" s="226" t="str">
        <f t="array" ref="DW18">IFERROR(SMALL(IF($AF18:$CC18&gt;=0,$AF18:$CC18,""),DW$1),"")</f>
        <v/>
      </c>
      <c r="DX18" s="226" t="str">
        <f t="array" ref="DX18">IFERROR(SMALL(IF($AF18:$CC18&gt;=0,$AF18:$CC18,""),DX$1),"")</f>
        <v/>
      </c>
      <c r="DY18" s="226" t="str">
        <f t="array" ref="DY18">IFERROR(SMALL(IF($AF18:$CC18&gt;=0,$AF18:$CC18,""),DY$1),"")</f>
        <v/>
      </c>
      <c r="DZ18" s="226" t="str">
        <f t="array" ref="DZ18">IFERROR(SMALL(IF($AF18:$CC18&gt;=0,$AF18:$CC18,""),DZ$1),"")</f>
        <v/>
      </c>
      <c r="EA18" s="226" t="str">
        <f t="array" ref="EA18">IFERROR(SMALL(IF($AF18:$CC18&gt;=0,$AF18:$CC18,""),EA$1),"")</f>
        <v/>
      </c>
      <c r="EB18" s="226" t="str">
        <f t="array" ref="EB18">IFERROR(SMALL(IF($AF18:$CC18&gt;=0,$AF18:$CC18,""),EB$1),"")</f>
        <v/>
      </c>
      <c r="EC18" s="226" t="str">
        <f t="array" ref="EC18">IFERROR(SMALL(IF($AF18:$CC18&gt;=0,$AF18:$CC18,""),EC$1),"")</f>
        <v/>
      </c>
      <c r="EF18" s="226">
        <f t="shared" ref="EF18:EF19" si="171">IFERROR(CG18/CF18,"")</f>
        <v>1.1070405946684037</v>
      </c>
      <c r="EG18" s="226">
        <f t="shared" ref="EG18:EG19" si="172">IFERROR(CH18/CG18,"")</f>
        <v>1.2878162804672573</v>
      </c>
      <c r="EH18" s="226">
        <f t="shared" ref="EH18:EH19" si="173">IFERROR(CI18/CH18,"")</f>
        <v>2.7686812470425584</v>
      </c>
      <c r="EI18" s="226">
        <f t="shared" ref="EI18:EI19" si="174">IFERROR(CJ18/CI18,"")</f>
        <v>1.0239251345257252</v>
      </c>
      <c r="EJ18" s="226">
        <f t="shared" ref="EJ18:EJ19" si="175">IFERROR(CK18/CJ18,"")</f>
        <v>1.5229951855434487</v>
      </c>
      <c r="EK18" s="226">
        <f t="shared" ref="EK18:EK19" si="176">IFERROR(CL18/CK18,"")</f>
        <v>1.5395241381669773</v>
      </c>
      <c r="EL18" s="226">
        <f t="shared" ref="EL18:EL19" si="177">IFERROR(CM18/CL18,"")</f>
        <v>1.0984149754305159</v>
      </c>
      <c r="EM18" s="226">
        <f t="shared" ref="EM18:EM19" si="178">IFERROR(CN18/CM18,"")</f>
        <v>1.2538657956144312</v>
      </c>
      <c r="EN18" s="226">
        <f t="shared" ref="EN18:EN19" si="179">IFERROR(CO18/CN18,"")</f>
        <v>1.369907396985248</v>
      </c>
      <c r="EO18" s="226">
        <f t="shared" ref="EO18:EO19" si="180">IFERROR(CP18/CO18,"")</f>
        <v>1.004723547180296</v>
      </c>
      <c r="EP18" s="226">
        <f t="shared" ref="EP18:EP19" si="181">IFERROR(CQ18/CP18,"")</f>
        <v>1.0245879939600759</v>
      </c>
      <c r="EQ18" s="226">
        <f t="shared" ref="EQ18:EQ19" si="182">IFERROR(CR18/CQ18,"")</f>
        <v>1.0053055884677684</v>
      </c>
      <c r="ER18" s="226">
        <f t="shared" ref="ER18:ER19" si="183">IFERROR(CS18/CR18,"")</f>
        <v>1.1523866115380339</v>
      </c>
      <c r="ES18" s="226">
        <f t="shared" ref="ES18:ES19" si="184">IFERROR(CT18/CS18,"")</f>
        <v>1.0787963187366165</v>
      </c>
      <c r="ET18" s="226">
        <f t="shared" ref="ET18:ET19" si="185">IFERROR(CU18/CT18,"")</f>
        <v>1.0844447189453097</v>
      </c>
      <c r="EU18" s="226">
        <f t="shared" ref="EU18:EU19" si="186">IFERROR(CV18/CU18,"")</f>
        <v>1.0304731992451375</v>
      </c>
      <c r="EV18" s="226">
        <f t="shared" ref="EV18:EV19" si="187">IFERROR(CW18/CV18,"")</f>
        <v>1.0015739081550872</v>
      </c>
      <c r="EW18" s="226">
        <f t="shared" ref="EW18:EW19" si="188">IFERROR(CX18/CW18,"")</f>
        <v>1.0617702406863756</v>
      </c>
      <c r="EX18" s="226">
        <f t="shared" ref="EX18:EX19" si="189">IFERROR(CY18/CX18,"")</f>
        <v>1.0237903494535929</v>
      </c>
      <c r="EY18" s="226">
        <f t="shared" ref="EY18:EY19" si="190">IFERROR(CZ18/CY18,"")</f>
        <v>1.0739026973368331</v>
      </c>
      <c r="EZ18" s="226">
        <f t="shared" ref="EZ18:EZ19" si="191">IFERROR(DA18/CZ18,"")</f>
        <v>1.0694772002725237</v>
      </c>
      <c r="FA18" s="226">
        <f t="shared" ref="FA18:FA19" si="192">IFERROR(DB18/DA18,"")</f>
        <v>1.0166588209047069</v>
      </c>
      <c r="FB18" s="226">
        <f t="shared" ref="FB18:FB19" si="193">IFERROR(DC18/DB18,"")</f>
        <v>1.0955919128589287</v>
      </c>
      <c r="FC18" s="226">
        <f t="shared" ref="FC18:FC19" si="194">IFERROR(DD18/DC18,"")</f>
        <v>1.035866577465459</v>
      </c>
      <c r="FD18" s="226">
        <f t="shared" ref="FD18:FD19" si="195">IFERROR(DE18/DD18,"")</f>
        <v>1.3677591327511431</v>
      </c>
      <c r="FE18" s="226">
        <f t="shared" ref="FE18:FE19" si="196">IFERROR(DF18/DE18,"")</f>
        <v>1.1358497918961845</v>
      </c>
      <c r="FF18" s="226">
        <f t="shared" ref="FF18:FF19" si="197">IFERROR(DG18/DF18,"")</f>
        <v>1.1437965114468931</v>
      </c>
      <c r="FG18" s="226">
        <f t="shared" ref="FG18:FG19" si="198">IFERROR(DH18/DG18,"")</f>
        <v>1.0313947054222465</v>
      </c>
      <c r="FH18" s="226">
        <f t="shared" ref="FH18:FH19" si="199">IFERROR(DI18/DH18,"")</f>
        <v>1.0780083050100675</v>
      </c>
      <c r="FI18" s="226">
        <f t="shared" ref="FI18:FI19" si="200">IFERROR(DJ18/DI18,"")</f>
        <v>1.174888929220834</v>
      </c>
      <c r="FJ18" s="226">
        <f t="shared" ref="FJ18:FJ19" si="201">IFERROR(DK18/DJ18,"")</f>
        <v>1.1425577723262395</v>
      </c>
      <c r="FK18" s="226">
        <f t="shared" ref="FK18:FK19" si="202">IFERROR(DL18/DK18,"")</f>
        <v>1.2219506776908369</v>
      </c>
      <c r="FL18" s="226">
        <f t="shared" ref="FL18:FL19" si="203">IFERROR(DM18/DL18,"")</f>
        <v>1.0177679794919283</v>
      </c>
      <c r="FM18" s="226">
        <f t="shared" ref="FM18:FM19" si="204">IFERROR(DN18/DM18,"")</f>
        <v>1.3795281722035182</v>
      </c>
      <c r="FN18" s="226">
        <f t="shared" ref="FN18:FN19" si="205">IFERROR(DO18/DN18,"")</f>
        <v>10.258751369692519</v>
      </c>
      <c r="FO18" s="226" t="str">
        <f t="shared" ref="FO18:FO19" si="206">IFERROR(DP18/DO18,"")</f>
        <v/>
      </c>
      <c r="FP18" s="226" t="str">
        <f t="shared" ref="FP18:FP19" si="207">IFERROR(DQ18/DP18,"")</f>
        <v/>
      </c>
      <c r="FQ18" s="226" t="str">
        <f t="shared" ref="FQ18:FQ19" si="208">IFERROR(DR18/DQ18,"")</f>
        <v/>
      </c>
      <c r="FR18" s="226" t="str">
        <f t="shared" ref="FR18:FR19" si="209">IFERROR(DS18/DR18,"")</f>
        <v/>
      </c>
      <c r="FS18" s="226" t="str">
        <f t="shared" ref="FS18:FS19" si="210">IFERROR(DT18/DS18,"")</f>
        <v/>
      </c>
      <c r="FT18" s="226" t="str">
        <f t="shared" ref="FT18:FT19" si="211">IFERROR(DU18/DT18,"")</f>
        <v/>
      </c>
      <c r="FU18" s="226" t="str">
        <f t="shared" ref="FU18:FU19" si="212">IFERROR(DV18/DU18,"")</f>
        <v/>
      </c>
      <c r="FV18" s="226" t="str">
        <f t="shared" ref="FV18:FV19" si="213">IFERROR(DW18/DV18,"")</f>
        <v/>
      </c>
      <c r="FW18" s="226" t="str">
        <f t="shared" ref="FW18:FW19" si="214">IFERROR(DX18/DW18,"")</f>
        <v/>
      </c>
      <c r="FX18" s="226" t="str">
        <f t="shared" ref="FX18:FX19" si="215">IFERROR(DY18/DX18,"")</f>
        <v/>
      </c>
      <c r="FY18" s="226" t="str">
        <f t="shared" ref="FY18:FY19" si="216">IFERROR(DZ18/DY18,"")</f>
        <v/>
      </c>
      <c r="FZ18" s="226" t="str">
        <f t="shared" ref="FZ18:FZ19" si="217">IFERROR(EA18/DZ18,"")</f>
        <v/>
      </c>
      <c r="GA18" s="226" t="str">
        <f t="shared" ref="GA18:GA19" si="218">IFERROR(EB18/EA18,"")</f>
        <v/>
      </c>
      <c r="GB18" s="226" t="str">
        <f t="shared" ref="GB18:GB19" si="219">IFERROR(EC18/EB18,"")</f>
        <v/>
      </c>
    </row>
    <row r="19" spans="1:184" ht="30.75" thickBot="1" x14ac:dyDescent="0.3">
      <c r="A19" s="631"/>
      <c r="B19" s="634"/>
      <c r="C19" s="245">
        <v>0.05</v>
      </c>
      <c r="D19" s="229" t="s">
        <v>206</v>
      </c>
      <c r="E19" s="227" t="s">
        <v>207</v>
      </c>
      <c r="G19" s="595" t="s">
        <v>386</v>
      </c>
      <c r="H19" s="224" t="s">
        <v>388</v>
      </c>
      <c r="J19" s="646"/>
      <c r="L19" s="226">
        <f t="shared" si="168"/>
        <v>0</v>
      </c>
      <c r="M19" s="226">
        <f t="shared" si="168"/>
        <v>3.8415101801070106</v>
      </c>
      <c r="N19" s="226">
        <f t="shared" si="168"/>
        <v>11.160496174367005</v>
      </c>
      <c r="O19" s="226">
        <f t="shared" si="168"/>
        <v>31.248027214845983</v>
      </c>
      <c r="P19" s="226">
        <f t="shared" si="168"/>
        <v>10085.172962226639</v>
      </c>
      <c r="Q19" s="226"/>
      <c r="R19" s="573">
        <f t="shared" si="169"/>
        <v>1.8088954771744997E-9</v>
      </c>
      <c r="S19" s="563">
        <f t="shared" si="170"/>
        <v>13.051972686803177</v>
      </c>
      <c r="T19" s="563">
        <f t="array" ref="T19">((AVERAGE(IF(AF19:CC19&lt;AC19,AF19:CC19))-MIN(IF(AF19:CC19&lt;AC19,AF19:CC19)))/(MAX(IF(AF19:CC19&lt;AC19,AF19:CC19))-MIN(IF(AF19:CC19&lt;AC19,AF19:CC19))))^(-3/2)</f>
        <v>13.05201521791505</v>
      </c>
      <c r="U19" s="570">
        <v>52.761201295400774</v>
      </c>
      <c r="V19" s="570">
        <f>AVERAGE(AF19:CC19)</f>
        <v>270.21674185749555</v>
      </c>
      <c r="W19" s="226"/>
      <c r="X19" s="255"/>
      <c r="Y19" s="565">
        <v>0</v>
      </c>
      <c r="Z19" s="566">
        <f t="array" ref="Z19">AA19/AVERAGE(IF($EF19:$GB19&lt;=QUARTILE($EF19:$GB19,3),$EF19:$GB19,""))^(COUNT($AF19:$CC19)/4)</f>
        <v>4.2912925109646984</v>
      </c>
      <c r="AA19" s="566">
        <f>N19</f>
        <v>11.160496174367005</v>
      </c>
      <c r="AB19" s="566">
        <f t="array" ref="AB19">AA19*AVERAGE(IF($EF19:$GB19&lt;=QUARTILE($EF19:$GB19,3),$EF19:$GB19,""))^(COUNT($AF19:$CC19)/4)</f>
        <v>29.025445023802337</v>
      </c>
      <c r="AC19" s="565">
        <f t="array" ref="AC19">AB19*(AVERAGE(IF($EF19:$GB19&lt;=QUARTILE($EF19:$GB19,3)+X$1*(QUARTILE($EF19:$GB19,3)-QUARTILE($EF19:$GB19,1)),$EF19:$GB19,"")))^(COUNT($AF19:$CC19)/4)</f>
        <v>124.24324157322488</v>
      </c>
      <c r="AF19" s="242">
        <f>'MD-data'!E78/('MD-data'!E26+'MD-data'!E27)</f>
        <v>2.7785710402145289</v>
      </c>
      <c r="AG19" s="242">
        <f>'MD-data'!G78/('MD-data'!G26+'MD-data'!G27)</f>
        <v>46.977732890801413</v>
      </c>
      <c r="AH19" s="242">
        <f>'MD-data'!I78/('MD-data'!I26+'MD-data'!I27)</f>
        <v>2.3139048560130129</v>
      </c>
      <c r="AI19" s="242">
        <f>'MD-data'!K78/('MD-data'!K26+'MD-data'!K27)</f>
        <v>6.6589818730748549</v>
      </c>
      <c r="AJ19" s="242">
        <f>'MD-data'!M78/('MD-data'!M26+'MD-data'!M27)</f>
        <v>70.471557969123708</v>
      </c>
      <c r="AK19" s="242">
        <f>'MD-data'!O78/('MD-data'!O26+'MD-data'!O27)</f>
        <v>32.187052101491382</v>
      </c>
      <c r="AL19" s="242">
        <f>'MD-data'!Q78/('MD-data'!Q26+'MD-data'!Q27)</f>
        <v>11.065875191390552</v>
      </c>
      <c r="AM19" s="242">
        <f>'MD-data'!S78/('MD-data'!S26+'MD-data'!S27)</f>
        <v>10.674539890085009</v>
      </c>
      <c r="AN19" s="242">
        <f>'MD-data'!U78/('MD-data'!U26+'MD-data'!U27)</f>
        <v>97.641821487163568</v>
      </c>
      <c r="AO19" s="242">
        <f>'MD-data'!W78/('MD-data'!W26+'MD-data'!W27)</f>
        <v>27.205997257627551</v>
      </c>
      <c r="AP19" s="242">
        <f>'MD-data'!Y78/('MD-data'!Y26+'MD-data'!Y27)</f>
        <v>2.6726427560512578</v>
      </c>
      <c r="AQ19" s="242">
        <f>'MD-data'!AA78/('MD-data'!AA26+'MD-data'!AA27)</f>
        <v>1.1278106613342664</v>
      </c>
      <c r="AR19" s="242">
        <f>'MD-data'!AC78/('MD-data'!AC26+'MD-data'!AC27)</f>
        <v>16.526969092426729</v>
      </c>
      <c r="AS19" s="242">
        <f>'MD-data'!AE78/('MD-data'!AE26+'MD-data'!AE27)</f>
        <v>5.1261285502382341</v>
      </c>
      <c r="AT19" s="242">
        <f>'MD-data'!AG78/('MD-data'!AG26+'MD-data'!AG27)</f>
        <v>55.572695377430577</v>
      </c>
      <c r="AU19" s="242">
        <f>'MD-data'!AI78/('MD-data'!AI26+'MD-data'!AI27)</f>
        <v>9.6719875830086526</v>
      </c>
      <c r="AV19" s="242">
        <f>'MD-data'!AK78/('MD-data'!AK26+'MD-data'!AK27)</f>
        <v>6.503074901656821</v>
      </c>
      <c r="AW19" s="242">
        <f>'MD-data'!AM78/('MD-data'!AM26+'MD-data'!AM27)</f>
        <v>93.48637277997662</v>
      </c>
      <c r="AX19" s="242">
        <f>'MD-data'!AO78/('MD-data'!AO26+'MD-data'!AO27)</f>
        <v>6.9290414665506423</v>
      </c>
      <c r="AY19" s="242">
        <f>'MD-data'!AQ78/('MD-data'!AQ26+'MD-data'!AQ27)</f>
        <v>10085.172962226639</v>
      </c>
      <c r="AZ19" s="242">
        <f>'MD-data'!AS78/('MD-data'!AS26+'MD-data'!AS27)</f>
        <v>11.689073053733845</v>
      </c>
      <c r="BA19" s="242">
        <f>'MD-data'!AU78/('MD-data'!AU26+'MD-data'!AU27)</f>
        <v>13.010065749086417</v>
      </c>
      <c r="BB19" s="242">
        <f>'MD-data'!AW78/('MD-data'!AW26+'MD-data'!AW27)</f>
        <v>11.62726984804608</v>
      </c>
      <c r="BC19" s="242">
        <f>'MD-data'!AY78/('MD-data'!AY26+'MD-data'!AY27)</f>
        <v>5.3166713037227682</v>
      </c>
      <c r="BD19" s="242">
        <f>'MD-data'!BA78/('MD-data'!BA26+'MD-data'!BA27)</f>
        <v>0.92462951871019994</v>
      </c>
      <c r="BE19" s="242">
        <f>'MD-data'!BC78/('MD-data'!BC26+'MD-data'!BC27)</f>
        <v>10.68129796368121</v>
      </c>
      <c r="BF19" s="242">
        <f>'MD-data'!BE78/('MD-data'!BE26+'MD-data'!BE27)</f>
        <v>1620.2425072098711</v>
      </c>
      <c r="BG19" s="242">
        <f>'MD-data'!BG78/('MD-data'!BG26+'MD-data'!BG27)</f>
        <v>5.6224776231371001</v>
      </c>
      <c r="BH19" s="242">
        <v>0</v>
      </c>
      <c r="BI19" s="242">
        <f>'MD-data'!BL78/('MD-data'!BL26+'MD-data'!BL27)</f>
        <v>116.29725690094604</v>
      </c>
      <c r="BJ19" s="242">
        <f>'MD-data'!BM78/('MD-data'!BM26+'MD-data'!BM27)</f>
        <v>819.40943952802365</v>
      </c>
      <c r="BK19" s="242">
        <f>'MD-data'!BO78/('MD-data'!BO26+'MD-data'!BO27)</f>
        <v>28.430952554909787</v>
      </c>
      <c r="BL19" s="242">
        <v>0</v>
      </c>
      <c r="BM19" s="242">
        <f>'MD-data'!BS78/('MD-data'!BS26+'MD-data'!BS27)</f>
        <v>73.355089863930729</v>
      </c>
      <c r="BN19" s="242">
        <f>'MD-data'!BU78/('MD-data'!BU26+'MD-data'!BU27)</f>
        <v>13.253665159098029</v>
      </c>
      <c r="BO19" s="242">
        <f>'MD-data'!BW78/('MD-data'!BW26+'MD-data'!BW27)</f>
        <v>4.8602018389366979</v>
      </c>
      <c r="BP19" s="242">
        <f>'MD-data'!BY78/('MD-data'!BY26+'MD-data'!BY27)</f>
        <v>24.467623630705109</v>
      </c>
      <c r="BQ19" s="242">
        <f>'MD-data'!CA78/('MD-data'!CA26+'MD-data'!CA27)</f>
        <v>23.63274620725122</v>
      </c>
      <c r="BR19" s="242">
        <v>0</v>
      </c>
      <c r="BS19" s="242">
        <f>'MD-data'!CE78/('MD-data'!CE26+'MD-data'!CE27)</f>
        <v>11.338409694277303</v>
      </c>
      <c r="BT19" s="242">
        <f>'MD-data'!CG78/('MD-data'!CG26+'MD-data'!CG27)</f>
        <v>33.095212679209475</v>
      </c>
      <c r="BU19" s="242">
        <f>'MD-data'!CI78/('MD-data'!CI26+'MD-data'!CI27)</f>
        <v>11.255117157343459</v>
      </c>
      <c r="BV19" s="242">
        <f>'MD-data'!CK78/('MD-data'!CK26+'MD-data'!CK27)</f>
        <v>3.5019462938304482</v>
      </c>
      <c r="BW19" s="242">
        <f>'MD-data'!CM78/('MD-data'!CM26+'MD-data'!CM27)</f>
        <v>25.573831815203839</v>
      </c>
      <c r="BX19" s="242">
        <f>'MD-data'!CO78/('MD-data'!CO26+'MD-data'!CO27)</f>
        <v>1.9478661578588059</v>
      </c>
      <c r="BY19" s="242">
        <f>'MD-data'!CQ78/('MD-data'!CQ26+'MD-data'!CQ27)</f>
        <v>0.78981313536086384</v>
      </c>
      <c r="BZ19" s="242">
        <v>0</v>
      </c>
      <c r="CA19" s="242">
        <f>'MD-data'!CU78/('MD-data'!CU26+'MD-data'!CU27)</f>
        <v>42.879662645811244</v>
      </c>
      <c r="CB19" s="242">
        <v>0</v>
      </c>
      <c r="CC19" s="242">
        <f>'MD-data'!CY78/('MD-data'!CY26+'MD-data'!CY27)</f>
        <v>6.8685453897901141</v>
      </c>
      <c r="CD19" s="242"/>
      <c r="CF19" s="226">
        <f t="shared" ref="CF19:DK19" si="220">SMALL($AF19:$CC19,CF$1)</f>
        <v>0</v>
      </c>
      <c r="CG19" s="226">
        <f t="shared" si="220"/>
        <v>0</v>
      </c>
      <c r="CH19" s="226">
        <f t="shared" si="220"/>
        <v>0</v>
      </c>
      <c r="CI19" s="226">
        <f t="shared" si="220"/>
        <v>0</v>
      </c>
      <c r="CJ19" s="226">
        <f t="shared" si="220"/>
        <v>0</v>
      </c>
      <c r="CK19" s="226">
        <f t="shared" si="220"/>
        <v>0.78981313536086384</v>
      </c>
      <c r="CL19" s="226">
        <f t="shared" si="220"/>
        <v>0.92462951871019994</v>
      </c>
      <c r="CM19" s="226">
        <f t="shared" si="220"/>
        <v>1.1278106613342664</v>
      </c>
      <c r="CN19" s="226">
        <f t="shared" si="220"/>
        <v>1.9478661578588059</v>
      </c>
      <c r="CO19" s="226">
        <f t="shared" si="220"/>
        <v>2.3139048560130129</v>
      </c>
      <c r="CP19" s="226">
        <f t="shared" si="220"/>
        <v>2.6726427560512578</v>
      </c>
      <c r="CQ19" s="226">
        <f t="shared" si="220"/>
        <v>2.7785710402145289</v>
      </c>
      <c r="CR19" s="226">
        <f t="shared" si="220"/>
        <v>3.5019462938304482</v>
      </c>
      <c r="CS19" s="226">
        <f t="shared" si="220"/>
        <v>4.8602018389366979</v>
      </c>
      <c r="CT19" s="226">
        <f t="shared" si="220"/>
        <v>5.1261285502382341</v>
      </c>
      <c r="CU19" s="226">
        <f t="shared" si="220"/>
        <v>5.3166713037227682</v>
      </c>
      <c r="CV19" s="226">
        <f t="shared" si="220"/>
        <v>5.6224776231371001</v>
      </c>
      <c r="CW19" s="226">
        <f t="shared" si="220"/>
        <v>6.503074901656821</v>
      </c>
      <c r="CX19" s="226">
        <f t="shared" si="220"/>
        <v>6.6589818730748549</v>
      </c>
      <c r="CY19" s="226">
        <f t="shared" si="220"/>
        <v>6.8685453897901141</v>
      </c>
      <c r="CZ19" s="226">
        <f t="shared" si="220"/>
        <v>6.9290414665506423</v>
      </c>
      <c r="DA19" s="226">
        <f t="shared" si="220"/>
        <v>9.6719875830086526</v>
      </c>
      <c r="DB19" s="226">
        <f t="shared" si="220"/>
        <v>10.674539890085009</v>
      </c>
      <c r="DC19" s="226">
        <f t="shared" si="220"/>
        <v>10.68129796368121</v>
      </c>
      <c r="DD19" s="226">
        <f t="shared" si="220"/>
        <v>11.065875191390552</v>
      </c>
      <c r="DE19" s="226">
        <f t="shared" si="220"/>
        <v>11.255117157343459</v>
      </c>
      <c r="DF19" s="226">
        <f t="shared" si="220"/>
        <v>11.338409694277303</v>
      </c>
      <c r="DG19" s="226">
        <f t="shared" si="220"/>
        <v>11.62726984804608</v>
      </c>
      <c r="DH19" s="226">
        <f t="shared" si="220"/>
        <v>11.689073053733845</v>
      </c>
      <c r="DI19" s="226">
        <f t="shared" si="220"/>
        <v>13.010065749086417</v>
      </c>
      <c r="DJ19" s="226">
        <f t="shared" si="220"/>
        <v>13.253665159098029</v>
      </c>
      <c r="DK19" s="226">
        <f t="shared" si="220"/>
        <v>16.526969092426729</v>
      </c>
      <c r="DL19" s="226">
        <f t="shared" ref="DL19:EC19" si="221">SMALL($AF19:$CC19,DL$1)</f>
        <v>23.63274620725122</v>
      </c>
      <c r="DM19" s="226">
        <f t="shared" si="221"/>
        <v>24.467623630705109</v>
      </c>
      <c r="DN19" s="226">
        <f t="shared" si="221"/>
        <v>25.573831815203839</v>
      </c>
      <c r="DO19" s="226">
        <f t="shared" si="221"/>
        <v>27.205997257627551</v>
      </c>
      <c r="DP19" s="226">
        <f t="shared" si="221"/>
        <v>28.430952554909787</v>
      </c>
      <c r="DQ19" s="226">
        <f t="shared" si="221"/>
        <v>32.187052101491382</v>
      </c>
      <c r="DR19" s="226">
        <f t="shared" si="221"/>
        <v>33.095212679209475</v>
      </c>
      <c r="DS19" s="226">
        <f t="shared" si="221"/>
        <v>42.879662645811244</v>
      </c>
      <c r="DT19" s="226">
        <f t="shared" si="221"/>
        <v>46.977732890801413</v>
      </c>
      <c r="DU19" s="226">
        <f t="shared" si="221"/>
        <v>55.572695377430577</v>
      </c>
      <c r="DV19" s="226">
        <f t="shared" si="221"/>
        <v>70.471557969123708</v>
      </c>
      <c r="DW19" s="226">
        <f t="shared" si="221"/>
        <v>73.355089863930729</v>
      </c>
      <c r="DX19" s="226">
        <f t="shared" si="221"/>
        <v>93.48637277997662</v>
      </c>
      <c r="DY19" s="226">
        <f t="shared" si="221"/>
        <v>97.641821487163568</v>
      </c>
      <c r="DZ19" s="226">
        <f t="shared" si="221"/>
        <v>116.29725690094604</v>
      </c>
      <c r="EA19" s="226">
        <f t="shared" si="221"/>
        <v>819.40943952802365</v>
      </c>
      <c r="EB19" s="226">
        <f t="shared" si="221"/>
        <v>1620.2425072098711</v>
      </c>
      <c r="EC19" s="226">
        <f t="shared" si="221"/>
        <v>10085.172962226639</v>
      </c>
      <c r="EF19" s="226" t="str">
        <f t="shared" si="171"/>
        <v/>
      </c>
      <c r="EG19" s="226" t="str">
        <f t="shared" si="172"/>
        <v/>
      </c>
      <c r="EH19" s="226" t="str">
        <f t="shared" si="173"/>
        <v/>
      </c>
      <c r="EI19" s="226" t="str">
        <f t="shared" si="174"/>
        <v/>
      </c>
      <c r="EJ19" s="226" t="str">
        <f t="shared" si="175"/>
        <v/>
      </c>
      <c r="EK19" s="226">
        <f t="shared" si="176"/>
        <v>1.1706940253503619</v>
      </c>
      <c r="EL19" s="226">
        <f t="shared" si="177"/>
        <v>1.2197433009790684</v>
      </c>
      <c r="EM19" s="226">
        <f t="shared" si="178"/>
        <v>1.7271216035095514</v>
      </c>
      <c r="EN19" s="226">
        <f t="shared" si="179"/>
        <v>1.1879177872039091</v>
      </c>
      <c r="EO19" s="226">
        <f t="shared" si="180"/>
        <v>1.1550357176985964</v>
      </c>
      <c r="EP19" s="226">
        <f t="shared" si="181"/>
        <v>1.0396342848004785</v>
      </c>
      <c r="EQ19" s="226">
        <f t="shared" si="182"/>
        <v>1.2603407446296815</v>
      </c>
      <c r="ER19" s="226">
        <f t="shared" si="183"/>
        <v>1.3878573316498759</v>
      </c>
      <c r="ES19" s="226">
        <f t="shared" si="184"/>
        <v>1.0547151579531344</v>
      </c>
      <c r="ET19" s="226">
        <f t="shared" si="185"/>
        <v>1.0371708886379134</v>
      </c>
      <c r="EU19" s="226">
        <f t="shared" si="186"/>
        <v>1.0575183798178767</v>
      </c>
      <c r="EV19" s="226">
        <f t="shared" si="187"/>
        <v>1.1566208596181813</v>
      </c>
      <c r="EW19" s="226">
        <f t="shared" si="188"/>
        <v>1.0239743465630871</v>
      </c>
      <c r="EX19" s="226">
        <f t="shared" si="189"/>
        <v>1.0314708045028047</v>
      </c>
      <c r="EY19" s="226">
        <f t="shared" si="190"/>
        <v>1.008807698475787</v>
      </c>
      <c r="EZ19" s="226">
        <f t="shared" si="191"/>
        <v>1.3958622747026914</v>
      </c>
      <c r="FA19" s="226">
        <f t="shared" si="192"/>
        <v>1.1036552516710836</v>
      </c>
      <c r="FB19" s="226">
        <f t="shared" si="193"/>
        <v>1.0006331020976817</v>
      </c>
      <c r="FC19" s="226">
        <f t="shared" si="194"/>
        <v>1.0360047279850249</v>
      </c>
      <c r="FD19" s="226">
        <f t="shared" si="195"/>
        <v>1.0171014007188641</v>
      </c>
      <c r="FE19" s="226">
        <f t="shared" si="196"/>
        <v>1.0074004149196705</v>
      </c>
      <c r="FF19" s="226">
        <f t="shared" si="197"/>
        <v>1.0254762494527403</v>
      </c>
      <c r="FG19" s="226">
        <f t="shared" si="198"/>
        <v>1.0053153669344099</v>
      </c>
      <c r="FH19" s="226">
        <f t="shared" si="199"/>
        <v>1.1130109025138317</v>
      </c>
      <c r="FI19" s="226">
        <f t="shared" si="200"/>
        <v>1.0187239184420507</v>
      </c>
      <c r="FJ19" s="226">
        <f t="shared" si="201"/>
        <v>1.2469734895242715</v>
      </c>
      <c r="FK19" s="226">
        <f t="shared" si="202"/>
        <v>1.4299504086372754</v>
      </c>
      <c r="FL19" s="226">
        <f t="shared" si="203"/>
        <v>1.0353271437915972</v>
      </c>
      <c r="FM19" s="226">
        <f t="shared" si="204"/>
        <v>1.0452111002357629</v>
      </c>
      <c r="FN19" s="226">
        <f t="shared" si="205"/>
        <v>1.0638217008001662</v>
      </c>
      <c r="FO19" s="226">
        <f t="shared" si="206"/>
        <v>1.0450251937351351</v>
      </c>
      <c r="FP19" s="226">
        <f t="shared" si="207"/>
        <v>1.132113039101567</v>
      </c>
      <c r="FQ19" s="226">
        <f t="shared" si="208"/>
        <v>1.028215090181434</v>
      </c>
      <c r="FR19" s="226">
        <f t="shared" si="209"/>
        <v>1.2956454778351794</v>
      </c>
      <c r="FS19" s="226">
        <f t="shared" si="210"/>
        <v>1.095571419925583</v>
      </c>
      <c r="FT19" s="226">
        <f t="shared" si="211"/>
        <v>1.1829582220710382</v>
      </c>
      <c r="FU19" s="226">
        <f t="shared" si="212"/>
        <v>1.2680968142809197</v>
      </c>
      <c r="FV19" s="226">
        <f t="shared" si="213"/>
        <v>1.0409176691690343</v>
      </c>
      <c r="FW19" s="226">
        <f t="shared" si="214"/>
        <v>1.2744360746253356</v>
      </c>
      <c r="FX19" s="226">
        <f t="shared" si="215"/>
        <v>1.04444978004406</v>
      </c>
      <c r="FY19" s="226">
        <f t="shared" si="216"/>
        <v>1.1910598873479126</v>
      </c>
      <c r="FZ19" s="226">
        <f t="shared" si="217"/>
        <v>7.0458191479609873</v>
      </c>
      <c r="GA19" s="226">
        <f t="shared" si="218"/>
        <v>1.9773295608397237</v>
      </c>
      <c r="GB19" s="226">
        <f t="shared" si="219"/>
        <v>6.2244836296720489</v>
      </c>
    </row>
    <row r="20" spans="1:184" ht="15.75" thickBot="1" x14ac:dyDescent="0.3">
      <c r="A20" s="632"/>
      <c r="B20" s="635"/>
      <c r="C20" s="636" t="s">
        <v>398</v>
      </c>
      <c r="D20" s="637"/>
      <c r="E20" s="638"/>
      <c r="G20" s="595"/>
      <c r="J20" s="646"/>
      <c r="L20" s="226"/>
      <c r="M20" s="226"/>
      <c r="N20" s="226"/>
      <c r="O20" s="226"/>
      <c r="P20" s="226"/>
      <c r="Q20" s="226"/>
      <c r="R20" s="563"/>
      <c r="S20" s="563"/>
      <c r="T20" s="563"/>
      <c r="U20" s="570"/>
      <c r="V20" s="570"/>
      <c r="W20" s="226"/>
      <c r="X20" s="255"/>
      <c r="Y20" s="563"/>
      <c r="Z20" s="563"/>
      <c r="AA20" s="563"/>
      <c r="AB20" s="563"/>
      <c r="AC20" s="563"/>
      <c r="AF20" s="242"/>
      <c r="AG20" s="242"/>
      <c r="AH20" s="242"/>
      <c r="AI20" s="242"/>
      <c r="AJ20" s="242"/>
      <c r="AK20" s="242"/>
      <c r="AL20" s="242"/>
      <c r="AM20" s="242"/>
      <c r="AN20" s="242"/>
      <c r="AO20" s="242"/>
      <c r="AP20" s="242"/>
      <c r="AQ20" s="242"/>
      <c r="AR20" s="242"/>
      <c r="AS20" s="242"/>
      <c r="AT20" s="242"/>
      <c r="AU20" s="242"/>
      <c r="AV20" s="242"/>
      <c r="AW20" s="242"/>
      <c r="AX20" s="242"/>
      <c r="AY20" s="242"/>
      <c r="AZ20" s="242"/>
      <c r="BA20" s="242"/>
      <c r="BB20" s="242"/>
      <c r="BC20" s="242"/>
      <c r="BD20" s="242"/>
      <c r="BE20" s="242"/>
      <c r="BF20" s="242"/>
      <c r="BG20" s="242"/>
      <c r="BH20" s="242"/>
      <c r="BI20" s="242"/>
      <c r="BJ20" s="242"/>
      <c r="BK20" s="242"/>
      <c r="BL20" s="242"/>
      <c r="BM20" s="242"/>
      <c r="BN20" s="242"/>
      <c r="BO20" s="242"/>
      <c r="BP20" s="242"/>
      <c r="BQ20" s="242"/>
      <c r="BR20" s="242"/>
      <c r="BS20" s="242"/>
      <c r="BT20" s="242"/>
      <c r="BU20" s="242"/>
      <c r="BV20" s="242"/>
      <c r="BW20" s="242"/>
      <c r="BX20" s="242"/>
      <c r="BY20" s="242"/>
      <c r="BZ20" s="242"/>
      <c r="CA20" s="242"/>
      <c r="CB20" s="242"/>
      <c r="CC20" s="242"/>
      <c r="CD20" s="242"/>
    </row>
    <row r="21" spans="1:184" ht="15" customHeight="1" thickBot="1" x14ac:dyDescent="0.3">
      <c r="A21" s="248">
        <v>1</v>
      </c>
      <c r="B21" s="642" t="s">
        <v>394</v>
      </c>
      <c r="C21" s="643"/>
      <c r="D21" s="643"/>
      <c r="E21" s="644"/>
      <c r="J21" s="646"/>
      <c r="R21" s="574">
        <f>SUM(R7:R19)</f>
        <v>2.6270667007025318E-8</v>
      </c>
      <c r="U21" s="570"/>
      <c r="V21" s="570"/>
      <c r="Y21" s="564"/>
      <c r="Z21" s="564"/>
      <c r="AA21" s="564"/>
      <c r="AB21" s="564"/>
      <c r="AC21" s="564"/>
    </row>
    <row r="22" spans="1:184" ht="15" customHeight="1" x14ac:dyDescent="0.25">
      <c r="A22" s="243"/>
      <c r="B22" s="243"/>
      <c r="C22" s="246"/>
      <c r="D22" s="243"/>
      <c r="E22" s="247"/>
      <c r="U22" s="570"/>
      <c r="V22" s="570"/>
      <c r="Y22" s="564"/>
      <c r="Z22" s="564"/>
      <c r="AA22" s="564"/>
      <c r="AB22" s="564"/>
      <c r="AC22" s="564"/>
    </row>
    <row r="23" spans="1:184" ht="15" customHeight="1" thickBot="1" x14ac:dyDescent="0.3">
      <c r="U23" s="570"/>
      <c r="V23" s="570"/>
      <c r="Y23" s="564"/>
      <c r="Z23" s="564"/>
      <c r="AA23" s="564"/>
      <c r="AB23" s="564"/>
      <c r="AC23" s="564"/>
    </row>
    <row r="24" spans="1:184" ht="15.75" customHeight="1" thickBot="1" x14ac:dyDescent="0.3">
      <c r="A24" s="639">
        <v>0.3</v>
      </c>
      <c r="B24" s="633" t="s">
        <v>390</v>
      </c>
      <c r="C24" s="231">
        <v>0.1</v>
      </c>
      <c r="D24" s="232" t="s">
        <v>41</v>
      </c>
      <c r="E24" s="233" t="s">
        <v>42</v>
      </c>
      <c r="G24" s="595" t="s">
        <v>386</v>
      </c>
      <c r="H24" s="224" t="s">
        <v>388</v>
      </c>
      <c r="J24" s="646">
        <v>2016</v>
      </c>
      <c r="L24" s="226">
        <f t="shared" ref="L24:P26" si="222">QUARTILE($AF24:$CC24,L$2)</f>
        <v>7.4950707842259059E-2</v>
      </c>
      <c r="M24" s="226">
        <f t="shared" si="222"/>
        <v>0.99893845564338968</v>
      </c>
      <c r="N24" s="226">
        <f t="shared" si="222"/>
        <v>1.9229713965396571</v>
      </c>
      <c r="O24" s="226">
        <f t="shared" si="222"/>
        <v>8.0492890642323704</v>
      </c>
      <c r="P24" s="226">
        <f t="shared" si="222"/>
        <v>242.5513009340354</v>
      </c>
      <c r="Q24" s="226"/>
      <c r="R24" s="573">
        <f>(T24-S24)^2</f>
        <v>3.0824393866483267E-8</v>
      </c>
      <c r="S24" s="563">
        <f>(U24-1)/LN(U24)</f>
        <v>7.549214387297388</v>
      </c>
      <c r="T24" s="563">
        <f t="array" ref="T24">((AVERAGE(IF(AF24:CC24&lt;AC24,AF24:CC24))-MIN(IF(AF24:CC24&lt;AC24,AF24:CC24)))/(MAX(IF(AF24:CC24&lt;AC24,AF24:CC24))-MIN(IF(AF24:CC24&lt;AC24,AF24:CC24))))^(-3/2)</f>
        <v>7.5493899560698576</v>
      </c>
      <c r="U24" s="570">
        <v>25.428188289080342</v>
      </c>
      <c r="V24" s="570">
        <f>AVERAGE(AF24:CC24)</f>
        <v>11.025698420701822</v>
      </c>
      <c r="W24" s="226"/>
      <c r="X24" s="255"/>
      <c r="Y24" s="565">
        <v>0</v>
      </c>
      <c r="Z24" s="566">
        <f t="array" ref="Z24">AA24/AVERAGE(IF($EF24:$GB24&lt;=QUARTILE($EF24:$GB24,3),$EF24:$GB24,""))^(COUNT($AF24:$CC24)/4)</f>
        <v>0.92385991622305896</v>
      </c>
      <c r="AA24" s="566">
        <f t="shared" ref="AA24:AA26" si="223">N24</f>
        <v>1.9229713965396571</v>
      </c>
      <c r="AB24" s="566">
        <f t="array" ref="AB24">AA24*AVERAGE(IF($EF24:$GB24&lt;=QUARTILE($EF24:$GB24,3),$EF24:$GB24,""))^(COUNT($AF24:$CC24)/4)</f>
        <v>4.0025754196882692</v>
      </c>
      <c r="AC24" s="565">
        <f t="array" ref="AC24">AB24*(AVERAGE(IF($EF24:$GB24&lt;=QUARTILE($EF24:$GB24,3)+X$1*(QUARTILE($EF24:$GB24,3)-QUARTILE($EF24:$GB24,1)),$EF24:$GB24,"")))^(COUNT($AF24:$CC24)/4)</f>
        <v>11.100561961639293</v>
      </c>
      <c r="AF24" s="242">
        <f>'MD-data'!F35/'MD-data'!F59</f>
        <v>9.1884616232563907</v>
      </c>
      <c r="AG24" s="242">
        <f>'MD-data'!H35/'MD-data'!H59</f>
        <v>1.4283117024220628</v>
      </c>
      <c r="AH24" s="242">
        <f>'MD-data'!J35/'MD-data'!J59</f>
        <v>8.8105036049563719</v>
      </c>
      <c r="AI24" s="242">
        <f>'MD-data'!L35/'MD-data'!L59</f>
        <v>3.846874577608121</v>
      </c>
      <c r="AJ24" s="242">
        <f>'MD-data'!N35/'MD-data'!N59</f>
        <v>7.4950707842259059E-2</v>
      </c>
      <c r="AK24" s="242">
        <f>'MD-data'!P35/'MD-data'!P59</f>
        <v>0.97661955784331733</v>
      </c>
      <c r="AL24" s="242">
        <f>'MD-data'!R35/'MD-data'!R59</f>
        <v>35.780214589397467</v>
      </c>
      <c r="AM24" s="242">
        <f>'MD-data'!T35/'MD-data'!T59</f>
        <v>30.559707875974439</v>
      </c>
      <c r="AN24" s="242">
        <f>'MD-data'!V35/'MD-data'!V59</f>
        <v>23.419394956547517</v>
      </c>
      <c r="AO24" s="242">
        <f>'MD-data'!X35/'MD-data'!X59</f>
        <v>0.85478288745726638</v>
      </c>
      <c r="AP24" s="242">
        <f>'MD-data'!Z35/'MD-data'!Z59</f>
        <v>2.078718250954442</v>
      </c>
      <c r="AQ24" s="242">
        <f>'MD-data'!AB35/'MD-data'!AB59</f>
        <v>8.2119118306340528</v>
      </c>
      <c r="AR24" s="242">
        <f>'MD-data'!AD35/'MD-data'!AD59</f>
        <v>3.8604624595568917</v>
      </c>
      <c r="AS24" s="242">
        <f>'MD-data'!AF35/'MD-data'!AF59</f>
        <v>2.0198858249647373</v>
      </c>
      <c r="AT24" s="242">
        <f>'MD-data'!AH35/'MD-data'!AH59</f>
        <v>0.84090861137339046</v>
      </c>
      <c r="AU24" s="242">
        <f>'MD-data'!AJ35/'MD-data'!AJ59</f>
        <v>3.3452382716336841</v>
      </c>
      <c r="AV24" s="242">
        <f>'MD-data'!AL35/'MD-data'!AL59</f>
        <v>3.4068058032043282</v>
      </c>
      <c r="AW24" s="242">
        <f>'MD-data'!AN35/'MD-data'!AN59</f>
        <v>0.38162954335496352</v>
      </c>
      <c r="AX24" s="242">
        <f>'MD-data'!AP35/'MD-data'!AP59</f>
        <v>3.9144080394233121</v>
      </c>
      <c r="AY24" s="242">
        <f>'MD-data'!AR35/'MD-data'!AR59</f>
        <v>1.5696425661729037</v>
      </c>
      <c r="AZ24" s="242">
        <f>'MD-data'!AT35/'MD-data'!AT59</f>
        <v>1.4723200655072934</v>
      </c>
      <c r="BA24" s="242">
        <f>'MD-data'!AV35/'MD-data'!AV59</f>
        <v>242.5513009340354</v>
      </c>
      <c r="BB24" s="242">
        <f>'MD-data'!AX35/'MD-data'!AX59</f>
        <v>0.34378198803836751</v>
      </c>
      <c r="BC24" s="242">
        <f>'MD-data'!AZ35/'MD-data'!AZ59</f>
        <v>0.93320620094632956</v>
      </c>
      <c r="BD24" s="242">
        <f>'MD-data'!BB35/'MD-data'!BB59</f>
        <v>0.46207911428265563</v>
      </c>
      <c r="BE24" s="242">
        <f>'MD-data'!BD35/'MD-data'!BD59</f>
        <v>1.0875487207760308</v>
      </c>
      <c r="BF24" s="242">
        <f>'MD-data'!BF35/'MD-data'!BF59</f>
        <v>2.0042946722788701</v>
      </c>
      <c r="BG24" s="242">
        <f>'MD-data'!BH35/'MD-data'!BH59</f>
        <v>1.0658951490436068</v>
      </c>
      <c r="BH24" s="242">
        <f>'MD-data'!BJ35/'MD-data'!BJ59</f>
        <v>0.27246682955966356</v>
      </c>
      <c r="BI24" s="242">
        <f>'MD-data'!BK35/'MD-data'!BK59</f>
        <v>2.4251503365568432</v>
      </c>
      <c r="BJ24" s="242">
        <f>'MD-data'!BN35/'MD-data'!BN59</f>
        <v>10.277288497464639</v>
      </c>
      <c r="BK24" s="242">
        <f>'MD-data'!BP35/'MD-data'!BP59</f>
        <v>0.42296137013891622</v>
      </c>
      <c r="BL24" s="242">
        <f>'MD-data'!BR35/'MD-data'!BR59</f>
        <v>7.5614207650273224</v>
      </c>
      <c r="BM24" s="242">
        <f>'MD-data'!BT35/'MD-data'!BT59</f>
        <v>5.8096359202892458</v>
      </c>
      <c r="BN24" s="242">
        <f>'MD-data'!BV35/'MD-data'!BV59</f>
        <v>0.33844596047019426</v>
      </c>
      <c r="BO24" s="242">
        <f>'MD-data'!BX35/'MD-data'!BX59</f>
        <v>8.4312987519500773</v>
      </c>
      <c r="BP24" s="242">
        <f>'MD-data'!BZ35/'MD-data'!BZ59</f>
        <v>38.075620662918226</v>
      </c>
      <c r="BQ24" s="242">
        <f>'MD-data'!CB35/'MD-data'!CB59</f>
        <v>14.930996504333669</v>
      </c>
      <c r="BR24" s="242">
        <f>'MD-data'!CD35/'MD-data'!CD59</f>
        <v>0.26760023883825468</v>
      </c>
      <c r="BS24" s="242">
        <f>'MD-data'!CF35/'MD-data'!CF59</f>
        <v>25.015139530313451</v>
      </c>
      <c r="BT24" s="242">
        <f>'MD-data'!CH35/'MD-data'!CH59</f>
        <v>26.458668499722116</v>
      </c>
      <c r="BU24" s="242">
        <f>'MD-data'!CJ35/'MD-data'!CJ59</f>
        <v>1.7077971223515676</v>
      </c>
      <c r="BV24" s="242">
        <f>'MD-data'!CL35/'MD-data'!CL59</f>
        <v>1.305197944720708</v>
      </c>
      <c r="BW24" s="242">
        <f>'MD-data'!CN35/'MD-data'!CN59</f>
        <v>6.5177635466714623</v>
      </c>
      <c r="BX24" s="242">
        <f>'MD-data'!CP35/'MD-data'!CP59</f>
        <v>1.3301498041023276</v>
      </c>
      <c r="BY24" s="242">
        <f>'MD-data'!CR35/'MD-data'!CR59</f>
        <v>1.1958769807333638</v>
      </c>
      <c r="BZ24" s="242">
        <f>'MD-data'!CT35/'MD-data'!CT59</f>
        <v>1.1961579994087992</v>
      </c>
      <c r="CA24" s="242">
        <f>'MD-data'!CV35/'MD-data'!CV59</f>
        <v>1.3161729459110514</v>
      </c>
      <c r="CB24" s="242">
        <f>'MD-data'!CX35/'MD-data'!CX59</f>
        <v>9.760257332219005E-2</v>
      </c>
      <c r="CC24" s="242">
        <f>'MD-data'!CZ35/'MD-data'!CZ59</f>
        <v>1.841648120800444</v>
      </c>
      <c r="CD24" s="242"/>
      <c r="CF24" s="226">
        <f>SMALL($AF24:$CC24,CF$1)</f>
        <v>7.4950707842259059E-2</v>
      </c>
      <c r="CG24" s="226">
        <f t="shared" ref="CG24:EC26" si="224">SMALL($AF24:$CC24,CG$1)</f>
        <v>9.760257332219005E-2</v>
      </c>
      <c r="CH24" s="226">
        <f t="shared" si="224"/>
        <v>0.26760023883825468</v>
      </c>
      <c r="CI24" s="226">
        <f t="shared" si="224"/>
        <v>0.27246682955966356</v>
      </c>
      <c r="CJ24" s="226">
        <f t="shared" si="224"/>
        <v>0.33844596047019426</v>
      </c>
      <c r="CK24" s="226">
        <f t="shared" si="224"/>
        <v>0.34378198803836751</v>
      </c>
      <c r="CL24" s="226">
        <f t="shared" si="224"/>
        <v>0.38162954335496352</v>
      </c>
      <c r="CM24" s="226">
        <f t="shared" si="224"/>
        <v>0.42296137013891622</v>
      </c>
      <c r="CN24" s="226">
        <f t="shared" si="224"/>
        <v>0.46207911428265563</v>
      </c>
      <c r="CO24" s="226">
        <f t="shared" si="224"/>
        <v>0.84090861137339046</v>
      </c>
      <c r="CP24" s="226">
        <f t="shared" si="224"/>
        <v>0.85478288745726638</v>
      </c>
      <c r="CQ24" s="226">
        <f t="shared" si="224"/>
        <v>0.93320620094632956</v>
      </c>
      <c r="CR24" s="226">
        <f t="shared" si="224"/>
        <v>0.97661955784331733</v>
      </c>
      <c r="CS24" s="226">
        <f t="shared" si="224"/>
        <v>1.0658951490436068</v>
      </c>
      <c r="CT24" s="226">
        <f t="shared" si="224"/>
        <v>1.0875487207760308</v>
      </c>
      <c r="CU24" s="226">
        <f t="shared" si="224"/>
        <v>1.1958769807333638</v>
      </c>
      <c r="CV24" s="226">
        <f t="shared" si="224"/>
        <v>1.1961579994087992</v>
      </c>
      <c r="CW24" s="226">
        <f t="shared" si="224"/>
        <v>1.305197944720708</v>
      </c>
      <c r="CX24" s="226">
        <f t="shared" si="224"/>
        <v>1.3161729459110514</v>
      </c>
      <c r="CY24" s="226">
        <f t="shared" si="224"/>
        <v>1.3301498041023276</v>
      </c>
      <c r="CZ24" s="226">
        <f t="shared" si="224"/>
        <v>1.4283117024220628</v>
      </c>
      <c r="DA24" s="226">
        <f t="shared" si="224"/>
        <v>1.4723200655072934</v>
      </c>
      <c r="DB24" s="226">
        <f t="shared" si="224"/>
        <v>1.5696425661729037</v>
      </c>
      <c r="DC24" s="226">
        <f t="shared" si="224"/>
        <v>1.7077971223515676</v>
      </c>
      <c r="DD24" s="226">
        <f t="shared" si="224"/>
        <v>1.841648120800444</v>
      </c>
      <c r="DE24" s="226">
        <f t="shared" si="224"/>
        <v>2.0042946722788701</v>
      </c>
      <c r="DF24" s="226">
        <f t="shared" si="224"/>
        <v>2.0198858249647373</v>
      </c>
      <c r="DG24" s="226">
        <f t="shared" si="224"/>
        <v>2.078718250954442</v>
      </c>
      <c r="DH24" s="226">
        <f t="shared" si="224"/>
        <v>2.4251503365568432</v>
      </c>
      <c r="DI24" s="226">
        <f t="shared" si="224"/>
        <v>3.3452382716336841</v>
      </c>
      <c r="DJ24" s="226">
        <f t="shared" si="224"/>
        <v>3.4068058032043282</v>
      </c>
      <c r="DK24" s="226">
        <f t="shared" si="224"/>
        <v>3.846874577608121</v>
      </c>
      <c r="DL24" s="226">
        <f t="shared" si="224"/>
        <v>3.8604624595568917</v>
      </c>
      <c r="DM24" s="226">
        <f t="shared" si="224"/>
        <v>3.9144080394233121</v>
      </c>
      <c r="DN24" s="226">
        <f t="shared" si="224"/>
        <v>5.8096359202892458</v>
      </c>
      <c r="DO24" s="226">
        <f t="shared" si="224"/>
        <v>6.5177635466714623</v>
      </c>
      <c r="DP24" s="226">
        <f t="shared" si="224"/>
        <v>7.5614207650273224</v>
      </c>
      <c r="DQ24" s="226">
        <f t="shared" si="224"/>
        <v>8.2119118306340528</v>
      </c>
      <c r="DR24" s="226">
        <f t="shared" si="224"/>
        <v>8.4312987519500773</v>
      </c>
      <c r="DS24" s="226">
        <f t="shared" si="224"/>
        <v>8.8105036049563719</v>
      </c>
      <c r="DT24" s="226">
        <f t="shared" si="224"/>
        <v>9.1884616232563907</v>
      </c>
      <c r="DU24" s="226">
        <f t="shared" si="224"/>
        <v>10.277288497464639</v>
      </c>
      <c r="DV24" s="226">
        <f t="shared" si="224"/>
        <v>14.930996504333669</v>
      </c>
      <c r="DW24" s="226">
        <f t="shared" si="224"/>
        <v>23.419394956547517</v>
      </c>
      <c r="DX24" s="226">
        <f t="shared" si="224"/>
        <v>25.015139530313451</v>
      </c>
      <c r="DY24" s="226">
        <f t="shared" si="224"/>
        <v>26.458668499722116</v>
      </c>
      <c r="DZ24" s="226">
        <f t="shared" si="224"/>
        <v>30.559707875974439</v>
      </c>
      <c r="EA24" s="226">
        <f t="shared" si="224"/>
        <v>35.780214589397467</v>
      </c>
      <c r="EB24" s="226">
        <f t="shared" si="224"/>
        <v>38.075620662918226</v>
      </c>
      <c r="EC24" s="226">
        <f t="shared" si="224"/>
        <v>242.5513009340354</v>
      </c>
      <c r="EF24" s="226">
        <f>IFERROR(CG24/CF24,"")</f>
        <v>1.3022235030468827</v>
      </c>
      <c r="EG24" s="226">
        <f t="shared" ref="EG24:EG26" si="225">IFERROR(CH24/CG24,"")</f>
        <v>2.7417334372414079</v>
      </c>
      <c r="EH24" s="226">
        <f t="shared" ref="EH24:EH26" si="226">IFERROR(CI24/CH24,"")</f>
        <v>1.0181860477499438</v>
      </c>
      <c r="EI24" s="226">
        <f t="shared" ref="EI24:EI26" si="227">IFERROR(CJ24/CI24,"")</f>
        <v>1.2421547276678055</v>
      </c>
      <c r="EJ24" s="226">
        <f t="shared" ref="EJ24:EJ26" si="228">IFERROR(CK24/CJ24,"")</f>
        <v>1.0157662616529979</v>
      </c>
      <c r="EK24" s="226">
        <f t="shared" ref="EK24:EK26" si="229">IFERROR(CL24/CK24,"")</f>
        <v>1.110091734394101</v>
      </c>
      <c r="EL24" s="226">
        <f t="shared" ref="EL24:EL26" si="230">IFERROR(CM24/CL24,"")</f>
        <v>1.1083035302261934</v>
      </c>
      <c r="EM24" s="226">
        <f t="shared" ref="EM24:EM26" si="231">IFERROR(CN24/CM24,"")</f>
        <v>1.0924853826033609</v>
      </c>
      <c r="EN24" s="226">
        <f t="shared" ref="EN24:EN26" si="232">IFERROR(CO24/CN24,"")</f>
        <v>1.8198368750746075</v>
      </c>
      <c r="EO24" s="226">
        <f t="shared" ref="EO24:EO26" si="233">IFERROR(CP24/CO24,"")</f>
        <v>1.0164991485355539</v>
      </c>
      <c r="EP24" s="226">
        <f t="shared" ref="EP24:EP26" si="234">IFERROR(CQ24/CP24,"")</f>
        <v>1.0917464711095819</v>
      </c>
      <c r="EQ24" s="226">
        <f t="shared" ref="EQ24:EQ26" si="235">IFERROR(CR24/CQ24,"")</f>
        <v>1.0465206476906861</v>
      </c>
      <c r="ER24" s="226">
        <f t="shared" ref="ER24:ER26" si="236">IFERROR(CS24/CR24,"")</f>
        <v>1.0914128643885015</v>
      </c>
      <c r="ES24" s="226">
        <f t="shared" ref="ES24:ES26" si="237">IFERROR(CT24/CS24,"")</f>
        <v>1.0203149172335131</v>
      </c>
      <c r="ET24" s="226">
        <f t="shared" ref="ET24:ET26" si="238">IFERROR(CU24/CT24,"")</f>
        <v>1.0996077305668055</v>
      </c>
      <c r="EU24" s="226">
        <f t="shared" ref="EU24:EU26" si="239">IFERROR(CV24/CU24,"")</f>
        <v>1.0002349896184666</v>
      </c>
      <c r="EV24" s="226">
        <f t="shared" ref="EV24:EV26" si="240">IFERROR(CW24/CV24,"")</f>
        <v>1.0911584802056264</v>
      </c>
      <c r="EW24" s="226">
        <f t="shared" ref="EW24:EW26" si="241">IFERROR(CX24/CW24,"")</f>
        <v>1.0084086871533435</v>
      </c>
      <c r="EX24" s="226">
        <f t="shared" ref="EX24:EX26" si="242">IFERROR(CY24/CX24,"")</f>
        <v>1.0106193173432854</v>
      </c>
      <c r="EY24" s="226">
        <f t="shared" ref="EY24:EY26" si="243">IFERROR(CZ24/CY24,"")</f>
        <v>1.0737976264154558</v>
      </c>
      <c r="EZ24" s="226">
        <f t="shared" ref="EZ24:EZ26" si="244">IFERROR(DA24/CZ24,"")</f>
        <v>1.0308114559382264</v>
      </c>
      <c r="FA24" s="226">
        <f t="shared" ref="FA24:FA26" si="245">IFERROR(DB24/DA24,"")</f>
        <v>1.0661014564330327</v>
      </c>
      <c r="FB24" s="226">
        <f t="shared" ref="FB24:FB26" si="246">IFERROR(DC24/DB24,"")</f>
        <v>1.0880165708779876</v>
      </c>
      <c r="FC24" s="226">
        <f t="shared" ref="FC24:FC26" si="247">IFERROR(DD24/DC24,"")</f>
        <v>1.0783764047245665</v>
      </c>
      <c r="FD24" s="226">
        <f t="shared" ref="FD24:FD26" si="248">IFERROR(DE24/DD24,"")</f>
        <v>1.088315758934304</v>
      </c>
      <c r="FE24" s="226">
        <f t="shared" ref="FE24:FE26" si="249">IFERROR(DF24/DE24,"")</f>
        <v>1.0077788724889141</v>
      </c>
      <c r="FF24" s="226">
        <f t="shared" ref="FF24:FF26" si="250">IFERROR(DG24/DF24,"")</f>
        <v>1.0291266096640546</v>
      </c>
      <c r="FG24" s="226">
        <f t="shared" ref="FG24:FG26" si="251">IFERROR(DH24/DG24,"")</f>
        <v>1.1666565853469257</v>
      </c>
      <c r="FH24" s="226">
        <f t="shared" ref="FH24:FH26" si="252">IFERROR(DI24/DH24,"")</f>
        <v>1.3793941848500637</v>
      </c>
      <c r="FI24" s="226">
        <f t="shared" ref="FI24:FI26" si="253">IFERROR(DJ24/DI24,"")</f>
        <v>1.0184045280399643</v>
      </c>
      <c r="FJ24" s="226">
        <f t="shared" ref="FJ24:FJ26" si="254">IFERROR(DK24/DJ24,"")</f>
        <v>1.1291734251450078</v>
      </c>
      <c r="FK24" s="226">
        <f t="shared" ref="FK24:FK26" si="255">IFERROR(DL24/DK24,"")</f>
        <v>1.0035321874094525</v>
      </c>
      <c r="FL24" s="226">
        <f t="shared" ref="FL24:FL26" si="256">IFERROR(DM24/DL24,"")</f>
        <v>1.013973864642272</v>
      </c>
      <c r="FM24" s="226">
        <f t="shared" ref="FM24:FM26" si="257">IFERROR(DN24/DM24,"")</f>
        <v>1.4841671746477272</v>
      </c>
      <c r="FN24" s="226">
        <f t="shared" ref="FN24:FN26" si="258">IFERROR(DO24/DN24,"")</f>
        <v>1.1218884687608721</v>
      </c>
      <c r="FO24" s="226">
        <f t="shared" ref="FO24:FO26" si="259">IFERROR(DP24/DO24,"")</f>
        <v>1.1601250506991532</v>
      </c>
      <c r="FP24" s="226">
        <f t="shared" ref="FP24:FP26" si="260">IFERROR(DQ24/DP24,"")</f>
        <v>1.0860276244135687</v>
      </c>
      <c r="FQ24" s="226">
        <f t="shared" ref="FQ24:FQ26" si="261">IFERROR(DR24/DQ24,"")</f>
        <v>1.026715693719167</v>
      </c>
      <c r="FR24" s="226">
        <f t="shared" ref="FR24:FR26" si="262">IFERROR(DS24/DR24,"")</f>
        <v>1.0449758529691038</v>
      </c>
      <c r="FS24" s="226">
        <f t="shared" ref="FS24:FS26" si="263">IFERROR(DT24/DS24,"")</f>
        <v>1.0428985714377776</v>
      </c>
      <c r="FT24" s="226">
        <f t="shared" ref="FT24:FT26" si="264">IFERROR(DU24/DT24,"")</f>
        <v>1.1184993657101838</v>
      </c>
      <c r="FU24" s="226">
        <f t="shared" ref="FU24:FU26" si="265">IFERROR(DV24/DU24,"")</f>
        <v>1.452814768021456</v>
      </c>
      <c r="FV24" s="226">
        <f t="shared" ref="FV24:FV26" si="266">IFERROR(DW24/DV24,"")</f>
        <v>1.5685085017433444</v>
      </c>
      <c r="FW24" s="226">
        <f t="shared" ref="FW24:FW26" si="267">IFERROR(DX24/DW24,"")</f>
        <v>1.0681377369794005</v>
      </c>
      <c r="FX24" s="226">
        <f t="shared" ref="FX24:FX26" si="268">IFERROR(DY24/DX24,"")</f>
        <v>1.0577062129779204</v>
      </c>
      <c r="FY24" s="226">
        <f t="shared" ref="FY24:FY26" si="269">IFERROR(DZ24/DY24,"")</f>
        <v>1.154997949964693</v>
      </c>
      <c r="FZ24" s="226">
        <f t="shared" ref="FZ24:FZ26" si="270">IFERROR(EA24/DZ24,"")</f>
        <v>1.1708297322281445</v>
      </c>
      <c r="GA24" s="226">
        <f t="shared" ref="GA24:GA26" si="271">IFERROR(EB24/EA24,"")</f>
        <v>1.0641529431799703</v>
      </c>
      <c r="GB24" s="226">
        <f t="shared" ref="GB24:GB26" si="272">IFERROR(EC24/EB24,"")</f>
        <v>6.370252059220026</v>
      </c>
    </row>
    <row r="25" spans="1:184" ht="26.25" thickBot="1" x14ac:dyDescent="0.3">
      <c r="A25" s="640"/>
      <c r="B25" s="634"/>
      <c r="C25" s="240">
        <v>0.1</v>
      </c>
      <c r="D25" s="234" t="s">
        <v>49</v>
      </c>
      <c r="E25" s="225" t="s">
        <v>50</v>
      </c>
      <c r="G25" s="595" t="s">
        <v>386</v>
      </c>
      <c r="H25" s="224" t="s">
        <v>388</v>
      </c>
      <c r="J25" s="646"/>
      <c r="L25" s="226">
        <f t="shared" si="222"/>
        <v>5.6688240591371725E-5</v>
      </c>
      <c r="M25" s="226">
        <f t="shared" si="222"/>
        <v>0.32836189691915063</v>
      </c>
      <c r="N25" s="226">
        <f t="shared" si="222"/>
        <v>1.2132572801322747</v>
      </c>
      <c r="O25" s="226">
        <f t="shared" si="222"/>
        <v>3.3968570141032184</v>
      </c>
      <c r="P25" s="226">
        <f t="shared" si="222"/>
        <v>83.383782115685733</v>
      </c>
      <c r="Q25" s="226"/>
      <c r="R25" s="573">
        <f t="shared" ref="R25:R26" si="273">(T25-S25)^2</f>
        <v>2.3318180764092016E-9</v>
      </c>
      <c r="S25" s="563">
        <f t="shared" ref="S25:S26" si="274">(U25-1)/LN(U25)</f>
        <v>7.5187897252414784</v>
      </c>
      <c r="T25" s="563">
        <f t="array" ref="T25">((AVERAGE(IF(AF25:CC25&lt;AC25,AF25:CC25))-MIN(IF(AF25:CC25&lt;AC25,AF25:CC25)))/(MAX(IF(AF25:CC25&lt;AC25,AF25:CC25))-MIN(IF(AF25:CC25&lt;AC25,AF25:CC25))))^(-3/2)</f>
        <v>7.5188380141436859</v>
      </c>
      <c r="U25" s="570">
        <v>25.288244529129319</v>
      </c>
      <c r="V25" s="570">
        <f>AVERAGE(AF25:CC25)</f>
        <v>4.2146181633166613</v>
      </c>
      <c r="W25" s="226"/>
      <c r="X25" s="255"/>
      <c r="Y25" s="565">
        <v>0</v>
      </c>
      <c r="Z25" s="566">
        <f t="array" ref="Z25">AA25/AVERAGE(IF($EF25:$GB25&lt;=QUARTILE($EF25:$GB25,3),$EF25:$GB25,""))^(COUNT($AF25:$CC25)/4)</f>
        <v>0.51052771991818313</v>
      </c>
      <c r="AA25" s="566">
        <f t="shared" si="223"/>
        <v>1.2132572801322747</v>
      </c>
      <c r="AB25" s="566">
        <f t="array" ref="AB25">AA25*AVERAGE(IF($EF25:$GB25&lt;=QUARTILE($EF25:$GB25,3),$EF25:$GB25,""))^(COUNT($AF25:$CC25)/4)</f>
        <v>2.8832777738882931</v>
      </c>
      <c r="AC25" s="565">
        <f t="array" ref="AC25">AB25*(AVERAGE(IF($EF25:$GB25&lt;=QUARTILE($EF25:$GB25,3)+X$1*(QUARTILE($EF25:$GB25,3)-QUARTILE($EF25:$GB25,1)),$EF25:$GB25,"")))^(COUNT($AF25:$CC25)/4)</f>
        <v>10.352387055368238</v>
      </c>
      <c r="AF25" s="242">
        <f>('MD-data'!F32+'MD-data'!F26+'MD-data'!F27)/'MD-data'!F59</f>
        <v>3.306265494690118</v>
      </c>
      <c r="AG25" s="242">
        <f>('MD-data'!H32+'MD-data'!H26+'MD-data'!H27)/'MD-data'!H59</f>
        <v>0.47289872090645191</v>
      </c>
      <c r="AH25" s="242">
        <f>('MD-data'!J32+'MD-data'!J26+'MD-data'!J27)/'MD-data'!J59</f>
        <v>6.9930423316723491</v>
      </c>
      <c r="AI25" s="242">
        <f>('MD-data'!L32+'MD-data'!L26+'MD-data'!L27)/'MD-data'!L59</f>
        <v>3.0128034936664889</v>
      </c>
      <c r="AJ25" s="242">
        <f>('MD-data'!N32+'MD-data'!N26+'MD-data'!N27)/'MD-data'!N59</f>
        <v>1.9699306762584728E-2</v>
      </c>
      <c r="AK25" s="242">
        <f>('MD-data'!P32+'MD-data'!P26+'MD-data'!P27)/'MD-data'!P59</f>
        <v>5.5737667230133375E-2</v>
      </c>
      <c r="AL25" s="242">
        <f>('MD-data'!R32+'MD-data'!R26+'MD-data'!R27)/'MD-data'!R59</f>
        <v>2.2452990142458544</v>
      </c>
      <c r="AM25" s="242">
        <f>('MD-data'!T32+'MD-data'!T26+'MD-data'!T27)/'MD-data'!T59</f>
        <v>3.6056071352610992</v>
      </c>
      <c r="AN25" s="242">
        <f>('MD-data'!V32+'MD-data'!V26+'MD-data'!V27)/'MD-data'!V59</f>
        <v>7.3281585644978531</v>
      </c>
      <c r="AO25" s="242">
        <f>('MD-data'!X32+'MD-data'!X26+'MD-data'!X27)/'MD-data'!X59</f>
        <v>9.7792421879296071E-2</v>
      </c>
      <c r="AP25" s="242">
        <f>('MD-data'!Z32+'MD-data'!Z26+'MD-data'!Z27)/'MD-data'!Z59</f>
        <v>2.0503825189673042</v>
      </c>
      <c r="AQ25" s="242">
        <f>('MD-data'!AB32+'MD-data'!AB26+'MD-data'!AB27)/'MD-data'!AB59</f>
        <v>6.6396107220667089</v>
      </c>
      <c r="AR25" s="242">
        <f>('MD-data'!AD32+'MD-data'!AD26+'MD-data'!AD27)/'MD-data'!AD59</f>
        <v>2.7941804639297638</v>
      </c>
      <c r="AS25" s="242">
        <f>('MD-data'!AF32+'MD-data'!AF26+'MD-data'!AF27)/'MD-data'!AF59</f>
        <v>1.5466489908591012</v>
      </c>
      <c r="AT25" s="242">
        <f>('MD-data'!AH32+'MD-data'!AH26+'MD-data'!AH27)/'MD-data'!AH59</f>
        <v>0.4434812598331635</v>
      </c>
      <c r="AU25" s="242">
        <f>('MD-data'!AJ32+'MD-data'!AJ26+'MD-data'!AJ27)/'MD-data'!AJ59</f>
        <v>2.3718263787608422</v>
      </c>
      <c r="AV25" s="242">
        <f>('MD-data'!AL32+'MD-data'!AL26+'MD-data'!AL27)/'MD-data'!AL59</f>
        <v>2.0957015218099686</v>
      </c>
      <c r="AW25" s="242">
        <f>('MD-data'!AN32+'MD-data'!AN26+'MD-data'!AN27)/'MD-data'!AN59</f>
        <v>0.25279274371166682</v>
      </c>
      <c r="AX25" s="242">
        <f>('MD-data'!AP32+'MD-data'!AP26+'MD-data'!AP27)/'MD-data'!AP59</f>
        <v>3.4270541872409184</v>
      </c>
      <c r="AY25" s="242">
        <f>('MD-data'!AR32+'MD-data'!AR26+'MD-data'!AR27)/'MD-data'!AR59</f>
        <v>1.3492255063494145</v>
      </c>
      <c r="AZ25" s="242">
        <f>('MD-data'!AT32+'MD-data'!AT26+'MD-data'!AT27)/'MD-data'!AT59</f>
        <v>0.94190615175454684</v>
      </c>
      <c r="BA25" s="242">
        <f>('MD-data'!AV32+'MD-data'!AV26+'MD-data'!AV27)/'MD-data'!AV59</f>
        <v>83.383782115685733</v>
      </c>
      <c r="BB25" s="242">
        <f>('MD-data'!AX32+'MD-data'!AX26+'MD-data'!AX27)/'MD-data'!AX59</f>
        <v>0.11505141034489631</v>
      </c>
      <c r="BC25" s="242">
        <f>('MD-data'!AZ32+'MD-data'!AZ26+'MD-data'!AZ27)/'MD-data'!AZ59</f>
        <v>0.64278997786479375</v>
      </c>
      <c r="BD25" s="242">
        <f>('MD-data'!BB32+'MD-data'!BB26+'MD-data'!BB27)/'MD-data'!BB59</f>
        <v>0.39286901732251656</v>
      </c>
      <c r="BE25" s="242">
        <f>('MD-data'!BD32+'MD-data'!BD26+'MD-data'!BD27)/'MD-data'!BD59</f>
        <v>1.077289053915135</v>
      </c>
      <c r="BF25" s="242">
        <f>('MD-data'!BF32+'MD-data'!BF26+'MD-data'!BF27)/'MD-data'!BF59</f>
        <v>1.0243327750170399</v>
      </c>
      <c r="BG25" s="242">
        <f>('MD-data'!BH32+'MD-data'!BH26+'MD-data'!BH27)/'MD-data'!BH59</f>
        <v>0.70990558169575302</v>
      </c>
      <c r="BH25" s="242">
        <f>('MD-data'!BJ32+'MD-data'!BJ26+'MD-data'!BJ27)/'MD-data'!BJ59</f>
        <v>0.1244651317560181</v>
      </c>
      <c r="BI25" s="242">
        <f>('MD-data'!BK32+'MD-data'!BK26+'MD-data'!BK27)/'MD-data'!BK59</f>
        <v>1.3663990903429382</v>
      </c>
      <c r="BJ25" s="242">
        <f>('MD-data'!BN32+'MD-data'!BN26+'MD-data'!BN27)/'MD-data'!BN59</f>
        <v>5.7182931530409515</v>
      </c>
      <c r="BK25" s="242">
        <f>('MD-data'!BP32+'MD-data'!BP26+'MD-data'!BP27)/'MD-data'!BP59</f>
        <v>0.11196591609889066</v>
      </c>
      <c r="BL25" s="242">
        <f>('MD-data'!BR32+'MD-data'!BR26+'MD-data'!BR27)/'MD-data'!BR59</f>
        <v>6.5907103825136613</v>
      </c>
      <c r="BM25" s="242">
        <f>('MD-data'!BT32+'MD-data'!BT26+'MD-data'!BT27)/'MD-data'!BT59</f>
        <v>5.6273017741528628</v>
      </c>
      <c r="BN25" s="242">
        <f>('MD-data'!BV32+'MD-data'!BV26+'MD-data'!BV27)/'MD-data'!BV59</f>
        <v>0.11226566654221679</v>
      </c>
      <c r="BO25" s="242">
        <f>('MD-data'!BX32+'MD-data'!BX26+'MD-data'!BX27)/'MD-data'!BX59</f>
        <v>5.113406786271451</v>
      </c>
      <c r="BP25" s="242">
        <f>('MD-data'!BZ32+'MD-data'!BZ26+'MD-data'!BZ27)/'MD-data'!BZ59</f>
        <v>15.01046507658622</v>
      </c>
      <c r="BQ25" s="242">
        <f>('MD-data'!CB32+'MD-data'!CB26+'MD-data'!CB27)/'MD-data'!CB59</f>
        <v>13.167983527270986</v>
      </c>
      <c r="BR25" s="242">
        <f>('MD-data'!CD32+'MD-data'!CD26+'MD-data'!CD27)/'MD-data'!CD59</f>
        <v>0.18046370672464879</v>
      </c>
      <c r="BS25" s="242">
        <f>('MD-data'!CF32+'MD-data'!CF26+'MD-data'!CF27)/'MD-data'!CF59</f>
        <v>2.8792841701876779</v>
      </c>
      <c r="BT25" s="242">
        <f>('MD-data'!CH32+'MD-data'!CH26+'MD-data'!CH27)/'MD-data'!CH59</f>
        <v>11.334864129639922</v>
      </c>
      <c r="BU25" s="242">
        <f>('MD-data'!CJ32+'MD-data'!CJ26+'MD-data'!CJ27)/'MD-data'!CJ59</f>
        <v>0.12086947563613887</v>
      </c>
      <c r="BV25" s="242">
        <f>('MD-data'!CL32+'MD-data'!CL26+'MD-data'!CL27)/'MD-data'!CL59</f>
        <v>0.83611445589330191</v>
      </c>
      <c r="BW25" s="242">
        <f>('MD-data'!CN32+'MD-data'!CN26+'MD-data'!CN27)/'MD-data'!CN59</f>
        <v>1.4341358135710798</v>
      </c>
      <c r="BX25" s="242">
        <f>('MD-data'!CP32+'MD-data'!CP26+'MD-data'!CP27)/'MD-data'!CP59</f>
        <v>1.0254866712760236</v>
      </c>
      <c r="BY25" s="242">
        <f>('MD-data'!CR32+'MD-data'!CR26+'MD-data'!CR27)/'MD-data'!CR59</f>
        <v>0.32193174222811161</v>
      </c>
      <c r="BZ25" s="242">
        <f>('MD-data'!CT32+'MD-data'!CT26+'MD-data'!CT27)/'MD-data'!CT59</f>
        <v>0.1875413488627429</v>
      </c>
      <c r="CA25" s="242">
        <f>('MD-data'!CV32+'MD-data'!CV26+'MD-data'!CV27)/'MD-data'!CV59</f>
        <v>0.72311657006290686</v>
      </c>
      <c r="CB25" s="242">
        <f>('MD-data'!CX32+'MD-data'!CX26+'MD-data'!CX27)/'MD-data'!CX59</f>
        <v>5.6688240591371725E-5</v>
      </c>
      <c r="CC25" s="242">
        <f>('MD-data'!CZ32+'MD-data'!CZ26+'MD-data'!CZ27)/'MD-data'!CZ59</f>
        <v>0.34765236099226776</v>
      </c>
      <c r="CD25" s="242"/>
      <c r="CF25" s="226">
        <f>SMALL($AF25:$CC25,CF$1)</f>
        <v>5.6688240591371725E-5</v>
      </c>
      <c r="CG25" s="226">
        <f t="shared" si="224"/>
        <v>1.9699306762584728E-2</v>
      </c>
      <c r="CH25" s="226">
        <f t="shared" si="224"/>
        <v>5.5737667230133375E-2</v>
      </c>
      <c r="CI25" s="226">
        <f t="shared" si="224"/>
        <v>9.7792421879296071E-2</v>
      </c>
      <c r="CJ25" s="226">
        <f t="shared" si="224"/>
        <v>0.11196591609889066</v>
      </c>
      <c r="CK25" s="226">
        <f t="shared" si="224"/>
        <v>0.11226566654221679</v>
      </c>
      <c r="CL25" s="226">
        <f t="shared" si="224"/>
        <v>0.11505141034489631</v>
      </c>
      <c r="CM25" s="226">
        <f t="shared" si="224"/>
        <v>0.12086947563613887</v>
      </c>
      <c r="CN25" s="226">
        <f t="shared" si="224"/>
        <v>0.1244651317560181</v>
      </c>
      <c r="CO25" s="226">
        <f t="shared" si="224"/>
        <v>0.18046370672464879</v>
      </c>
      <c r="CP25" s="226">
        <f t="shared" si="224"/>
        <v>0.1875413488627429</v>
      </c>
      <c r="CQ25" s="226">
        <f t="shared" si="224"/>
        <v>0.25279274371166682</v>
      </c>
      <c r="CR25" s="226">
        <f t="shared" si="224"/>
        <v>0.32193174222811161</v>
      </c>
      <c r="CS25" s="226">
        <f t="shared" si="224"/>
        <v>0.34765236099226776</v>
      </c>
      <c r="CT25" s="226">
        <f t="shared" si="224"/>
        <v>0.39286901732251656</v>
      </c>
      <c r="CU25" s="226">
        <f t="shared" si="224"/>
        <v>0.4434812598331635</v>
      </c>
      <c r="CV25" s="226">
        <f t="shared" si="224"/>
        <v>0.47289872090645191</v>
      </c>
      <c r="CW25" s="226">
        <f t="shared" si="224"/>
        <v>0.64278997786479375</v>
      </c>
      <c r="CX25" s="226">
        <f t="shared" si="224"/>
        <v>0.70990558169575302</v>
      </c>
      <c r="CY25" s="226">
        <f t="shared" si="224"/>
        <v>0.72311657006290686</v>
      </c>
      <c r="CZ25" s="226">
        <f t="shared" si="224"/>
        <v>0.83611445589330191</v>
      </c>
      <c r="DA25" s="226">
        <f t="shared" si="224"/>
        <v>0.94190615175454684</v>
      </c>
      <c r="DB25" s="226">
        <f t="shared" si="224"/>
        <v>1.0243327750170399</v>
      </c>
      <c r="DC25" s="226">
        <f t="shared" si="224"/>
        <v>1.0254866712760236</v>
      </c>
      <c r="DD25" s="226">
        <f t="shared" si="224"/>
        <v>1.077289053915135</v>
      </c>
      <c r="DE25" s="226">
        <f t="shared" si="224"/>
        <v>1.3492255063494145</v>
      </c>
      <c r="DF25" s="226">
        <f t="shared" si="224"/>
        <v>1.3663990903429382</v>
      </c>
      <c r="DG25" s="226">
        <f t="shared" si="224"/>
        <v>1.4341358135710798</v>
      </c>
      <c r="DH25" s="226">
        <f t="shared" si="224"/>
        <v>1.5466489908591012</v>
      </c>
      <c r="DI25" s="226">
        <f t="shared" si="224"/>
        <v>2.0503825189673042</v>
      </c>
      <c r="DJ25" s="226">
        <f t="shared" si="224"/>
        <v>2.0957015218099686</v>
      </c>
      <c r="DK25" s="226">
        <f t="shared" si="224"/>
        <v>2.2452990142458544</v>
      </c>
      <c r="DL25" s="226">
        <f t="shared" si="224"/>
        <v>2.3718263787608422</v>
      </c>
      <c r="DM25" s="226">
        <f t="shared" si="224"/>
        <v>2.7941804639297638</v>
      </c>
      <c r="DN25" s="226">
        <f t="shared" si="224"/>
        <v>2.8792841701876779</v>
      </c>
      <c r="DO25" s="226">
        <f t="shared" si="224"/>
        <v>3.0128034936664889</v>
      </c>
      <c r="DP25" s="226">
        <f t="shared" si="224"/>
        <v>3.306265494690118</v>
      </c>
      <c r="DQ25" s="226">
        <f t="shared" si="224"/>
        <v>3.4270541872409184</v>
      </c>
      <c r="DR25" s="226">
        <f t="shared" si="224"/>
        <v>3.6056071352610992</v>
      </c>
      <c r="DS25" s="226">
        <f t="shared" si="224"/>
        <v>5.113406786271451</v>
      </c>
      <c r="DT25" s="226">
        <f t="shared" si="224"/>
        <v>5.6273017741528628</v>
      </c>
      <c r="DU25" s="226">
        <f t="shared" si="224"/>
        <v>5.7182931530409515</v>
      </c>
      <c r="DV25" s="226">
        <f t="shared" si="224"/>
        <v>6.5907103825136613</v>
      </c>
      <c r="DW25" s="226">
        <f t="shared" si="224"/>
        <v>6.6396107220667089</v>
      </c>
      <c r="DX25" s="226">
        <f t="shared" si="224"/>
        <v>6.9930423316723491</v>
      </c>
      <c r="DY25" s="226">
        <f t="shared" si="224"/>
        <v>7.3281585644978531</v>
      </c>
      <c r="DZ25" s="226">
        <f t="shared" si="224"/>
        <v>11.334864129639922</v>
      </c>
      <c r="EA25" s="226">
        <f t="shared" si="224"/>
        <v>13.167983527270986</v>
      </c>
      <c r="EB25" s="226">
        <f t="shared" si="224"/>
        <v>15.01046507658622</v>
      </c>
      <c r="EC25" s="226">
        <f t="shared" si="224"/>
        <v>83.383782115685733</v>
      </c>
      <c r="EF25" s="226">
        <f t="shared" ref="EF25:EF26" si="275">IFERROR(CG25/CF25,"")</f>
        <v>347.50252534002749</v>
      </c>
      <c r="EG25" s="226">
        <f t="shared" si="225"/>
        <v>2.8294227762368269</v>
      </c>
      <c r="EH25" s="226">
        <f t="shared" si="226"/>
        <v>1.7545122847629098</v>
      </c>
      <c r="EI25" s="226">
        <f t="shared" si="227"/>
        <v>1.1449344841575633</v>
      </c>
      <c r="EJ25" s="226">
        <f t="shared" si="228"/>
        <v>1.0026771579581537</v>
      </c>
      <c r="EK25" s="226">
        <f t="shared" si="229"/>
        <v>1.0248138535001881</v>
      </c>
      <c r="EL25" s="226">
        <f t="shared" si="230"/>
        <v>1.0505692652858527</v>
      </c>
      <c r="EM25" s="226">
        <f t="shared" si="231"/>
        <v>1.0297482561329501</v>
      </c>
      <c r="EN25" s="226">
        <f t="shared" si="232"/>
        <v>1.4499137563956586</v>
      </c>
      <c r="EO25" s="226">
        <f t="shared" si="233"/>
        <v>1.039219199619418</v>
      </c>
      <c r="EP25" s="226">
        <f t="shared" si="234"/>
        <v>1.3479307109851273</v>
      </c>
      <c r="EQ25" s="226">
        <f t="shared" si="235"/>
        <v>1.2735007243534811</v>
      </c>
      <c r="ER25" s="226">
        <f t="shared" si="236"/>
        <v>1.0798946341424489</v>
      </c>
      <c r="ES25" s="226">
        <f t="shared" si="237"/>
        <v>1.1300628484190116</v>
      </c>
      <c r="ET25" s="226">
        <f t="shared" si="238"/>
        <v>1.128827268832701</v>
      </c>
      <c r="EU25" s="226">
        <f t="shared" si="239"/>
        <v>1.0663330420869535</v>
      </c>
      <c r="EV25" s="226">
        <f t="shared" si="240"/>
        <v>1.3592550570504704</v>
      </c>
      <c r="EW25" s="226">
        <f t="shared" si="241"/>
        <v>1.1044129593524505</v>
      </c>
      <c r="EX25" s="226">
        <f t="shared" si="242"/>
        <v>1.0186095006262619</v>
      </c>
      <c r="EY25" s="226">
        <f t="shared" si="243"/>
        <v>1.1562651037308755</v>
      </c>
      <c r="EZ25" s="226">
        <f t="shared" si="244"/>
        <v>1.1265277679575787</v>
      </c>
      <c r="FA25" s="226">
        <f t="shared" si="245"/>
        <v>1.0875104415752588</v>
      </c>
      <c r="FB25" s="226">
        <f t="shared" si="246"/>
        <v>1.0011264857350333</v>
      </c>
      <c r="FC25" s="226">
        <f t="shared" si="247"/>
        <v>1.0505149253423773</v>
      </c>
      <c r="FD25" s="226">
        <f t="shared" si="248"/>
        <v>1.2524266365150516</v>
      </c>
      <c r="FE25" s="226">
        <f t="shared" si="249"/>
        <v>1.012728475642289</v>
      </c>
      <c r="FF25" s="226">
        <f t="shared" si="250"/>
        <v>1.0495731618286872</v>
      </c>
      <c r="FG25" s="226">
        <f t="shared" si="251"/>
        <v>1.0784536417146275</v>
      </c>
      <c r="FH25" s="226">
        <f t="shared" si="252"/>
        <v>1.3256935032352746</v>
      </c>
      <c r="FI25" s="226">
        <f t="shared" si="253"/>
        <v>1.0221027064088948</v>
      </c>
      <c r="FJ25" s="226">
        <f t="shared" si="254"/>
        <v>1.0713830146511918</v>
      </c>
      <c r="FK25" s="226">
        <f t="shared" si="255"/>
        <v>1.0563521222394896</v>
      </c>
      <c r="FL25" s="226">
        <f t="shared" si="256"/>
        <v>1.1780712487857479</v>
      </c>
      <c r="FM25" s="226">
        <f t="shared" si="257"/>
        <v>1.0304574838155669</v>
      </c>
      <c r="FN25" s="226">
        <f t="shared" si="258"/>
        <v>1.0463724021620651</v>
      </c>
      <c r="FO25" s="226">
        <f t="shared" si="259"/>
        <v>1.0974049590823114</v>
      </c>
      <c r="FP25" s="226">
        <f t="shared" si="260"/>
        <v>1.0365332707687231</v>
      </c>
      <c r="FQ25" s="226">
        <f t="shared" si="261"/>
        <v>1.0521009993611836</v>
      </c>
      <c r="FR25" s="226">
        <f t="shared" si="262"/>
        <v>1.4181819023666773</v>
      </c>
      <c r="FS25" s="226">
        <f t="shared" si="263"/>
        <v>1.1004995317918231</v>
      </c>
      <c r="FT25" s="226">
        <f t="shared" si="264"/>
        <v>1.0161696284542669</v>
      </c>
      <c r="FU25" s="226">
        <f t="shared" si="265"/>
        <v>1.1525660203357646</v>
      </c>
      <c r="FV25" s="226">
        <f t="shared" si="266"/>
        <v>1.0074195855552672</v>
      </c>
      <c r="FW25" s="226">
        <f t="shared" si="267"/>
        <v>1.0532307727666943</v>
      </c>
      <c r="FX25" s="226">
        <f t="shared" si="268"/>
        <v>1.047921379126753</v>
      </c>
      <c r="FY25" s="226">
        <f t="shared" si="269"/>
        <v>1.5467547583581278</v>
      </c>
      <c r="FZ25" s="226">
        <f t="shared" si="270"/>
        <v>1.1617239851016457</v>
      </c>
      <c r="GA25" s="226">
        <f t="shared" si="271"/>
        <v>1.1399213133506312</v>
      </c>
      <c r="GB25" s="226">
        <f t="shared" si="272"/>
        <v>5.5550432108696146</v>
      </c>
    </row>
    <row r="26" spans="1:184" ht="15.75" thickBot="1" x14ac:dyDescent="0.3">
      <c r="A26" s="640"/>
      <c r="B26" s="634"/>
      <c r="C26" s="240">
        <v>0.1</v>
      </c>
      <c r="D26" s="234" t="s">
        <v>72</v>
      </c>
      <c r="E26" s="225" t="s">
        <v>73</v>
      </c>
      <c r="G26" s="595" t="s">
        <v>386</v>
      </c>
      <c r="H26" s="224" t="s">
        <v>388</v>
      </c>
      <c r="J26" s="646"/>
      <c r="L26" s="226">
        <f t="shared" si="222"/>
        <v>5.4277053647186454E-5</v>
      </c>
      <c r="M26" s="226">
        <f t="shared" si="222"/>
        <v>6.4310458684855257E-2</v>
      </c>
      <c r="N26" s="226">
        <f t="shared" si="222"/>
        <v>0.5450961190967416</v>
      </c>
      <c r="O26" s="226">
        <f t="shared" si="222"/>
        <v>2.0489814342924837</v>
      </c>
      <c r="P26" s="226">
        <f t="shared" si="222"/>
        <v>25.30894443655415</v>
      </c>
      <c r="Q26" s="226"/>
      <c r="R26" s="573">
        <f t="shared" si="273"/>
        <v>1.9908118217294807E-7</v>
      </c>
      <c r="S26" s="563">
        <f t="shared" si="274"/>
        <v>14.640618118799946</v>
      </c>
      <c r="T26" s="563">
        <f t="array" ref="T26">((AVERAGE(IF(AF26:CC26&lt;AC26,AF26:CC26))-MIN(IF(AF26:CC26&lt;AC26,AF26:CC26)))/(MAX(IF(AF26:CC26&lt;AC26,AF26:CC26))-MIN(IF(AF26:CC26&lt;AC26,AF26:CC26))))^(-3/2)</f>
        <v>14.640171933656566</v>
      </c>
      <c r="U26" s="570">
        <v>61.244236598546493</v>
      </c>
      <c r="V26" s="570">
        <f>AVERAGE(AF26:CC26)</f>
        <v>2.3400848501090623</v>
      </c>
      <c r="W26" s="226"/>
      <c r="X26" s="255"/>
      <c r="Y26" s="565">
        <v>0</v>
      </c>
      <c r="Z26" s="566">
        <f t="array" ref="Z26">AA26/AVERAGE(IF($EF26:$GB26&lt;=QUARTILE($EF26:$GB26,3),$EF26:$GB26,""))^(COUNT($AF26:$CC26)/4)</f>
        <v>0.15270896624519492</v>
      </c>
      <c r="AA26" s="566">
        <f t="shared" si="223"/>
        <v>0.5450961190967416</v>
      </c>
      <c r="AB26" s="566">
        <f t="array" ref="AB26">AA26*AVERAGE(IF($EF26:$GB26&lt;=QUARTILE($EF26:$GB26,3),$EF26:$GB26,""))^(COUNT($AF26:$CC26)/4)</f>
        <v>1.9457258231795442</v>
      </c>
      <c r="AC26" s="565">
        <f t="array" ref="AC26">AB26*(AVERAGE(IF($EF26:$GB26&lt;=QUARTILE($EF26:$GB26,3)+X$1*(QUARTILE($EF26:$GB26,3)-QUARTILE($EF26:$GB26,1)),$EF26:$GB26,"")))^(COUNT($AF26:$CC26)/4)</f>
        <v>9.0372450797684873</v>
      </c>
      <c r="AF26" s="242">
        <f>'MD-data'!F32/'MD-data'!F59</f>
        <v>0.13948200069923219</v>
      </c>
      <c r="AG26" s="242">
        <f>'MD-data'!H32/'MD-data'!H59</f>
        <v>0.29384583230083716</v>
      </c>
      <c r="AH26" s="242">
        <f>'MD-data'!J32/'MD-data'!J59</f>
        <v>0.28234703507372988</v>
      </c>
      <c r="AI26" s="242">
        <f>'MD-data'!L32/'MD-data'!L59</f>
        <v>2.0588870598390945</v>
      </c>
      <c r="AJ26" s="242">
        <f>'MD-data'!N32/'MD-data'!N59</f>
        <v>5.4277053647186454E-5</v>
      </c>
      <c r="AK26" s="242">
        <f>'MD-data'!P32/'MD-data'!P59</f>
        <v>4.0105831825192244E-3</v>
      </c>
      <c r="AL26" s="242">
        <f>'MD-data'!R32/'MD-data'!R59</f>
        <v>1.5687161528674345</v>
      </c>
      <c r="AM26" s="242">
        <f>'MD-data'!T32/'MD-data'!T59</f>
        <v>2.0192645576526509</v>
      </c>
      <c r="AN26" s="242">
        <f>'MD-data'!V32/'MD-data'!V59</f>
        <v>7.0650191824049484</v>
      </c>
      <c r="AO26" s="242">
        <f>'MD-data'!X32/'MD-data'!X59</f>
        <v>2.8326482869578319E-2</v>
      </c>
      <c r="AP26" s="242">
        <f>'MD-data'!Z32/'MD-data'!Z59</f>
        <v>1.9709134458008142</v>
      </c>
      <c r="AQ26" s="242">
        <f>'MD-data'!AB32/'MD-data'!AB59</f>
        <v>2.9432940913549834</v>
      </c>
      <c r="AR26" s="242">
        <f>'MD-data'!AD32/'MD-data'!AD59</f>
        <v>2.224756397635351</v>
      </c>
      <c r="AS26" s="242">
        <f>'MD-data'!AF32/'MD-data'!AF59</f>
        <v>0.69350251981521138</v>
      </c>
      <c r="AT26" s="242">
        <f>'MD-data'!AH32/'MD-data'!AH59</f>
        <v>0.29321199044189444</v>
      </c>
      <c r="AU26" s="242">
        <f>'MD-data'!AJ32/'MD-data'!AJ59</f>
        <v>1.4902894228265771</v>
      </c>
      <c r="AV26" s="242">
        <f>'MD-data'!AL32/'MD-data'!AL59</f>
        <v>0.87788648364851751</v>
      </c>
      <c r="AW26" s="242">
        <f>'MD-data'!AN32/'MD-data'!AN59</f>
        <v>0.2133468245037122</v>
      </c>
      <c r="AX26" s="242">
        <f>'MD-data'!AP32/'MD-data'!AP59</f>
        <v>0.81567488315879622</v>
      </c>
      <c r="AY26" s="242">
        <f>'MD-data'!AR32/'MD-data'!AR59</f>
        <v>1.3419593613187846</v>
      </c>
      <c r="AZ26" s="242">
        <f>'MD-data'!AT32/'MD-data'!AT59</f>
        <v>0.26511164894765155</v>
      </c>
      <c r="BA26" s="242">
        <f>'MD-data'!AV32/'MD-data'!AV59</f>
        <v>25.30894443655415</v>
      </c>
      <c r="BB26" s="242">
        <f>'MD-data'!AX32/'MD-data'!AX59</f>
        <v>2.5123515235484714E-3</v>
      </c>
      <c r="BC26" s="242">
        <f>'MD-data'!AZ32/'MD-data'!AZ59</f>
        <v>0.53308728232760416</v>
      </c>
      <c r="BD26" s="242">
        <f>'MD-data'!BB32/'MD-data'!BB59</f>
        <v>1.4470876403224801E-2</v>
      </c>
      <c r="BE26" s="242">
        <f>'MD-data'!BD32/'MD-data'!BD59</f>
        <v>0.55710495586587894</v>
      </c>
      <c r="BF26" s="242">
        <f>'MD-data'!BF32/'MD-data'!BF59</f>
        <v>1.0230463485089454</v>
      </c>
      <c r="BG26" s="242">
        <f>'MD-data'!BH32/'MD-data'!BH59</f>
        <v>0.13180030638743065</v>
      </c>
      <c r="BH26" s="242">
        <f>'MD-data'!BJ32/'MD-data'!BJ59</f>
        <v>0.1244651317560181</v>
      </c>
      <c r="BI26" s="242">
        <f>'MD-data'!BK32/'MD-data'!BK59</f>
        <v>1.3244747824153456</v>
      </c>
      <c r="BJ26" s="242">
        <f>'MD-data'!BN32/'MD-data'!BN59</f>
        <v>5.6482815882335498</v>
      </c>
      <c r="BK26" s="242">
        <f>'MD-data'!BP32/'MD-data'!BP59</f>
        <v>3.6987604547479734E-3</v>
      </c>
      <c r="BL26" s="242">
        <f>'MD-data'!BR32/'MD-data'!BR59</f>
        <v>6.5907103825136613</v>
      </c>
      <c r="BM26" s="242">
        <f>'MD-data'!BT32/'MD-data'!BT59</f>
        <v>5.211531993609686</v>
      </c>
      <c r="BN26" s="242">
        <f>'MD-data'!BV32/'MD-data'!BV59</f>
        <v>4.4258900994467637E-2</v>
      </c>
      <c r="BO26" s="242">
        <f>'MD-data'!BX32/'MD-data'!BX59</f>
        <v>2.5202125585023403</v>
      </c>
      <c r="BP26" s="242">
        <f>'MD-data'!BZ32/'MD-data'!BZ59</f>
        <v>14.315956559691411</v>
      </c>
      <c r="BQ26" s="242">
        <f>'MD-data'!CB32/'MD-data'!CB59</f>
        <v>11.973088157831729</v>
      </c>
      <c r="BR26" s="242">
        <f>'MD-data'!CD32/'MD-data'!CD59</f>
        <v>7.9312326081813368E-3</v>
      </c>
      <c r="BS26" s="242">
        <f>'MD-data'!CF32/'MD-data'!CF59</f>
        <v>2.5176083325144933</v>
      </c>
      <c r="BT26" s="242">
        <f>'MD-data'!CH32/'MD-data'!CH59</f>
        <v>11.099101997835435</v>
      </c>
      <c r="BU26" s="242">
        <f>'MD-data'!CJ32/'MD-data'!CJ59</f>
        <v>2.1839909343772536E-4</v>
      </c>
      <c r="BV26" s="242">
        <f>'MD-data'!CL32/'MD-data'!CL59</f>
        <v>7.7688821891114318E-3</v>
      </c>
      <c r="BW26" s="242">
        <f>'MD-data'!CN32/'MD-data'!CN59</f>
        <v>0.52858996428663185</v>
      </c>
      <c r="BX26" s="242">
        <f>'MD-data'!CP32/'MD-data'!CP59</f>
        <v>3.2111853729738034E-3</v>
      </c>
      <c r="BY26" s="242">
        <f>'MD-data'!CR32/'MD-data'!CR59</f>
        <v>4.5824297385096301E-4</v>
      </c>
      <c r="BZ26" s="242">
        <f>'MD-data'!CT32/'MD-data'!CT59</f>
        <v>0.16564077917847225</v>
      </c>
      <c r="CA26" s="242">
        <f>'MD-data'!CV32/'MD-data'!CV59</f>
        <v>0.57930132818723734</v>
      </c>
      <c r="CB26" s="242">
        <f>'MD-data'!CX32/'MD-data'!CX59</f>
        <v>5.6688240591371725E-5</v>
      </c>
      <c r="CC26" s="242">
        <f>'MD-data'!CZ32/'MD-data'!CZ59</f>
        <v>0.17680986600298995</v>
      </c>
      <c r="CD26" s="242"/>
      <c r="CF26" s="226">
        <f>SMALL($AF26:$CC26,CF$1)</f>
        <v>5.4277053647186454E-5</v>
      </c>
      <c r="CG26" s="226">
        <f t="shared" si="224"/>
        <v>5.6688240591371725E-5</v>
      </c>
      <c r="CH26" s="226">
        <f t="shared" si="224"/>
        <v>2.1839909343772536E-4</v>
      </c>
      <c r="CI26" s="226">
        <f t="shared" si="224"/>
        <v>4.5824297385096301E-4</v>
      </c>
      <c r="CJ26" s="226">
        <f t="shared" si="224"/>
        <v>2.5123515235484714E-3</v>
      </c>
      <c r="CK26" s="226">
        <f t="shared" si="224"/>
        <v>3.2111853729738034E-3</v>
      </c>
      <c r="CL26" s="226">
        <f t="shared" si="224"/>
        <v>3.6987604547479734E-3</v>
      </c>
      <c r="CM26" s="226">
        <f t="shared" si="224"/>
        <v>4.0105831825192244E-3</v>
      </c>
      <c r="CN26" s="226">
        <f t="shared" si="224"/>
        <v>7.7688821891114318E-3</v>
      </c>
      <c r="CO26" s="226">
        <f t="shared" si="224"/>
        <v>7.9312326081813368E-3</v>
      </c>
      <c r="CP26" s="226">
        <f t="shared" si="224"/>
        <v>1.4470876403224801E-2</v>
      </c>
      <c r="CQ26" s="226">
        <f t="shared" si="224"/>
        <v>2.8326482869578319E-2</v>
      </c>
      <c r="CR26" s="226">
        <f t="shared" si="224"/>
        <v>4.4258900994467637E-2</v>
      </c>
      <c r="CS26" s="226">
        <f t="shared" si="224"/>
        <v>0.1244651317560181</v>
      </c>
      <c r="CT26" s="226">
        <f t="shared" si="224"/>
        <v>0.13180030638743065</v>
      </c>
      <c r="CU26" s="226">
        <f t="shared" si="224"/>
        <v>0.13948200069923219</v>
      </c>
      <c r="CV26" s="226">
        <f t="shared" si="224"/>
        <v>0.16564077917847225</v>
      </c>
      <c r="CW26" s="226">
        <f t="shared" si="224"/>
        <v>0.17680986600298995</v>
      </c>
      <c r="CX26" s="226">
        <f t="shared" si="224"/>
        <v>0.2133468245037122</v>
      </c>
      <c r="CY26" s="226">
        <f t="shared" si="224"/>
        <v>0.26511164894765155</v>
      </c>
      <c r="CZ26" s="226">
        <f t="shared" si="224"/>
        <v>0.28234703507372988</v>
      </c>
      <c r="DA26" s="226">
        <f t="shared" si="224"/>
        <v>0.29321199044189444</v>
      </c>
      <c r="DB26" s="226">
        <f t="shared" si="224"/>
        <v>0.29384583230083716</v>
      </c>
      <c r="DC26" s="226">
        <f t="shared" si="224"/>
        <v>0.52858996428663185</v>
      </c>
      <c r="DD26" s="226">
        <f t="shared" si="224"/>
        <v>0.53308728232760416</v>
      </c>
      <c r="DE26" s="226">
        <f t="shared" si="224"/>
        <v>0.55710495586587894</v>
      </c>
      <c r="DF26" s="226">
        <f t="shared" si="224"/>
        <v>0.57930132818723734</v>
      </c>
      <c r="DG26" s="226">
        <f t="shared" si="224"/>
        <v>0.69350251981521138</v>
      </c>
      <c r="DH26" s="226">
        <f t="shared" si="224"/>
        <v>0.81567488315879622</v>
      </c>
      <c r="DI26" s="226">
        <f t="shared" si="224"/>
        <v>0.87788648364851751</v>
      </c>
      <c r="DJ26" s="226">
        <f t="shared" si="224"/>
        <v>1.0230463485089454</v>
      </c>
      <c r="DK26" s="226">
        <f t="shared" si="224"/>
        <v>1.3244747824153456</v>
      </c>
      <c r="DL26" s="226">
        <f t="shared" si="224"/>
        <v>1.3419593613187846</v>
      </c>
      <c r="DM26" s="226">
        <f t="shared" si="224"/>
        <v>1.4902894228265771</v>
      </c>
      <c r="DN26" s="226">
        <f t="shared" si="224"/>
        <v>1.5687161528674345</v>
      </c>
      <c r="DO26" s="226">
        <f t="shared" si="224"/>
        <v>1.9709134458008142</v>
      </c>
      <c r="DP26" s="226">
        <f t="shared" si="224"/>
        <v>2.0192645576526509</v>
      </c>
      <c r="DQ26" s="226">
        <f t="shared" si="224"/>
        <v>2.0588870598390945</v>
      </c>
      <c r="DR26" s="226">
        <f t="shared" si="224"/>
        <v>2.224756397635351</v>
      </c>
      <c r="DS26" s="226">
        <f t="shared" si="224"/>
        <v>2.5176083325144933</v>
      </c>
      <c r="DT26" s="226">
        <f t="shared" si="224"/>
        <v>2.5202125585023403</v>
      </c>
      <c r="DU26" s="226">
        <f t="shared" si="224"/>
        <v>2.9432940913549834</v>
      </c>
      <c r="DV26" s="226">
        <f t="shared" si="224"/>
        <v>5.211531993609686</v>
      </c>
      <c r="DW26" s="226">
        <f t="shared" si="224"/>
        <v>5.6482815882335498</v>
      </c>
      <c r="DX26" s="226">
        <f t="shared" si="224"/>
        <v>6.5907103825136613</v>
      </c>
      <c r="DY26" s="226">
        <f t="shared" si="224"/>
        <v>7.0650191824049484</v>
      </c>
      <c r="DZ26" s="226">
        <f t="shared" si="224"/>
        <v>11.099101997835435</v>
      </c>
      <c r="EA26" s="226">
        <f t="shared" si="224"/>
        <v>11.973088157831729</v>
      </c>
      <c r="EB26" s="226">
        <f t="shared" si="224"/>
        <v>14.315956559691411</v>
      </c>
      <c r="EC26" s="226">
        <f t="shared" si="224"/>
        <v>25.30894443655415</v>
      </c>
      <c r="EF26" s="226">
        <f t="shared" si="275"/>
        <v>1.0444236888733598</v>
      </c>
      <c r="EG26" s="226">
        <f t="shared" si="225"/>
        <v>3.852634887930654</v>
      </c>
      <c r="EH26" s="226">
        <f t="shared" si="226"/>
        <v>2.0981908241374048</v>
      </c>
      <c r="EI26" s="226">
        <f t="shared" si="227"/>
        <v>5.482575111703901</v>
      </c>
      <c r="EJ26" s="226">
        <f t="shared" si="228"/>
        <v>1.27815926349283</v>
      </c>
      <c r="EK26" s="226">
        <f t="shared" si="229"/>
        <v>1.151836479412784</v>
      </c>
      <c r="EL26" s="226">
        <f t="shared" si="230"/>
        <v>1.0843046560019789</v>
      </c>
      <c r="EM26" s="226">
        <f t="shared" si="231"/>
        <v>1.9370953887637492</v>
      </c>
      <c r="EN26" s="226">
        <f t="shared" si="232"/>
        <v>1.0208975261971984</v>
      </c>
      <c r="EO26" s="226">
        <f t="shared" si="233"/>
        <v>1.8245431849139817</v>
      </c>
      <c r="EP26" s="226">
        <f t="shared" si="234"/>
        <v>1.9574821925274566</v>
      </c>
      <c r="EQ26" s="226">
        <f t="shared" si="235"/>
        <v>1.5624566310701493</v>
      </c>
      <c r="ER26" s="226">
        <f t="shared" si="236"/>
        <v>2.8122056571530378</v>
      </c>
      <c r="ES26" s="226">
        <f t="shared" si="237"/>
        <v>1.0589335706147105</v>
      </c>
      <c r="ET26" s="226">
        <f t="shared" si="238"/>
        <v>1.0582828259080141</v>
      </c>
      <c r="EU26" s="226">
        <f t="shared" si="239"/>
        <v>1.1875423233686384</v>
      </c>
      <c r="EV26" s="226">
        <f t="shared" si="240"/>
        <v>1.0674295718718119</v>
      </c>
      <c r="EW26" s="226">
        <f t="shared" si="241"/>
        <v>1.206645473619127</v>
      </c>
      <c r="EX26" s="226">
        <f t="shared" si="242"/>
        <v>1.2426322705498654</v>
      </c>
      <c r="EY26" s="226">
        <f t="shared" si="243"/>
        <v>1.0650118023651296</v>
      </c>
      <c r="EZ26" s="226">
        <f t="shared" si="244"/>
        <v>1.0384808551835063</v>
      </c>
      <c r="FA26" s="226">
        <f t="shared" si="245"/>
        <v>1.0021617187550464</v>
      </c>
      <c r="FB26" s="226">
        <f t="shared" si="246"/>
        <v>1.7988683390461206</v>
      </c>
      <c r="FC26" s="226">
        <f t="shared" si="247"/>
        <v>1.0085081411771442</v>
      </c>
      <c r="FD26" s="226">
        <f t="shared" si="248"/>
        <v>1.0450539233151597</v>
      </c>
      <c r="FE26" s="226">
        <f t="shared" si="249"/>
        <v>1.0398423530210026</v>
      </c>
      <c r="FF26" s="226">
        <f t="shared" si="250"/>
        <v>1.1971360776702082</v>
      </c>
      <c r="FG26" s="226">
        <f t="shared" si="251"/>
        <v>1.1761671513120653</v>
      </c>
      <c r="FH26" s="226">
        <f t="shared" si="252"/>
        <v>1.0762700945857246</v>
      </c>
      <c r="FI26" s="226">
        <f t="shared" si="253"/>
        <v>1.1653515204575653</v>
      </c>
      <c r="FJ26" s="226">
        <f t="shared" si="254"/>
        <v>1.2946381015344237</v>
      </c>
      <c r="FK26" s="226">
        <f t="shared" si="255"/>
        <v>1.0132011414151303</v>
      </c>
      <c r="FL26" s="226">
        <f t="shared" si="256"/>
        <v>1.1105324540990749</v>
      </c>
      <c r="FM26" s="226">
        <f t="shared" si="257"/>
        <v>1.0526251671920936</v>
      </c>
      <c r="FN26" s="226">
        <f t="shared" si="258"/>
        <v>1.256386276254126</v>
      </c>
      <c r="FO26" s="226">
        <f t="shared" si="259"/>
        <v>1.0245323364934429</v>
      </c>
      <c r="FP26" s="226">
        <f t="shared" si="260"/>
        <v>1.0196222441662146</v>
      </c>
      <c r="FQ26" s="226">
        <f t="shared" si="261"/>
        <v>1.0805626209575669</v>
      </c>
      <c r="FR26" s="226">
        <f t="shared" si="262"/>
        <v>1.1316332588998996</v>
      </c>
      <c r="FS26" s="226">
        <f t="shared" si="263"/>
        <v>1.0010344047381055</v>
      </c>
      <c r="FT26" s="226">
        <f t="shared" si="264"/>
        <v>1.1678753371120663</v>
      </c>
      <c r="FU26" s="226">
        <f t="shared" si="265"/>
        <v>1.7706460285151084</v>
      </c>
      <c r="FV26" s="226">
        <f t="shared" si="266"/>
        <v>1.0838044542678431</v>
      </c>
      <c r="FW26" s="226">
        <f t="shared" si="267"/>
        <v>1.1668523035826279</v>
      </c>
      <c r="FX26" s="226">
        <f t="shared" si="268"/>
        <v>1.0719662634774112</v>
      </c>
      <c r="FY26" s="226">
        <f t="shared" si="269"/>
        <v>1.5709938941817956</v>
      </c>
      <c r="FZ26" s="226">
        <f t="shared" si="270"/>
        <v>1.0787438623563186</v>
      </c>
      <c r="GA26" s="226">
        <f t="shared" si="271"/>
        <v>1.1956778711536662</v>
      </c>
      <c r="GB26" s="226">
        <f t="shared" si="272"/>
        <v>1.7678835732021596</v>
      </c>
    </row>
    <row r="27" spans="1:184" ht="15.75" thickBot="1" x14ac:dyDescent="0.3">
      <c r="A27" s="641"/>
      <c r="B27" s="635"/>
      <c r="C27" s="636" t="s">
        <v>395</v>
      </c>
      <c r="D27" s="637"/>
      <c r="E27" s="638"/>
      <c r="G27" s="595"/>
      <c r="J27" s="646"/>
      <c r="L27" s="226"/>
      <c r="M27" s="226"/>
      <c r="N27" s="226"/>
      <c r="O27" s="226"/>
      <c r="P27" s="226"/>
      <c r="Q27" s="226"/>
      <c r="R27" s="563"/>
      <c r="S27" s="563"/>
      <c r="T27" s="563"/>
      <c r="U27" s="570"/>
      <c r="V27" s="570"/>
      <c r="W27" s="226"/>
      <c r="X27" s="255"/>
      <c r="Y27" s="565"/>
      <c r="Z27" s="565"/>
      <c r="AA27" s="565"/>
      <c r="AB27" s="565"/>
      <c r="AC27" s="565"/>
      <c r="AF27" s="242"/>
      <c r="AG27" s="242"/>
      <c r="AH27" s="242"/>
      <c r="AI27" s="242"/>
      <c r="AJ27" s="242"/>
      <c r="AK27" s="242"/>
      <c r="AL27" s="242"/>
      <c r="AM27" s="242"/>
      <c r="AN27" s="242"/>
      <c r="AO27" s="242"/>
      <c r="AP27" s="242"/>
      <c r="AQ27" s="242"/>
      <c r="AR27" s="242"/>
      <c r="AS27" s="242"/>
      <c r="AT27" s="242"/>
      <c r="AU27" s="242"/>
      <c r="AV27" s="242"/>
      <c r="AW27" s="242"/>
      <c r="AX27" s="242"/>
      <c r="AY27" s="242"/>
      <c r="AZ27" s="242"/>
      <c r="BA27" s="242"/>
      <c r="BB27" s="242"/>
      <c r="BC27" s="242"/>
      <c r="BD27" s="242"/>
      <c r="BE27" s="242"/>
      <c r="BF27" s="242"/>
      <c r="BG27" s="242"/>
      <c r="BH27" s="242"/>
      <c r="BI27" s="242"/>
      <c r="BJ27" s="242"/>
      <c r="BK27" s="242"/>
      <c r="BL27" s="242"/>
      <c r="BM27" s="242"/>
      <c r="BN27" s="242"/>
      <c r="BO27" s="242"/>
      <c r="BP27" s="242"/>
      <c r="BQ27" s="242"/>
      <c r="BR27" s="242"/>
      <c r="BS27" s="242"/>
      <c r="BT27" s="242"/>
      <c r="BU27" s="242"/>
      <c r="BV27" s="242"/>
      <c r="BW27" s="242"/>
      <c r="BX27" s="242"/>
      <c r="BY27" s="242"/>
      <c r="BZ27" s="242"/>
      <c r="CA27" s="242"/>
      <c r="CB27" s="242"/>
      <c r="CC27" s="242"/>
      <c r="CD27" s="242"/>
    </row>
    <row r="28" spans="1:184" ht="15.75" thickBot="1" x14ac:dyDescent="0.3">
      <c r="A28" s="639">
        <v>0.3</v>
      </c>
      <c r="B28" s="633" t="s">
        <v>391</v>
      </c>
      <c r="C28" s="235">
        <v>0.1</v>
      </c>
      <c r="D28" s="234" t="s">
        <v>88</v>
      </c>
      <c r="E28" s="225" t="s">
        <v>89</v>
      </c>
      <c r="G28" s="595" t="s">
        <v>386</v>
      </c>
      <c r="H28" s="224" t="s">
        <v>389</v>
      </c>
      <c r="J28" s="646"/>
      <c r="L28" s="226">
        <f t="shared" ref="L28:P30" si="276">QUARTILE($AF28:$CC28,L$2)</f>
        <v>-0.26759065179916736</v>
      </c>
      <c r="M28" s="226">
        <f t="shared" si="276"/>
        <v>6.0320513544371538E-4</v>
      </c>
      <c r="N28" s="226">
        <f t="shared" si="276"/>
        <v>1.8191319773804976E-2</v>
      </c>
      <c r="O28" s="226">
        <f t="shared" si="276"/>
        <v>4.4940175295498708E-2</v>
      </c>
      <c r="P28" s="226">
        <f t="shared" si="276"/>
        <v>0.24868462829932142</v>
      </c>
      <c r="Q28" s="226"/>
      <c r="R28" s="573">
        <f t="shared" ref="R28:R30" si="277">(T28-S28)^2</f>
        <v>4.1501197336066227E-6</v>
      </c>
      <c r="S28" s="563">
        <f t="shared" ref="S28:S30" si="278">(U28-1)/LN(U28)</f>
        <v>6.9138580398773346</v>
      </c>
      <c r="T28" s="563">
        <f t="array" ref="T28">((AVERAGE(IF(ABS(AF28:CC28)&lt;AC28,ABS(AF28:CC28)))-MIN(IF(ABS(AF28:CC28)&lt;AC28,ABS(AF28:CC28))))/(MAX(IF(ABS(AF28:CC28)&lt;AC28,ABS(AF28:CC28)))-MIN(IF(ABS(AF28:CC28)&lt;AC28,ABS(AF28:CC28)))))^(-3/2)</f>
        <v>6.9118208556113423</v>
      </c>
      <c r="U28" s="570">
        <v>22.538100602969134</v>
      </c>
      <c r="V28" s="570">
        <f>AVERAGE(AF28:CC28)</f>
        <v>1.7721609033563065E-2</v>
      </c>
      <c r="W28" s="226"/>
      <c r="X28" s="255"/>
      <c r="Y28" s="565">
        <f>AA28-$X$1*$W$1*(O28-M28)</f>
        <v>-0.13301091048016497</v>
      </c>
      <c r="Z28" s="566">
        <f>AA28-$W$1*(O28-M28)</f>
        <v>-6.6505455240082487E-2</v>
      </c>
      <c r="AA28" s="565">
        <v>0</v>
      </c>
      <c r="AB28" s="566">
        <f>AA28+$W$1*(O28-M28)</f>
        <v>6.6505455240082487E-2</v>
      </c>
      <c r="AC28" s="565">
        <f>AA28+$X$1*$W$1*(O28-M28)</f>
        <v>0.13301091048016497</v>
      </c>
      <c r="AF28" s="242">
        <f>'MD-data'!F91/'MD-data'!F36</f>
        <v>3.694660142326716E-2</v>
      </c>
      <c r="AG28" s="242">
        <f>'MD-data'!H91/'MD-data'!H36</f>
        <v>4.1869336987644501E-2</v>
      </c>
      <c r="AH28" s="242">
        <f>'MD-data'!J91/'MD-data'!J36</f>
        <v>-1.3721237417470937E-2</v>
      </c>
      <c r="AI28" s="242">
        <f>'MD-data'!L91/'MD-data'!L36</f>
        <v>-2.4901867832287296E-2</v>
      </c>
      <c r="AJ28" s="242">
        <f>'MD-data'!N91/'MD-data'!N36</f>
        <v>7.013903132535039E-2</v>
      </c>
      <c r="AK28" s="242">
        <f>'MD-data'!P91/'MD-data'!P36</f>
        <v>-0.26759065179916736</v>
      </c>
      <c r="AL28" s="242">
        <f>'MD-data'!R91/'MD-data'!R36</f>
        <v>8.6995495896322085E-3</v>
      </c>
      <c r="AM28" s="242">
        <f>'MD-data'!T91/'MD-data'!T36</f>
        <v>4.866322859646724E-2</v>
      </c>
      <c r="AN28" s="242">
        <f>'MD-data'!V91/'MD-data'!V36</f>
        <v>1.7086596804428564E-2</v>
      </c>
      <c r="AO28" s="242">
        <f>'MD-data'!X91/'MD-data'!X36</f>
        <v>-1.5283418217311035E-2</v>
      </c>
      <c r="AP28" s="242">
        <f>'MD-data'!Z91/'MD-data'!Z36</f>
        <v>1.0310782596872664E-4</v>
      </c>
      <c r="AQ28" s="242">
        <f>'MD-data'!AB91/'MD-data'!AB36</f>
        <v>1.2415812108830932E-2</v>
      </c>
      <c r="AR28" s="242">
        <f>'MD-data'!AD91/'MD-data'!AD36</f>
        <v>9.7812120805033834E-2</v>
      </c>
      <c r="AS28" s="242">
        <f>'MD-data'!AF91/'MD-data'!AF36</f>
        <v>3.8194786184964926E-3</v>
      </c>
      <c r="AT28" s="242">
        <f>'MD-data'!AH91/'MD-data'!AH36</f>
        <v>5.551506091614726E-2</v>
      </c>
      <c r="AU28" s="242">
        <f>'MD-data'!AJ91/'MD-data'!AJ36</f>
        <v>4.0029460715823355E-2</v>
      </c>
      <c r="AV28" s="242">
        <f>'MD-data'!AL91/'MD-data'!AL36</f>
        <v>1.8061185160709231E-2</v>
      </c>
      <c r="AW28" s="242">
        <f>'MD-data'!AN91/'MD-data'!AN36</f>
        <v>1.0516170177481982E-2</v>
      </c>
      <c r="AX28" s="242">
        <f>'MD-data'!AP91/'MD-data'!AP36</f>
        <v>1.1740622702645309E-2</v>
      </c>
      <c r="AY28" s="242">
        <f>'MD-data'!AR91/'MD-data'!AR36</f>
        <v>8.8016573823722383E-2</v>
      </c>
      <c r="AZ28" s="242">
        <f>'MD-data'!AT91/'MD-data'!AT36</f>
        <v>-1.6031995888920087E-2</v>
      </c>
      <c r="BA28" s="242">
        <f>'MD-data'!AV91/'MD-data'!AV36</f>
        <v>0.12452459437891689</v>
      </c>
      <c r="BB28" s="242">
        <f>'MD-data'!AX91/'MD-data'!AX36</f>
        <v>-0.12709929347742163</v>
      </c>
      <c r="BC28" s="242">
        <f>'MD-data'!AZ91/'MD-data'!AZ36</f>
        <v>3.3359926137346188E-2</v>
      </c>
      <c r="BD28" s="242">
        <f>'MD-data'!BB91/'MD-data'!BB36</f>
        <v>2.180919442304825E-2</v>
      </c>
      <c r="BE28" s="242">
        <f>'MD-data'!BD91/'MD-data'!BD36</f>
        <v>4.5310957117084501E-2</v>
      </c>
      <c r="BF28" s="242">
        <f>'MD-data'!BF91/'MD-data'!BF36</f>
        <v>0.13240588360989702</v>
      </c>
      <c r="BG28" s="242">
        <f>'MD-data'!BH91/'MD-data'!BH36</f>
        <v>2.1034970638686818E-3</v>
      </c>
      <c r="BH28" s="242">
        <f>'MD-data'!BJ91/'MD-data'!BJ36</f>
        <v>2.5947656101030343E-2</v>
      </c>
      <c r="BI28" s="242">
        <f>'MD-data'!BK91/'MD-data'!BK36</f>
        <v>8.9373575955791033E-3</v>
      </c>
      <c r="BJ28" s="242">
        <f>'MD-data'!BN91/'MD-data'!BN36</f>
        <v>0.14280952476926823</v>
      </c>
      <c r="BK28" s="242">
        <f>'MD-data'!BP91/'MD-data'!BP36</f>
        <v>-0.20604408556611237</v>
      </c>
      <c r="BL28" s="242">
        <f>'MD-data'!BR91/'MD-data'!BR36</f>
        <v>5.0908101210761413E-2</v>
      </c>
      <c r="BM28" s="242">
        <f>'MD-data'!BT91/'MD-data'!BT36</f>
        <v>0.13366108371375787</v>
      </c>
      <c r="BN28" s="242">
        <f>'MD-data'!BV91/'MD-data'!BV36</f>
        <v>1.2990671127029415E-2</v>
      </c>
      <c r="BO28" s="242">
        <f>'MD-data'!BX91/'MD-data'!BX36</f>
        <v>1.8321454386900724E-2</v>
      </c>
      <c r="BP28" s="242">
        <f>'MD-data'!BZ91/'MD-data'!BZ36</f>
        <v>0.24868462829932142</v>
      </c>
      <c r="BQ28" s="242">
        <f>'MD-data'!CB91/'MD-data'!CB36</f>
        <v>-4.9315221158059393E-3</v>
      </c>
      <c r="BR28" s="242">
        <f>'MD-data'!CD91/'MD-data'!CD36</f>
        <v>1.8848550177012129E-2</v>
      </c>
      <c r="BS28" s="242">
        <f>'MD-data'!CF91/'MD-data'!CF36</f>
        <v>4.386870239597598E-3</v>
      </c>
      <c r="BT28" s="242">
        <f>'MD-data'!CH91/'MD-data'!CH36</f>
        <v>-5.2655757825813353E-2</v>
      </c>
      <c r="BU28" s="242">
        <f>'MD-data'!CJ91/'MD-data'!CJ36</f>
        <v>4.3827829830741336E-2</v>
      </c>
      <c r="BV28" s="242">
        <f>'MD-data'!CL91/'MD-data'!CL36</f>
        <v>2.1416477046560401E-2</v>
      </c>
      <c r="BW28" s="242">
        <f>'MD-data'!CN91/'MD-data'!CN36</f>
        <v>-0.11948315722658628</v>
      </c>
      <c r="BX28" s="242">
        <f>'MD-data'!CP91/'MD-data'!CP36</f>
        <v>5.3385614413106824E-2</v>
      </c>
      <c r="BY28" s="242">
        <f>'MD-data'!CR91/'MD-data'!CR36</f>
        <v>-4.2198230851257798E-3</v>
      </c>
      <c r="BZ28" s="242">
        <f>'MD-data'!CT91/'MD-data'!CT36</f>
        <v>2.9019374442025465E-2</v>
      </c>
      <c r="CA28" s="242">
        <f>'MD-data'!CV91/'MD-data'!CV36</f>
        <v>2.7177755274183139E-2</v>
      </c>
      <c r="CB28" s="242">
        <f>'MD-data'!CX91/'MD-data'!CX36</f>
        <v>-2.7107167268757556E-2</v>
      </c>
      <c r="CC28" s="242">
        <f>'MD-data'!CZ91/'MD-data'!CZ36</f>
        <v>3.8794904602463369E-3</v>
      </c>
      <c r="CD28" s="242"/>
      <c r="CF28" s="226">
        <f t="array" ref="CF28">SMALL(ABS($AF28:$CC28),CF$1)</f>
        <v>1.0310782596872664E-4</v>
      </c>
      <c r="CG28" s="226">
        <f t="array" ref="CG28">SMALL(ABS($AF28:$CC28),CG$1)</f>
        <v>2.1034970638686818E-3</v>
      </c>
      <c r="CH28" s="226">
        <f t="array" ref="CH28">SMALL(ABS($AF28:$CC28),CH$1)</f>
        <v>3.8194786184964926E-3</v>
      </c>
      <c r="CI28" s="226">
        <f t="array" ref="CI28">SMALL(ABS($AF28:$CC28),CI$1)</f>
        <v>3.8794904602463369E-3</v>
      </c>
      <c r="CJ28" s="226">
        <f t="array" ref="CJ28">SMALL(ABS($AF28:$CC28),CJ$1)</f>
        <v>4.2198230851257798E-3</v>
      </c>
      <c r="CK28" s="226">
        <f t="array" ref="CK28">SMALL(ABS($AF28:$CC28),CK$1)</f>
        <v>4.386870239597598E-3</v>
      </c>
      <c r="CL28" s="226">
        <f t="array" ref="CL28">SMALL(ABS($AF28:$CC28),CL$1)</f>
        <v>4.9315221158059393E-3</v>
      </c>
      <c r="CM28" s="226">
        <f t="array" ref="CM28">SMALL(ABS($AF28:$CC28),CM$1)</f>
        <v>8.6995495896322085E-3</v>
      </c>
      <c r="CN28" s="226">
        <f t="array" ref="CN28">SMALL(ABS($AF28:$CC28),CN$1)</f>
        <v>8.9373575955791033E-3</v>
      </c>
      <c r="CO28" s="226">
        <f t="array" ref="CO28">SMALL(ABS($AF28:$CC28),CO$1)</f>
        <v>1.0516170177481982E-2</v>
      </c>
      <c r="CP28" s="226">
        <f t="array" ref="CP28">SMALL(ABS($AF28:$CC28),CP$1)</f>
        <v>1.1740622702645309E-2</v>
      </c>
      <c r="CQ28" s="226">
        <f t="array" ref="CQ28">SMALL(ABS($AF28:$CC28),CQ$1)</f>
        <v>1.2415812108830932E-2</v>
      </c>
      <c r="CR28" s="226">
        <f t="array" ref="CR28">SMALL(ABS($AF28:$CC28),CR$1)</f>
        <v>1.2990671127029415E-2</v>
      </c>
      <c r="CS28" s="226">
        <f t="array" ref="CS28">SMALL(ABS($AF28:$CC28),CS$1)</f>
        <v>1.3721237417470937E-2</v>
      </c>
      <c r="CT28" s="226">
        <f t="array" ref="CT28">SMALL(ABS($AF28:$CC28),CT$1)</f>
        <v>1.5283418217311035E-2</v>
      </c>
      <c r="CU28" s="226">
        <f t="array" ref="CU28">SMALL(ABS($AF28:$CC28),CU$1)</f>
        <v>1.6031995888920087E-2</v>
      </c>
      <c r="CV28" s="226">
        <f t="array" ref="CV28">SMALL(ABS($AF28:$CC28),CV$1)</f>
        <v>1.7086596804428564E-2</v>
      </c>
      <c r="CW28" s="226">
        <f t="array" ref="CW28">SMALL(ABS($AF28:$CC28),CW$1)</f>
        <v>1.8061185160709231E-2</v>
      </c>
      <c r="CX28" s="226">
        <f t="array" ref="CX28">SMALL(ABS($AF28:$CC28),CX$1)</f>
        <v>1.8321454386900724E-2</v>
      </c>
      <c r="CY28" s="226">
        <f t="array" ref="CY28">SMALL(ABS($AF28:$CC28),CY$1)</f>
        <v>1.8848550177012129E-2</v>
      </c>
      <c r="CZ28" s="226">
        <f t="array" ref="CZ28">SMALL(ABS($AF28:$CC28),CZ$1)</f>
        <v>2.1416477046560401E-2</v>
      </c>
      <c r="DA28" s="226">
        <f t="array" ref="DA28">SMALL(ABS($AF28:$CC28),DA$1)</f>
        <v>2.180919442304825E-2</v>
      </c>
      <c r="DB28" s="226">
        <f t="array" ref="DB28">SMALL(ABS($AF28:$CC28),DB$1)</f>
        <v>2.4901867832287296E-2</v>
      </c>
      <c r="DC28" s="226">
        <f t="array" ref="DC28">SMALL(ABS($AF28:$CC28),DC$1)</f>
        <v>2.5947656101030343E-2</v>
      </c>
      <c r="DD28" s="226">
        <f t="array" ref="DD28">SMALL(ABS($AF28:$CC28),DD$1)</f>
        <v>2.7107167268757556E-2</v>
      </c>
      <c r="DE28" s="226">
        <f t="array" ref="DE28">SMALL(ABS($AF28:$CC28),DE$1)</f>
        <v>2.7177755274183139E-2</v>
      </c>
      <c r="DF28" s="226">
        <f t="array" ref="DF28">SMALL(ABS($AF28:$CC28),DF$1)</f>
        <v>2.9019374442025465E-2</v>
      </c>
      <c r="DG28" s="226">
        <f t="array" ref="DG28">SMALL(ABS($AF28:$CC28),DG$1)</f>
        <v>3.3359926137346188E-2</v>
      </c>
      <c r="DH28" s="226">
        <f t="array" ref="DH28">SMALL(ABS($AF28:$CC28),DH$1)</f>
        <v>3.694660142326716E-2</v>
      </c>
      <c r="DI28" s="226">
        <f t="array" ref="DI28">SMALL(ABS($AF28:$CC28),DI$1)</f>
        <v>4.0029460715823355E-2</v>
      </c>
      <c r="DJ28" s="226">
        <f t="array" ref="DJ28">SMALL(ABS($AF28:$CC28),DJ$1)</f>
        <v>4.1869336987644501E-2</v>
      </c>
      <c r="DK28" s="226">
        <f t="array" ref="DK28">SMALL(ABS($AF28:$CC28),DK$1)</f>
        <v>4.3827829830741336E-2</v>
      </c>
      <c r="DL28" s="226">
        <f t="array" ref="DL28">SMALL(ABS($AF28:$CC28),DL$1)</f>
        <v>4.5310957117084501E-2</v>
      </c>
      <c r="DM28" s="226">
        <f t="array" ref="DM28">SMALL(ABS($AF28:$CC28),DM$1)</f>
        <v>4.866322859646724E-2</v>
      </c>
      <c r="DN28" s="226">
        <f t="array" ref="DN28">SMALL(ABS($AF28:$CC28),DN$1)</f>
        <v>5.0908101210761413E-2</v>
      </c>
      <c r="DO28" s="226">
        <f t="array" ref="DO28">SMALL(ABS($AF28:$CC28),DO$1)</f>
        <v>5.2655757825813353E-2</v>
      </c>
      <c r="DP28" s="226">
        <f t="array" ref="DP28">SMALL(ABS($AF28:$CC28),DP$1)</f>
        <v>5.3385614413106824E-2</v>
      </c>
      <c r="DQ28" s="226">
        <f t="array" ref="DQ28">SMALL(ABS($AF28:$CC28),DQ$1)</f>
        <v>5.551506091614726E-2</v>
      </c>
      <c r="DR28" s="226">
        <f t="array" ref="DR28">SMALL(ABS($AF28:$CC28),DR$1)</f>
        <v>7.013903132535039E-2</v>
      </c>
      <c r="DS28" s="226">
        <f t="array" ref="DS28">SMALL(ABS($AF28:$CC28),DS$1)</f>
        <v>8.8016573823722383E-2</v>
      </c>
      <c r="DT28" s="226">
        <f t="array" ref="DT28">SMALL(ABS($AF28:$CC28),DT$1)</f>
        <v>9.7812120805033834E-2</v>
      </c>
      <c r="DU28" s="226">
        <f t="array" ref="DU28">SMALL(ABS($AF28:$CC28),DU$1)</f>
        <v>0.11948315722658628</v>
      </c>
      <c r="DV28" s="226">
        <f t="array" ref="DV28">SMALL(ABS($AF28:$CC28),DV$1)</f>
        <v>0.12452459437891689</v>
      </c>
      <c r="DW28" s="226">
        <f t="array" ref="DW28">SMALL(ABS($AF28:$CC28),DW$1)</f>
        <v>0.12709929347742163</v>
      </c>
      <c r="DX28" s="226">
        <f t="array" ref="DX28">SMALL(ABS($AF28:$CC28),DX$1)</f>
        <v>0.13240588360989702</v>
      </c>
      <c r="DY28" s="226">
        <f t="array" ref="DY28">SMALL(ABS($AF28:$CC28),DY$1)</f>
        <v>0.13366108371375787</v>
      </c>
      <c r="DZ28" s="226">
        <f t="array" ref="DZ28">SMALL(ABS($AF28:$CC28),DZ$1)</f>
        <v>0.14280952476926823</v>
      </c>
      <c r="EA28" s="226">
        <f t="array" ref="EA28">SMALL(ABS($AF28:$CC28),EA$1)</f>
        <v>0.20604408556611237</v>
      </c>
      <c r="EB28" s="226">
        <f t="array" ref="EB28">SMALL(ABS($AF28:$CC28),EB$1)</f>
        <v>0.24868462829932142</v>
      </c>
      <c r="EC28" s="226">
        <f t="array" ref="EC28">SMALL(ABS($AF28:$CC28),EC$1)</f>
        <v>0.26759065179916736</v>
      </c>
      <c r="EF28" s="226">
        <f t="shared" ref="EF28:EF30" si="279">IFERROR(CG28/CF28,"")</f>
        <v>20.400944778980094</v>
      </c>
      <c r="EG28" s="226">
        <f t="shared" ref="EG28:EG30" si="280">IFERROR(CH28/CG28,"")</f>
        <v>1.8157755882348772</v>
      </c>
      <c r="EH28" s="226">
        <f t="shared" ref="EH28:EH30" si="281">IFERROR(CI28/CH28,"")</f>
        <v>1.015712050712688</v>
      </c>
      <c r="EI28" s="226">
        <f t="shared" ref="EI28:EI30" si="282">IFERROR(CJ28/CI28,"")</f>
        <v>1.0877261146449198</v>
      </c>
      <c r="EJ28" s="226">
        <f t="shared" ref="EJ28:EJ30" si="283">IFERROR(CK28/CJ28,"")</f>
        <v>1.0395862933355271</v>
      </c>
      <c r="EK28" s="226">
        <f t="shared" ref="EK28:EK30" si="284">IFERROR(CL28/CK28,"")</f>
        <v>1.1241550003672554</v>
      </c>
      <c r="EL28" s="226">
        <f t="shared" ref="EL28:EL30" si="285">IFERROR(CM28/CL28,"")</f>
        <v>1.764069872413109</v>
      </c>
      <c r="EM28" s="226">
        <f t="shared" ref="EM28:EM30" si="286">IFERROR(CN28/CM28,"")</f>
        <v>1.0273356687604041</v>
      </c>
      <c r="EN28" s="226">
        <f t="shared" ref="EN28:EN30" si="287">IFERROR(CO28/CN28,"")</f>
        <v>1.1766531734932308</v>
      </c>
      <c r="EO28" s="226">
        <f t="shared" ref="EO28:EO30" si="288">IFERROR(CP28/CO28,"")</f>
        <v>1.1164352140083484</v>
      </c>
      <c r="EP28" s="226">
        <f t="shared" ref="EP28:EP30" si="289">IFERROR(CQ28/CP28,"")</f>
        <v>1.0575088241302137</v>
      </c>
      <c r="EQ28" s="226">
        <f t="shared" ref="EQ28:EQ30" si="290">IFERROR(CR28/CQ28,"")</f>
        <v>1.0463005571572404</v>
      </c>
      <c r="ER28" s="226">
        <f t="shared" ref="ER28:ER30" si="291">IFERROR(CS28/CR28,"")</f>
        <v>1.0562377634917912</v>
      </c>
      <c r="ES28" s="226">
        <f t="shared" ref="ES28:ES30" si="292">IFERROR(CT28/CS28,"")</f>
        <v>1.1138513059945314</v>
      </c>
      <c r="ET28" s="226">
        <f t="shared" ref="ET28:ET30" si="293">IFERROR(CU28/CT28,"")</f>
        <v>1.0489797282888693</v>
      </c>
      <c r="EU28" s="226">
        <f t="shared" ref="EU28:EU30" si="294">IFERROR(CV28/CU28,"")</f>
        <v>1.065781012097023</v>
      </c>
      <c r="EV28" s="226">
        <f t="shared" ref="EV28:EV30" si="295">IFERROR(CW28/CV28,"")</f>
        <v>1.0570381783707841</v>
      </c>
      <c r="EW28" s="226">
        <f t="shared" ref="EW28:EW30" si="296">IFERROR(CX28/CW28,"")</f>
        <v>1.0144104179141959</v>
      </c>
      <c r="EX28" s="226">
        <f t="shared" ref="EX28:EX30" si="297">IFERROR(CY28/CX28,"")</f>
        <v>1.0287693203268984</v>
      </c>
      <c r="EY28" s="226">
        <f t="shared" ref="EY28:EY30" si="298">IFERROR(CZ28/CY28,"")</f>
        <v>1.136240020873337</v>
      </c>
      <c r="EZ28" s="226">
        <f t="shared" ref="EZ28:EZ30" si="299">IFERROR(DA28/CZ28,"")</f>
        <v>1.0183371604785447</v>
      </c>
      <c r="FA28" s="226">
        <f t="shared" ref="FA28:FA30" si="300">IFERROR(DB28/DA28,"")</f>
        <v>1.141805944284245</v>
      </c>
      <c r="FB28" s="226">
        <f t="shared" ref="FB28:FB30" si="301">IFERROR(DC28/DB28,"")</f>
        <v>1.0419963785763531</v>
      </c>
      <c r="FC28" s="226">
        <f t="shared" ref="FC28:FC30" si="302">IFERROR(DD28/DC28,"")</f>
        <v>1.0446865475329454</v>
      </c>
      <c r="FD28" s="226">
        <f t="shared" ref="FD28:FD30" si="303">IFERROR(DE28/DD28,"")</f>
        <v>1.0026040347457088</v>
      </c>
      <c r="FE28" s="226">
        <f t="shared" ref="FE28:FE30" si="304">IFERROR(DF28/DE28,"")</f>
        <v>1.0677620042296772</v>
      </c>
      <c r="FF28" s="226">
        <f t="shared" ref="FF28:FF30" si="305">IFERROR(DG28/DF28,"")</f>
        <v>1.1495742681839067</v>
      </c>
      <c r="FG28" s="226">
        <f t="shared" ref="FG28:FG30" si="306">IFERROR(DH28/DG28,"")</f>
        <v>1.1075144852286023</v>
      </c>
      <c r="FH28" s="226">
        <f t="shared" ref="FH28:FH30" si="307">IFERROR(DI28/DH28,"")</f>
        <v>1.0834409437890751</v>
      </c>
      <c r="FI28" s="226">
        <f t="shared" ref="FI28:FI30" si="308">IFERROR(DJ28/DI28,"")</f>
        <v>1.0459630541835867</v>
      </c>
      <c r="FJ28" s="226">
        <f t="shared" ref="FJ28:FJ30" si="309">IFERROR(DK28/DJ28,"")</f>
        <v>1.046776304188308</v>
      </c>
      <c r="FK28" s="226">
        <f t="shared" ref="FK28:FK30" si="310">IFERROR(DL28/DK28,"")</f>
        <v>1.0338398522598735</v>
      </c>
      <c r="FL28" s="226">
        <f t="shared" ref="FL28:FL30" si="311">IFERROR(DM28/DL28,"")</f>
        <v>1.0739836828147415</v>
      </c>
      <c r="FM28" s="226">
        <f t="shared" ref="FM28:FM30" si="312">IFERROR(DN28/DM28,"")</f>
        <v>1.0461307783934652</v>
      </c>
      <c r="FN28" s="226">
        <f t="shared" ref="FN28:FN30" si="313">IFERROR(DO28/DN28,"")</f>
        <v>1.0343296366096346</v>
      </c>
      <c r="FO28" s="226">
        <f t="shared" ref="FO28:FO30" si="314">IFERROR(DP28/DO28,"")</f>
        <v>1.0138609074758331</v>
      </c>
      <c r="FP28" s="226">
        <f t="shared" ref="FP28:FP30" si="315">IFERROR(DQ28/DP28,"")</f>
        <v>1.0398880208919659</v>
      </c>
      <c r="FQ28" s="226">
        <f t="shared" ref="FQ28:FQ30" si="316">IFERROR(DR28/DQ28,"")</f>
        <v>1.2634234776629698</v>
      </c>
      <c r="FR28" s="226">
        <f t="shared" ref="FR28:FR30" si="317">IFERROR(DS28/DR28,"")</f>
        <v>1.2548872170110867</v>
      </c>
      <c r="FS28" s="226">
        <f t="shared" ref="FS28:FS30" si="318">IFERROR(DT28/DS28,"")</f>
        <v>1.1112920732512237</v>
      </c>
      <c r="FT28" s="226">
        <f t="shared" ref="FT28:FT30" si="319">IFERROR(DU28/DT28,"")</f>
        <v>1.2215577808066214</v>
      </c>
      <c r="FU28" s="226">
        <f t="shared" ref="FU28:FU30" si="320">IFERROR(DV28/DU28,"")</f>
        <v>1.0421937055343298</v>
      </c>
      <c r="FV28" s="226">
        <f t="shared" ref="FV28:FV30" si="321">IFERROR(DW28/DV28,"")</f>
        <v>1.0206762295540603</v>
      </c>
      <c r="FW28" s="226">
        <f t="shared" ref="FW28:FW30" si="322">IFERROR(DX28/DW28,"")</f>
        <v>1.0417515313208101</v>
      </c>
      <c r="FX28" s="226">
        <f t="shared" ref="FX28:FX30" si="323">IFERROR(DY28/DX28,"")</f>
        <v>1.0094799420512082</v>
      </c>
      <c r="FY28" s="226">
        <f t="shared" ref="FY28:FY30" si="324">IFERROR(DZ28/DY28,"")</f>
        <v>1.0684450612049667</v>
      </c>
      <c r="FZ28" s="226">
        <f t="shared" ref="FZ28:FZ30" si="325">IFERROR(EA28/DZ28,"")</f>
        <v>1.4427895191095255</v>
      </c>
      <c r="GA28" s="226">
        <f t="shared" ref="GA28:GA30" si="326">IFERROR(EB28/EA28,"")</f>
        <v>1.2069486373076561</v>
      </c>
      <c r="GB28" s="226">
        <f t="shared" ref="GB28:GB30" si="327">IFERROR(EC28/EB28,"")</f>
        <v>1.0760240937654189</v>
      </c>
    </row>
    <row r="29" spans="1:184" ht="15.75" thickBot="1" x14ac:dyDescent="0.3">
      <c r="A29" s="640"/>
      <c r="B29" s="634"/>
      <c r="C29" s="240">
        <v>0.1</v>
      </c>
      <c r="D29" s="234" t="s">
        <v>102</v>
      </c>
      <c r="E29" s="225" t="s">
        <v>103</v>
      </c>
      <c r="G29" s="595" t="s">
        <v>386</v>
      </c>
      <c r="H29" s="224" t="s">
        <v>389</v>
      </c>
      <c r="J29" s="646"/>
      <c r="L29" s="226">
        <f t="shared" si="276"/>
        <v>-2.1145280053527689</v>
      </c>
      <c r="M29" s="226">
        <f t="shared" si="276"/>
        <v>-3.6704162053238631E-3</v>
      </c>
      <c r="N29" s="226">
        <f t="shared" si="276"/>
        <v>2.3039543900841911E-2</v>
      </c>
      <c r="O29" s="226">
        <f t="shared" si="276"/>
        <v>9.3553615931782602E-2</v>
      </c>
      <c r="P29" s="226">
        <f t="shared" si="276"/>
        <v>0.55633546568983738</v>
      </c>
      <c r="Q29" s="226"/>
      <c r="R29" s="573">
        <f t="shared" si="277"/>
        <v>4.6998798828122737E-7</v>
      </c>
      <c r="S29" s="563">
        <f t="shared" si="278"/>
        <v>7.3895605608303043</v>
      </c>
      <c r="T29" s="563">
        <f t="array" ref="T29">((AVERAGE(IF(ABS(AF29:CC29)&lt;AC29,ABS(AF29:CC29)))-MIN(IF(ABS(AF29:CC29)&lt;AC29,ABS(AF29:CC29))))/(MAX(IF(ABS(AF29:CC29)&lt;AC29,ABS(AF29:CC29)))-MIN(IF(ABS(AF29:CC29)&lt;AC29,ABS(AF29:CC29)))))^(-3/2)</f>
        <v>7.3902461175298422</v>
      </c>
      <c r="U29" s="570">
        <v>24.69552907735908</v>
      </c>
      <c r="V29" s="570">
        <f>AVERAGE(AF29:CC29)</f>
        <v>2.3048181104890013E-3</v>
      </c>
      <c r="W29" s="226"/>
      <c r="X29" s="255"/>
      <c r="Y29" s="565">
        <f t="shared" ref="Y29:Y30" si="328">AA29-$X$1*$W$1*(O29-M29)</f>
        <v>-0.29167209641131941</v>
      </c>
      <c r="Z29" s="566">
        <f>AA29-$W$1*(O29-M29)</f>
        <v>-0.14583604820565971</v>
      </c>
      <c r="AA29" s="565">
        <v>0</v>
      </c>
      <c r="AB29" s="566">
        <f>AA29+$W$1*(O29-M29)</f>
        <v>0.14583604820565971</v>
      </c>
      <c r="AC29" s="565">
        <f t="shared" ref="AC29:AC30" si="329">AA29+$X$1*$W$1*(O29-M29)</f>
        <v>0.29167209641131941</v>
      </c>
      <c r="AF29" s="242">
        <f>'MD-data'!F91/'MD-data'!F73</f>
        <v>3.9919390477756805E-2</v>
      </c>
      <c r="AG29" s="242">
        <f>'MD-data'!H91/'MD-data'!H73</f>
        <v>6.0670218492125456E-2</v>
      </c>
      <c r="AH29" s="242">
        <f>'MD-data'!J91/'MD-data'!J73</f>
        <v>-4.1483640728010293E-2</v>
      </c>
      <c r="AI29" s="242">
        <f>'MD-data'!L91/'MD-data'!L73</f>
        <v>-2.5533435957809231E-2</v>
      </c>
      <c r="AJ29" s="242">
        <f>'MD-data'!N91/'MD-data'!N73</f>
        <v>9.4505152506184312E-2</v>
      </c>
      <c r="AK29" s="242">
        <f>'MD-data'!P91/'MD-data'!P73</f>
        <v>-0.3893671166732609</v>
      </c>
      <c r="AL29" s="242">
        <f>'MD-data'!R91/'MD-data'!R73</f>
        <v>6.0465793342728349E-2</v>
      </c>
      <c r="AM29" s="242">
        <f>'MD-data'!T91/'MD-data'!T73</f>
        <v>4.9286182451301994E-2</v>
      </c>
      <c r="AN29" s="242">
        <f>'MD-data'!V91/'MD-data'!V73</f>
        <v>1.7387216113292865E-2</v>
      </c>
      <c r="AO29" s="242">
        <f>'MD-data'!X91/'MD-data'!X73</f>
        <v>-1.88552170440324E-2</v>
      </c>
      <c r="AP29" s="242">
        <f>'MD-data'!Z91/'MD-data'!Z73</f>
        <v>1.3267079780145743E-4</v>
      </c>
      <c r="AQ29" s="242">
        <f>'MD-data'!AB91/'MD-data'!AB73</f>
        <v>1.3143801149593593E-2</v>
      </c>
      <c r="AR29" s="242">
        <f>'MD-data'!AD91/'MD-data'!AD73</f>
        <v>0.10658502624935877</v>
      </c>
      <c r="AS29" s="242">
        <f>'MD-data'!AF91/'MD-data'!AF73</f>
        <v>4.9798593130584139E-3</v>
      </c>
      <c r="AT29" s="242">
        <f>'MD-data'!AH91/'MD-data'!AH73</f>
        <v>0.1564519658397501</v>
      </c>
      <c r="AU29" s="242">
        <f>'MD-data'!AJ91/'MD-data'!AJ73</f>
        <v>4.3844317528767447E-2</v>
      </c>
      <c r="AV29" s="242">
        <f>'MD-data'!AL91/'MD-data'!AL73</f>
        <v>2.1878772569855653E-2</v>
      </c>
      <c r="AW29" s="242">
        <f>'MD-data'!AN91/'MD-data'!AN73</f>
        <v>9.0699006208577473E-2</v>
      </c>
      <c r="AX29" s="242">
        <f>'MD-data'!AP91/'MD-data'!AP73</f>
        <v>1.3205587834665126E-2</v>
      </c>
      <c r="AY29" s="242">
        <f>'MD-data'!AR91/'MD-data'!AR73</f>
        <v>0.12219616446303842</v>
      </c>
      <c r="AZ29" s="242">
        <f>'MD-data'!AT91/'MD-data'!AT73</f>
        <v>-2.0500431772803297E-2</v>
      </c>
      <c r="BA29" s="242">
        <f>'MD-data'!AV91/'MD-data'!AV73</f>
        <v>0.12495394414720999</v>
      </c>
      <c r="BB29" s="242">
        <f>'MD-data'!AX91/'MD-data'!AX73</f>
        <v>-0.24758476848014743</v>
      </c>
      <c r="BC29" s="242">
        <f>'MD-data'!AZ91/'MD-data'!AZ73</f>
        <v>0.14036232838134388</v>
      </c>
      <c r="BD29" s="242">
        <f>'MD-data'!BB91/'MD-data'!BB73</f>
        <v>-8.3749900853459555E-2</v>
      </c>
      <c r="BE29" s="242">
        <f>'MD-data'!BD91/'MD-data'!BD73</f>
        <v>0.55633546568983738</v>
      </c>
      <c r="BF29" s="242">
        <f>'MD-data'!BF91/'MD-data'!BF73</f>
        <v>0.16833224685882067</v>
      </c>
      <c r="BG29" s="242">
        <f>'MD-data'!BH91/'MD-data'!BH73</f>
        <v>3.2044865810063345E-3</v>
      </c>
      <c r="BH29" s="242">
        <f>'MD-data'!BJ91/'MD-data'!BJ73</f>
        <v>3.2278577317629668E-2</v>
      </c>
      <c r="BI29" s="242">
        <f>'MD-data'!BK91/'MD-data'!BK73</f>
        <v>1.0697421240977049E-2</v>
      </c>
      <c r="BJ29" s="242">
        <f>'MD-data'!BN91/'MD-data'!BN73</f>
        <v>0.15099665595698641</v>
      </c>
      <c r="BK29" s="242">
        <f>'MD-data'!BP91/'MD-data'!BP73</f>
        <v>-2.1145280053527689</v>
      </c>
      <c r="BL29" s="242">
        <f>'MD-data'!BR91/'MD-data'!BR73</f>
        <v>0.31622569890996266</v>
      </c>
      <c r="BM29" s="242">
        <f>'MD-data'!BT91/'MD-data'!BT73</f>
        <v>0.1563771600461572</v>
      </c>
      <c r="BN29" s="242">
        <f>'MD-data'!BV91/'MD-data'!BV73</f>
        <v>2.4200315231828164E-2</v>
      </c>
      <c r="BO29" s="242">
        <f>'MD-data'!BX91/'MD-data'!BX73</f>
        <v>1.9836219347153912E-2</v>
      </c>
      <c r="BP29" s="242">
        <f>'MD-data'!BZ91/'MD-data'!BZ73</f>
        <v>0.25347236891691155</v>
      </c>
      <c r="BQ29" s="242">
        <f>'MD-data'!CB91/'MD-data'!CB73</f>
        <v>-4.9381118730323029E-3</v>
      </c>
      <c r="BR29" s="242">
        <f>'MD-data'!CD91/'MD-data'!CD73</f>
        <v>2.0586274672487834E-2</v>
      </c>
      <c r="BS29" s="242">
        <f>'MD-data'!CF91/'MD-data'!CF73</f>
        <v>4.5969566356297478E-3</v>
      </c>
      <c r="BT29" s="242">
        <f>'MD-data'!CH91/'MD-data'!CH73</f>
        <v>-5.4263752852848832E-2</v>
      </c>
      <c r="BU29" s="242">
        <f>'MD-data'!CJ91/'MD-data'!CJ73</f>
        <v>6.885228416164535E-2</v>
      </c>
      <c r="BV29" s="242">
        <f>'MD-data'!CL91/'MD-data'!CL73</f>
        <v>6.0708331228211995E-2</v>
      </c>
      <c r="BW29" s="242">
        <f>'MD-data'!CN91/'MD-data'!CN73</f>
        <v>-0.13148562861714697</v>
      </c>
      <c r="BX29" s="242">
        <f>'MD-data'!CP91/'MD-data'!CP73</f>
        <v>8.1305873824311509E-2</v>
      </c>
      <c r="BY29" s="242">
        <f>'MD-data'!CR91/'MD-data'!CR73</f>
        <v>-8.0109924977251924E-3</v>
      </c>
      <c r="BZ29" s="242">
        <f>'MD-data'!CT91/'MD-data'!CT73</f>
        <v>0.13123950785184554</v>
      </c>
      <c r="CA29" s="242">
        <f>'MD-data'!CV91/'MD-data'!CV73</f>
        <v>5.9415305632957743E-2</v>
      </c>
      <c r="CB29" s="242">
        <f>'MD-data'!CX91/'MD-data'!CX73</f>
        <v>-2.9124475059886194E-2</v>
      </c>
      <c r="CC29" s="242">
        <f>'MD-data'!CZ91/'MD-data'!CZ73</f>
        <v>5.3378353166106656E-3</v>
      </c>
      <c r="CD29" s="242"/>
      <c r="CF29" s="226">
        <f t="array" ref="CF29">SMALL(ABS($AF29:$CC29),CF$1)</f>
        <v>1.3267079780145743E-4</v>
      </c>
      <c r="CG29" s="226">
        <f t="array" ref="CG29">SMALL(ABS($AF29:$CC29),CG$1)</f>
        <v>3.2044865810063345E-3</v>
      </c>
      <c r="CH29" s="226">
        <f t="array" ref="CH29">SMALL(ABS($AF29:$CC29),CH$1)</f>
        <v>4.5969566356297478E-3</v>
      </c>
      <c r="CI29" s="226">
        <f t="array" ref="CI29">SMALL(ABS($AF29:$CC29),CI$1)</f>
        <v>4.9381118730323029E-3</v>
      </c>
      <c r="CJ29" s="226">
        <f t="array" ref="CJ29">SMALL(ABS($AF29:$CC29),CJ$1)</f>
        <v>4.9798593130584139E-3</v>
      </c>
      <c r="CK29" s="226">
        <f t="array" ref="CK29">SMALL(ABS($AF29:$CC29),CK$1)</f>
        <v>5.3378353166106656E-3</v>
      </c>
      <c r="CL29" s="226">
        <f t="array" ref="CL29">SMALL(ABS($AF29:$CC29),CL$1)</f>
        <v>8.0109924977251924E-3</v>
      </c>
      <c r="CM29" s="226">
        <f t="array" ref="CM29">SMALL(ABS($AF29:$CC29),CM$1)</f>
        <v>1.0697421240977049E-2</v>
      </c>
      <c r="CN29" s="226">
        <f t="array" ref="CN29">SMALL(ABS($AF29:$CC29),CN$1)</f>
        <v>1.3143801149593593E-2</v>
      </c>
      <c r="CO29" s="226">
        <f t="array" ref="CO29">SMALL(ABS($AF29:$CC29),CO$1)</f>
        <v>1.3205587834665126E-2</v>
      </c>
      <c r="CP29" s="226">
        <f t="array" ref="CP29">SMALL(ABS($AF29:$CC29),CP$1)</f>
        <v>1.7387216113292865E-2</v>
      </c>
      <c r="CQ29" s="226">
        <f t="array" ref="CQ29">SMALL(ABS($AF29:$CC29),CQ$1)</f>
        <v>1.88552170440324E-2</v>
      </c>
      <c r="CR29" s="226">
        <f t="array" ref="CR29">SMALL(ABS($AF29:$CC29),CR$1)</f>
        <v>1.9836219347153912E-2</v>
      </c>
      <c r="CS29" s="226">
        <f t="array" ref="CS29">SMALL(ABS($AF29:$CC29),CS$1)</f>
        <v>2.0500431772803297E-2</v>
      </c>
      <c r="CT29" s="226">
        <f t="array" ref="CT29">SMALL(ABS($AF29:$CC29),CT$1)</f>
        <v>2.0586274672487834E-2</v>
      </c>
      <c r="CU29" s="226">
        <f t="array" ref="CU29">SMALL(ABS($AF29:$CC29),CU$1)</f>
        <v>2.1878772569855653E-2</v>
      </c>
      <c r="CV29" s="226">
        <f t="array" ref="CV29">SMALL(ABS($AF29:$CC29),CV$1)</f>
        <v>2.4200315231828164E-2</v>
      </c>
      <c r="CW29" s="226">
        <f t="array" ref="CW29">SMALL(ABS($AF29:$CC29),CW$1)</f>
        <v>2.5533435957809231E-2</v>
      </c>
      <c r="CX29" s="226">
        <f t="array" ref="CX29">SMALL(ABS($AF29:$CC29),CX$1)</f>
        <v>2.9124475059886194E-2</v>
      </c>
      <c r="CY29" s="226">
        <f t="array" ref="CY29">SMALL(ABS($AF29:$CC29),CY$1)</f>
        <v>3.2278577317629668E-2</v>
      </c>
      <c r="CZ29" s="226">
        <f t="array" ref="CZ29">SMALL(ABS($AF29:$CC29),CZ$1)</f>
        <v>3.9919390477756805E-2</v>
      </c>
      <c r="DA29" s="226">
        <f t="array" ref="DA29">SMALL(ABS($AF29:$CC29),DA$1)</f>
        <v>4.1483640728010293E-2</v>
      </c>
      <c r="DB29" s="226">
        <f t="array" ref="DB29">SMALL(ABS($AF29:$CC29),DB$1)</f>
        <v>4.3844317528767447E-2</v>
      </c>
      <c r="DC29" s="226">
        <f t="array" ref="DC29">SMALL(ABS($AF29:$CC29),DC$1)</f>
        <v>4.9286182451301994E-2</v>
      </c>
      <c r="DD29" s="226">
        <f t="array" ref="DD29">SMALL(ABS($AF29:$CC29),DD$1)</f>
        <v>5.4263752852848832E-2</v>
      </c>
      <c r="DE29" s="226">
        <f t="array" ref="DE29">SMALL(ABS($AF29:$CC29),DE$1)</f>
        <v>5.9415305632957743E-2</v>
      </c>
      <c r="DF29" s="226">
        <f t="array" ref="DF29">SMALL(ABS($AF29:$CC29),DF$1)</f>
        <v>6.0465793342728349E-2</v>
      </c>
      <c r="DG29" s="226">
        <f t="array" ref="DG29">SMALL(ABS($AF29:$CC29),DG$1)</f>
        <v>6.0670218492125456E-2</v>
      </c>
      <c r="DH29" s="226">
        <f t="array" ref="DH29">SMALL(ABS($AF29:$CC29),DH$1)</f>
        <v>6.0708331228211995E-2</v>
      </c>
      <c r="DI29" s="226">
        <f t="array" ref="DI29">SMALL(ABS($AF29:$CC29),DI$1)</f>
        <v>6.885228416164535E-2</v>
      </c>
      <c r="DJ29" s="226">
        <f t="array" ref="DJ29">SMALL(ABS($AF29:$CC29),DJ$1)</f>
        <v>8.1305873824311509E-2</v>
      </c>
      <c r="DK29" s="226">
        <f t="array" ref="DK29">SMALL(ABS($AF29:$CC29),DK$1)</f>
        <v>8.3749900853459555E-2</v>
      </c>
      <c r="DL29" s="226">
        <f t="array" ref="DL29">SMALL(ABS($AF29:$CC29),DL$1)</f>
        <v>9.0699006208577473E-2</v>
      </c>
      <c r="DM29" s="226">
        <f t="array" ref="DM29">SMALL(ABS($AF29:$CC29),DM$1)</f>
        <v>9.4505152506184312E-2</v>
      </c>
      <c r="DN29" s="226">
        <f t="array" ref="DN29">SMALL(ABS($AF29:$CC29),DN$1)</f>
        <v>0.10658502624935877</v>
      </c>
      <c r="DO29" s="226">
        <f t="array" ref="DO29">SMALL(ABS($AF29:$CC29),DO$1)</f>
        <v>0.12219616446303842</v>
      </c>
      <c r="DP29" s="226">
        <f t="array" ref="DP29">SMALL(ABS($AF29:$CC29),DP$1)</f>
        <v>0.12495394414720999</v>
      </c>
      <c r="DQ29" s="226">
        <f t="array" ref="DQ29">SMALL(ABS($AF29:$CC29),DQ$1)</f>
        <v>0.13123950785184554</v>
      </c>
      <c r="DR29" s="226">
        <f t="array" ref="DR29">SMALL(ABS($AF29:$CC29),DR$1)</f>
        <v>0.13148562861714697</v>
      </c>
      <c r="DS29" s="226">
        <f t="array" ref="DS29">SMALL(ABS($AF29:$CC29),DS$1)</f>
        <v>0.14036232838134388</v>
      </c>
      <c r="DT29" s="226">
        <f t="array" ref="DT29">SMALL(ABS($AF29:$CC29),DT$1)</f>
        <v>0.15099665595698641</v>
      </c>
      <c r="DU29" s="226">
        <f t="array" ref="DU29">SMALL(ABS($AF29:$CC29),DU$1)</f>
        <v>0.1563771600461572</v>
      </c>
      <c r="DV29" s="226">
        <f t="array" ref="DV29">SMALL(ABS($AF29:$CC29),DV$1)</f>
        <v>0.1564519658397501</v>
      </c>
      <c r="DW29" s="226">
        <f t="array" ref="DW29">SMALL(ABS($AF29:$CC29),DW$1)</f>
        <v>0.16833224685882067</v>
      </c>
      <c r="DX29" s="226">
        <f t="array" ref="DX29">SMALL(ABS($AF29:$CC29),DX$1)</f>
        <v>0.24758476848014743</v>
      </c>
      <c r="DY29" s="226">
        <f t="array" ref="DY29">SMALL(ABS($AF29:$CC29),DY$1)</f>
        <v>0.25347236891691155</v>
      </c>
      <c r="DZ29" s="226">
        <f t="array" ref="DZ29">SMALL(ABS($AF29:$CC29),DZ$1)</f>
        <v>0.31622569890996266</v>
      </c>
      <c r="EA29" s="226">
        <f t="array" ref="EA29">SMALL(ABS($AF29:$CC29),EA$1)</f>
        <v>0.3893671166732609</v>
      </c>
      <c r="EB29" s="226">
        <f t="array" ref="EB29">SMALL(ABS($AF29:$CC29),EB$1)</f>
        <v>0.55633546568983738</v>
      </c>
      <c r="EC29" s="226">
        <f t="array" ref="EC29">SMALL(ABS($AF29:$CC29),EC$1)</f>
        <v>2.1145280053527689</v>
      </c>
      <c r="EF29" s="226">
        <f t="shared" si="279"/>
        <v>24.153669338763351</v>
      </c>
      <c r="EG29" s="226">
        <f t="shared" si="280"/>
        <v>1.4345376457111338</v>
      </c>
      <c r="EH29" s="226">
        <f t="shared" si="281"/>
        <v>1.0742132816216614</v>
      </c>
      <c r="EI29" s="226">
        <f t="shared" si="282"/>
        <v>1.0084541300601348</v>
      </c>
      <c r="EJ29" s="226">
        <f t="shared" si="283"/>
        <v>1.0718847624095627</v>
      </c>
      <c r="EK29" s="226">
        <f t="shared" si="284"/>
        <v>1.5007942400912972</v>
      </c>
      <c r="EL29" s="226">
        <f t="shared" si="285"/>
        <v>1.3353428110205692</v>
      </c>
      <c r="EM29" s="226">
        <f t="shared" si="286"/>
        <v>1.2286887515699161</v>
      </c>
      <c r="EN29" s="226">
        <f t="shared" si="287"/>
        <v>1.0047008231765164</v>
      </c>
      <c r="EO29" s="226">
        <f t="shared" si="288"/>
        <v>1.3166559740453825</v>
      </c>
      <c r="EP29" s="226">
        <f t="shared" si="289"/>
        <v>1.0844299007485863</v>
      </c>
      <c r="EQ29" s="226">
        <f t="shared" si="290"/>
        <v>1.052028162859679</v>
      </c>
      <c r="ER29" s="226">
        <f t="shared" si="291"/>
        <v>1.033484829645458</v>
      </c>
      <c r="ES29" s="226">
        <f t="shared" si="292"/>
        <v>1.0041873703264348</v>
      </c>
      <c r="ET29" s="226">
        <f t="shared" si="293"/>
        <v>1.0627844482758775</v>
      </c>
      <c r="EU29" s="226">
        <f t="shared" si="294"/>
        <v>1.1061093648905655</v>
      </c>
      <c r="EV29" s="226">
        <f t="shared" si="295"/>
        <v>1.0550869157368559</v>
      </c>
      <c r="EW29" s="226">
        <f t="shared" si="296"/>
        <v>1.1406406528291257</v>
      </c>
      <c r="EX29" s="226">
        <f t="shared" si="297"/>
        <v>1.1082973084066909</v>
      </c>
      <c r="EY29" s="226">
        <f t="shared" si="298"/>
        <v>1.2367146818442316</v>
      </c>
      <c r="EZ29" s="226">
        <f t="shared" si="299"/>
        <v>1.0391852238105963</v>
      </c>
      <c r="FA29" s="226">
        <f t="shared" si="300"/>
        <v>1.0569062107213554</v>
      </c>
      <c r="FB29" s="226">
        <f t="shared" si="301"/>
        <v>1.1241179069320442</v>
      </c>
      <c r="FC29" s="226">
        <f t="shared" si="302"/>
        <v>1.1009932227245436</v>
      </c>
      <c r="FD29" s="226">
        <f t="shared" si="303"/>
        <v>1.0949354312828081</v>
      </c>
      <c r="FE29" s="226">
        <f t="shared" si="304"/>
        <v>1.0176804225540816</v>
      </c>
      <c r="FF29" s="226">
        <f t="shared" si="305"/>
        <v>1.0033808396135382</v>
      </c>
      <c r="FG29" s="226">
        <f t="shared" si="306"/>
        <v>1.0006281951348417</v>
      </c>
      <c r="FH29" s="226">
        <f t="shared" si="307"/>
        <v>1.1341488518737071</v>
      </c>
      <c r="FI29" s="226">
        <f t="shared" si="308"/>
        <v>1.1808740234881492</v>
      </c>
      <c r="FJ29" s="226">
        <f t="shared" si="309"/>
        <v>1.0300596613035509</v>
      </c>
      <c r="FK29" s="226">
        <f t="shared" si="310"/>
        <v>1.0829744905283774</v>
      </c>
      <c r="FL29" s="226">
        <f t="shared" si="311"/>
        <v>1.041964586567288</v>
      </c>
      <c r="FM29" s="226">
        <f t="shared" si="312"/>
        <v>1.1278223824080276</v>
      </c>
      <c r="FN29" s="226">
        <f t="shared" si="313"/>
        <v>1.1464665231414115</v>
      </c>
      <c r="FO29" s="226">
        <f t="shared" si="314"/>
        <v>1.0225684635544001</v>
      </c>
      <c r="FP29" s="226">
        <f t="shared" si="315"/>
        <v>1.0503030436336642</v>
      </c>
      <c r="FQ29" s="226">
        <f t="shared" si="316"/>
        <v>1.0018753557471372</v>
      </c>
      <c r="FR29" s="226">
        <f t="shared" si="317"/>
        <v>1.0675107983857584</v>
      </c>
      <c r="FS29" s="226">
        <f t="shared" si="318"/>
        <v>1.0757634024618816</v>
      </c>
      <c r="FT29" s="226">
        <f t="shared" si="319"/>
        <v>1.0356332665453432</v>
      </c>
      <c r="FU29" s="226">
        <f t="shared" si="320"/>
        <v>1.0004783677716798</v>
      </c>
      <c r="FV29" s="226">
        <f t="shared" si="321"/>
        <v>1.0759356455209981</v>
      </c>
      <c r="FW29" s="226">
        <f t="shared" si="322"/>
        <v>1.4708100978881093</v>
      </c>
      <c r="FX29" s="226">
        <f t="shared" si="323"/>
        <v>1.0237801399209912</v>
      </c>
      <c r="FY29" s="226">
        <f t="shared" si="324"/>
        <v>1.2475746380609307</v>
      </c>
      <c r="FZ29" s="226">
        <f t="shared" si="325"/>
        <v>1.231294983347079</v>
      </c>
      <c r="GA29" s="226">
        <f t="shared" si="326"/>
        <v>1.4288198511552497</v>
      </c>
      <c r="GB29" s="226">
        <f t="shared" si="327"/>
        <v>3.8008146806366638</v>
      </c>
    </row>
    <row r="30" spans="1:184" ht="15.75" thickBot="1" x14ac:dyDescent="0.3">
      <c r="A30" s="640"/>
      <c r="B30" s="634"/>
      <c r="C30" s="240">
        <v>0.1</v>
      </c>
      <c r="D30" s="234" t="s">
        <v>116</v>
      </c>
      <c r="E30" s="225" t="s">
        <v>117</v>
      </c>
      <c r="G30" s="595" t="s">
        <v>386</v>
      </c>
      <c r="H30" s="224" t="s">
        <v>389</v>
      </c>
      <c r="J30" s="646"/>
      <c r="L30" s="226">
        <f t="shared" si="276"/>
        <v>-0.83606935217516687</v>
      </c>
      <c r="M30" s="226">
        <f t="shared" si="276"/>
        <v>3.7883769410263645E-3</v>
      </c>
      <c r="N30" s="226">
        <f t="shared" si="276"/>
        <v>1.9219754688179116E-2</v>
      </c>
      <c r="O30" s="226">
        <f t="shared" si="276"/>
        <v>5.8313122343901846E-2</v>
      </c>
      <c r="P30" s="226">
        <f t="shared" si="276"/>
        <v>0.5306586834821434</v>
      </c>
      <c r="Q30" s="226"/>
      <c r="R30" s="573">
        <f t="shared" si="277"/>
        <v>2.2954624744484725E-6</v>
      </c>
      <c r="S30" s="563">
        <f t="shared" si="278"/>
        <v>6.5739228818993753</v>
      </c>
      <c r="T30" s="563">
        <f t="array" ref="T30">((AVERAGE(IF(ABS(AF30:CC30)&lt;AC30,ABS(AF30:CC30)))-MIN(IF(ABS(AF30:CC30)&lt;AC30,ABS(AF30:CC30))))/(MAX(IF(ABS(AF30:CC30)&lt;AC30,ABS(AF30:CC30)))-MIN(IF(ABS(AF30:CC30)&lt;AC30,ABS(AF30:CC30)))))^(-3/2)</f>
        <v>6.572407803526997</v>
      </c>
      <c r="U30" s="570">
        <v>21.021038348759404</v>
      </c>
      <c r="V30" s="570">
        <f>AVERAGE(AF30:CC30)</f>
        <v>4.9046056227655946E-3</v>
      </c>
      <c r="W30" s="226"/>
      <c r="X30" s="255"/>
      <c r="Y30" s="565">
        <f t="shared" si="328"/>
        <v>-0.16357423620862643</v>
      </c>
      <c r="Z30" s="566">
        <f>AA30-$W$1*(O30-M30)</f>
        <v>-8.1787118104313217E-2</v>
      </c>
      <c r="AA30" s="565">
        <v>0</v>
      </c>
      <c r="AB30" s="566">
        <f>AA30+$W$1*(O30-M30)</f>
        <v>8.1787118104313217E-2</v>
      </c>
      <c r="AC30" s="565">
        <f t="shared" si="329"/>
        <v>0.16357423620862643</v>
      </c>
      <c r="AF30" s="242">
        <f>('MD-data'!F91/('MD-data'!F78+'MD-data'!F81))</f>
        <v>0.10549250024554359</v>
      </c>
      <c r="AG30" s="242">
        <f>('MD-data'!H91/('MD-data'!H78+'MD-data'!H81))</f>
        <v>2.3727467101774091E-2</v>
      </c>
      <c r="AH30" s="242">
        <f>('MD-data'!J91/('MD-data'!J78+'MD-data'!J81))</f>
        <v>-2.9195778030171284E-2</v>
      </c>
      <c r="AI30" s="242">
        <f>('MD-data'!L91/('MD-data'!L78+'MD-data'!L81))</f>
        <v>-0.12668491274118471</v>
      </c>
      <c r="AJ30" s="242">
        <f>('MD-data'!N91/('MD-data'!N78+'MD-data'!N81))</f>
        <v>0.20620111317332132</v>
      </c>
      <c r="AK30" s="242">
        <f>('MD-data'!P91/('MD-data'!P78+'MD-data'!P81))</f>
        <v>-0.83606935217516687</v>
      </c>
      <c r="AL30" s="242">
        <f>('MD-data'!R91/('MD-data'!R78+'MD-data'!R81))</f>
        <v>3.9043994710593437E-2</v>
      </c>
      <c r="AM30" s="242">
        <f>('MD-data'!T91/('MD-data'!T78+'MD-data'!T81))</f>
        <v>0.15402843470395314</v>
      </c>
      <c r="AN30" s="242">
        <f>('MD-data'!V91/('MD-data'!V78+'MD-data'!V81))</f>
        <v>3.4514233438187416E-3</v>
      </c>
      <c r="AO30" s="242">
        <f>('MD-data'!X91/('MD-data'!X78+'MD-data'!X81))</f>
        <v>-5.6090992980819404E-2</v>
      </c>
      <c r="AP30" s="242">
        <f>('MD-data'!Z91/('MD-data'!Z78+'MD-data'!Z81))</f>
        <v>2.129128412280417E-2</v>
      </c>
      <c r="AQ30" s="242">
        <f>('MD-data'!AB91/('MD-data'!AB78+'MD-data'!AB81))</f>
        <v>1.8324646714211346E-2</v>
      </c>
      <c r="AR30" s="242">
        <f>('MD-data'!AD91/('MD-data'!AD78+'MD-data'!AD81))</f>
        <v>0.16000919445093351</v>
      </c>
      <c r="AS30" s="242">
        <f>('MD-data'!AF91/('MD-data'!AF78+'MD-data'!AF81))</f>
        <v>9.523737252251703E-3</v>
      </c>
      <c r="AT30" s="242">
        <f>('MD-data'!AH91/('MD-data'!AH78+'MD-data'!AH81))</f>
        <v>1.6897698182494165E-2</v>
      </c>
      <c r="AU30" s="242">
        <f>('MD-data'!AJ91/('MD-data'!AJ78+'MD-data'!AJ81))</f>
        <v>6.3672432998853709E-2</v>
      </c>
      <c r="AV30" s="242">
        <f>('MD-data'!AL91/('MD-data'!AL78+'MD-data'!AL81))</f>
        <v>1.1824893195764472E-2</v>
      </c>
      <c r="AW30" s="242">
        <f>('MD-data'!AN91/('MD-data'!AN78+'MD-data'!AN81))</f>
        <v>7.0533159671136722E-3</v>
      </c>
      <c r="AX30" s="242">
        <f>('MD-data'!AP91/('MD-data'!AP78+'MD-data'!AP81))</f>
        <v>1.812433925535446E-2</v>
      </c>
      <c r="AY30" s="242">
        <f>('MD-data'!AR91/('MD-data'!AR78+'MD-data'!AR81))</f>
        <v>4.6495760836053904E-2</v>
      </c>
      <c r="AZ30" s="242">
        <f>('MD-data'!AT91/('MD-data'!AT78+'MD-data'!AT81))</f>
        <v>-1.389427228602739E-2</v>
      </c>
      <c r="BA30" s="242">
        <f>('MD-data'!AV91/('MD-data'!AV78+'MD-data'!AV81))</f>
        <v>3.8523396004147274E-2</v>
      </c>
      <c r="BB30" s="242">
        <f>('MD-data'!AX91/('MD-data'!AX78+'MD-data'!AX81))</f>
        <v>-0.14800831662158148</v>
      </c>
      <c r="BC30" s="242">
        <f>('MD-data'!AZ91/('MD-data'!AZ78+'MD-data'!AZ81))</f>
        <v>2.701851846425507E-2</v>
      </c>
      <c r="BD30" s="242">
        <f>('MD-data'!BB91/('MD-data'!BB78+'MD-data'!BB81))</f>
        <v>4.5435043807536442E-2</v>
      </c>
      <c r="BE30" s="242">
        <f>('MD-data'!BD91/('MD-data'!BD78+'MD-data'!BD81))</f>
        <v>5.7497382059858715E-3</v>
      </c>
      <c r="BF30" s="242">
        <f>('MD-data'!BF91/('MD-data'!BF78+'MD-data'!BF81))</f>
        <v>0.10659526959541463</v>
      </c>
      <c r="BG30" s="242">
        <f>('MD-data'!BH91/('MD-data'!BH78+'MD-data'!BH81))</f>
        <v>8.3190057352224844E-3</v>
      </c>
      <c r="BH30" s="242">
        <f>('MD-data'!BJ91/('MD-data'!BJ78+'MD-data'!BJ81))</f>
        <v>5.8190855093971157E-2</v>
      </c>
      <c r="BI30" s="242">
        <f>('MD-data'!BK91/('MD-data'!BK78+'MD-data'!BK81))</f>
        <v>9.3672299546859062E-3</v>
      </c>
      <c r="BJ30" s="242">
        <f>('MD-data'!BN91/('MD-data'!BN78+'MD-data'!BN81))</f>
        <v>6.271429232809636E-2</v>
      </c>
      <c r="BK30" s="242">
        <f>('MD-data'!BP91/('MD-data'!BP78+'MD-data'!BP81))</f>
        <v>-8.9928184918221701E-2</v>
      </c>
      <c r="BL30" s="242">
        <f>('MD-data'!BR91/('MD-data'!BR78+'MD-data'!BR81))</f>
        <v>0.31335038274569776</v>
      </c>
      <c r="BM30" s="242">
        <f>('MD-data'!BT91/('MD-data'!BT78+'MD-data'!BT81))</f>
        <v>3.234081539166285E-2</v>
      </c>
      <c r="BN30" s="242">
        <f>('MD-data'!BV91/('MD-data'!BV78+'MD-data'!BV81))</f>
        <v>1.3445913272801683E-2</v>
      </c>
      <c r="BO30" s="242">
        <f>('MD-data'!BX91/('MD-data'!BX78+'MD-data'!BX81))</f>
        <v>2.0114862662146887E-2</v>
      </c>
      <c r="BP30" s="242">
        <f>('MD-data'!BZ91/('MD-data'!BZ78+'MD-data'!BZ81))</f>
        <v>0.5306586834821434</v>
      </c>
      <c r="BQ30" s="242">
        <f>('MD-data'!CB91/('MD-data'!CB78+'MD-data'!CB81))</f>
        <v>-9.7956163242924887E-2</v>
      </c>
      <c r="BR30" s="242">
        <f>('MD-data'!CD91/('MD-data'!CD78+'MD-data'!CD81))</f>
        <v>5.8353878093878743E-2</v>
      </c>
      <c r="BS30" s="242">
        <f>('MD-data'!CF91/('MD-data'!CF78+'MD-data'!CF81))</f>
        <v>2.8087445442852493E-2</v>
      </c>
      <c r="BT30" s="242">
        <f>('MD-data'!CH91/('MD-data'!CH78+'MD-data'!CH81))</f>
        <v>-5.0931532771013935E-2</v>
      </c>
      <c r="BU30" s="242">
        <f>('MD-data'!CJ91/('MD-data'!CJ78+'MD-data'!CJ81))</f>
        <v>6.1840587080895501E-2</v>
      </c>
      <c r="BV30" s="242">
        <f>('MD-data'!CL91/('MD-data'!CL78+'MD-data'!CL81))</f>
        <v>1.0300988435391645E-2</v>
      </c>
      <c r="BW30" s="242">
        <f>('MD-data'!CN91/('MD-data'!CN78+'MD-data'!CN81))</f>
        <v>-7.9070387897948236E-2</v>
      </c>
      <c r="BX30" s="242">
        <f>('MD-data'!CP91/('MD-data'!CP78+'MD-data'!CP81))</f>
        <v>6.8016424608863674E-2</v>
      </c>
      <c r="BY30" s="242">
        <f>('MD-data'!CR91/('MD-data'!CR78+'MD-data'!CR81))</f>
        <v>-8.3739467466326049E-3</v>
      </c>
      <c r="BZ30" s="242">
        <f>('MD-data'!CT91/('MD-data'!CT78+'MD-data'!CT81))</f>
        <v>6.3924924096052993E-2</v>
      </c>
      <c r="CA30" s="242">
        <f>('MD-data'!CV91/('MD-data'!CV78+'MD-data'!CV81))</f>
        <v>4.0958724242329783E-2</v>
      </c>
      <c r="CB30" s="242">
        <f>('MD-data'!CX91/('MD-data'!CX78+'MD-data'!CX81))</f>
        <v>-0.73183433118154895</v>
      </c>
      <c r="CC30" s="242">
        <f>('MD-data'!CZ91/('MD-data'!CZ78+'MD-data'!CZ81))</f>
        <v>4.7992377326492325E-3</v>
      </c>
      <c r="CD30" s="242"/>
      <c r="CF30" s="226">
        <f t="array" ref="CF30">SMALL(ABS($AF30:$CC30),CF$1)</f>
        <v>3.4514233438187416E-3</v>
      </c>
      <c r="CG30" s="226">
        <f t="array" ref="CG30">SMALL(ABS($AF30:$CC30),CG$1)</f>
        <v>4.7992377326492325E-3</v>
      </c>
      <c r="CH30" s="226">
        <f t="array" ref="CH30">SMALL(ABS($AF30:$CC30),CH$1)</f>
        <v>5.7497382059858715E-3</v>
      </c>
      <c r="CI30" s="226">
        <f t="array" ref="CI30">SMALL(ABS($AF30:$CC30),CI$1)</f>
        <v>7.0533159671136722E-3</v>
      </c>
      <c r="CJ30" s="226">
        <f t="array" ref="CJ30">SMALL(ABS($AF30:$CC30),CJ$1)</f>
        <v>8.3190057352224844E-3</v>
      </c>
      <c r="CK30" s="226">
        <f t="array" ref="CK30">SMALL(ABS($AF30:$CC30),CK$1)</f>
        <v>8.3739467466326049E-3</v>
      </c>
      <c r="CL30" s="226">
        <f t="array" ref="CL30">SMALL(ABS($AF30:$CC30),CL$1)</f>
        <v>9.3672299546859062E-3</v>
      </c>
      <c r="CM30" s="226">
        <f t="array" ref="CM30">SMALL(ABS($AF30:$CC30),CM$1)</f>
        <v>9.523737252251703E-3</v>
      </c>
      <c r="CN30" s="226">
        <f t="array" ref="CN30">SMALL(ABS($AF30:$CC30),CN$1)</f>
        <v>1.0300988435391645E-2</v>
      </c>
      <c r="CO30" s="226">
        <f t="array" ref="CO30">SMALL(ABS($AF30:$CC30),CO$1)</f>
        <v>1.1824893195764472E-2</v>
      </c>
      <c r="CP30" s="226">
        <f t="array" ref="CP30">SMALL(ABS($AF30:$CC30),CP$1)</f>
        <v>1.3445913272801683E-2</v>
      </c>
      <c r="CQ30" s="226">
        <f t="array" ref="CQ30">SMALL(ABS($AF30:$CC30),CQ$1)</f>
        <v>1.389427228602739E-2</v>
      </c>
      <c r="CR30" s="226">
        <f t="array" ref="CR30">SMALL(ABS($AF30:$CC30),CR$1)</f>
        <v>1.6897698182494165E-2</v>
      </c>
      <c r="CS30" s="226">
        <f t="array" ref="CS30">SMALL(ABS($AF30:$CC30),CS$1)</f>
        <v>1.812433925535446E-2</v>
      </c>
      <c r="CT30" s="226">
        <f t="array" ref="CT30">SMALL(ABS($AF30:$CC30),CT$1)</f>
        <v>1.8324646714211346E-2</v>
      </c>
      <c r="CU30" s="226">
        <f t="array" ref="CU30">SMALL(ABS($AF30:$CC30),CU$1)</f>
        <v>2.0114862662146887E-2</v>
      </c>
      <c r="CV30" s="226">
        <f t="array" ref="CV30">SMALL(ABS($AF30:$CC30),CV$1)</f>
        <v>2.129128412280417E-2</v>
      </c>
      <c r="CW30" s="226">
        <f t="array" ref="CW30">SMALL(ABS($AF30:$CC30),CW$1)</f>
        <v>2.3727467101774091E-2</v>
      </c>
      <c r="CX30" s="226">
        <f t="array" ref="CX30">SMALL(ABS($AF30:$CC30),CX$1)</f>
        <v>2.701851846425507E-2</v>
      </c>
      <c r="CY30" s="226">
        <f t="array" ref="CY30">SMALL(ABS($AF30:$CC30),CY$1)</f>
        <v>2.8087445442852493E-2</v>
      </c>
      <c r="CZ30" s="226">
        <f t="array" ref="CZ30">SMALL(ABS($AF30:$CC30),CZ$1)</f>
        <v>2.9195778030171284E-2</v>
      </c>
      <c r="DA30" s="226">
        <f t="array" ref="DA30">SMALL(ABS($AF30:$CC30),DA$1)</f>
        <v>3.234081539166285E-2</v>
      </c>
      <c r="DB30" s="226">
        <f t="array" ref="DB30">SMALL(ABS($AF30:$CC30),DB$1)</f>
        <v>3.8523396004147274E-2</v>
      </c>
      <c r="DC30" s="226">
        <f t="array" ref="DC30">SMALL(ABS($AF30:$CC30),DC$1)</f>
        <v>3.9043994710593437E-2</v>
      </c>
      <c r="DD30" s="226">
        <f t="array" ref="DD30">SMALL(ABS($AF30:$CC30),DD$1)</f>
        <v>4.0958724242329783E-2</v>
      </c>
      <c r="DE30" s="226">
        <f t="array" ref="DE30">SMALL(ABS($AF30:$CC30),DE$1)</f>
        <v>4.5435043807536442E-2</v>
      </c>
      <c r="DF30" s="226">
        <f t="array" ref="DF30">SMALL(ABS($AF30:$CC30),DF$1)</f>
        <v>4.6495760836053904E-2</v>
      </c>
      <c r="DG30" s="226">
        <f t="array" ref="DG30">SMALL(ABS($AF30:$CC30),DG$1)</f>
        <v>5.0931532771013935E-2</v>
      </c>
      <c r="DH30" s="226">
        <f t="array" ref="DH30">SMALL(ABS($AF30:$CC30),DH$1)</f>
        <v>5.6090992980819404E-2</v>
      </c>
      <c r="DI30" s="226">
        <f t="array" ref="DI30">SMALL(ABS($AF30:$CC30),DI$1)</f>
        <v>5.8190855093971157E-2</v>
      </c>
      <c r="DJ30" s="226">
        <f t="array" ref="DJ30">SMALL(ABS($AF30:$CC30),DJ$1)</f>
        <v>5.8353878093878743E-2</v>
      </c>
      <c r="DK30" s="226">
        <f t="array" ref="DK30">SMALL(ABS($AF30:$CC30),DK$1)</f>
        <v>6.1840587080895501E-2</v>
      </c>
      <c r="DL30" s="226">
        <f t="array" ref="DL30">SMALL(ABS($AF30:$CC30),DL$1)</f>
        <v>6.271429232809636E-2</v>
      </c>
      <c r="DM30" s="226">
        <f t="array" ref="DM30">SMALL(ABS($AF30:$CC30),DM$1)</f>
        <v>6.3672432998853709E-2</v>
      </c>
      <c r="DN30" s="226">
        <f t="array" ref="DN30">SMALL(ABS($AF30:$CC30),DN$1)</f>
        <v>6.3924924096052993E-2</v>
      </c>
      <c r="DO30" s="226">
        <f t="array" ref="DO30">SMALL(ABS($AF30:$CC30),DO$1)</f>
        <v>6.8016424608863674E-2</v>
      </c>
      <c r="DP30" s="226">
        <f t="array" ref="DP30">SMALL(ABS($AF30:$CC30),DP$1)</f>
        <v>7.9070387897948236E-2</v>
      </c>
      <c r="DQ30" s="226">
        <f t="array" ref="DQ30">SMALL(ABS($AF30:$CC30),DQ$1)</f>
        <v>8.9928184918221701E-2</v>
      </c>
      <c r="DR30" s="226">
        <f t="array" ref="DR30">SMALL(ABS($AF30:$CC30),DR$1)</f>
        <v>9.7956163242924887E-2</v>
      </c>
      <c r="DS30" s="226">
        <f t="array" ref="DS30">SMALL(ABS($AF30:$CC30),DS$1)</f>
        <v>0.10549250024554359</v>
      </c>
      <c r="DT30" s="226">
        <f t="array" ref="DT30">SMALL(ABS($AF30:$CC30),DT$1)</f>
        <v>0.10659526959541463</v>
      </c>
      <c r="DU30" s="226">
        <f t="array" ref="DU30">SMALL(ABS($AF30:$CC30),DU$1)</f>
        <v>0.12668491274118471</v>
      </c>
      <c r="DV30" s="226">
        <f t="array" ref="DV30">SMALL(ABS($AF30:$CC30),DV$1)</f>
        <v>0.14800831662158148</v>
      </c>
      <c r="DW30" s="226">
        <f t="array" ref="DW30">SMALL(ABS($AF30:$CC30),DW$1)</f>
        <v>0.15402843470395314</v>
      </c>
      <c r="DX30" s="226">
        <f t="array" ref="DX30">SMALL(ABS($AF30:$CC30),DX$1)</f>
        <v>0.16000919445093351</v>
      </c>
      <c r="DY30" s="226">
        <f t="array" ref="DY30">SMALL(ABS($AF30:$CC30),DY$1)</f>
        <v>0.20620111317332132</v>
      </c>
      <c r="DZ30" s="226">
        <f t="array" ref="DZ30">SMALL(ABS($AF30:$CC30),DZ$1)</f>
        <v>0.31335038274569776</v>
      </c>
      <c r="EA30" s="226">
        <f t="array" ref="EA30">SMALL(ABS($AF30:$CC30),EA$1)</f>
        <v>0.5306586834821434</v>
      </c>
      <c r="EB30" s="226">
        <f t="array" ref="EB30">SMALL(ABS($AF30:$CC30),EB$1)</f>
        <v>0.73183433118154895</v>
      </c>
      <c r="EC30" s="226">
        <f t="array" ref="EC30">SMALL(ABS($AF30:$CC30),EC$1)</f>
        <v>0.83606935217516687</v>
      </c>
      <c r="EF30" s="226">
        <f t="shared" si="279"/>
        <v>1.3905097273112939</v>
      </c>
      <c r="EG30" s="226">
        <f t="shared" si="280"/>
        <v>1.198052383792197</v>
      </c>
      <c r="EH30" s="226">
        <f t="shared" si="281"/>
        <v>1.2267194982496223</v>
      </c>
      <c r="EI30" s="226">
        <f t="shared" si="282"/>
        <v>1.1794460611165207</v>
      </c>
      <c r="EJ30" s="226">
        <f t="shared" si="283"/>
        <v>1.0066042761790031</v>
      </c>
      <c r="EK30" s="226">
        <f t="shared" si="284"/>
        <v>1.1186158973906453</v>
      </c>
      <c r="EL30" s="226">
        <f t="shared" si="285"/>
        <v>1.0167079593778421</v>
      </c>
      <c r="EM30" s="226">
        <f t="shared" si="286"/>
        <v>1.0816119935434145</v>
      </c>
      <c r="EN30" s="226">
        <f t="shared" si="287"/>
        <v>1.1479377216983437</v>
      </c>
      <c r="EO30" s="226">
        <f t="shared" si="288"/>
        <v>1.1370853884429029</v>
      </c>
      <c r="EP30" s="226">
        <f t="shared" si="289"/>
        <v>1.0333453744739411</v>
      </c>
      <c r="EQ30" s="226">
        <f t="shared" si="290"/>
        <v>1.2161628788207306</v>
      </c>
      <c r="ER30" s="226">
        <f t="shared" si="291"/>
        <v>1.0725921992222043</v>
      </c>
      <c r="ES30" s="226">
        <f t="shared" si="292"/>
        <v>1.0110518488996894</v>
      </c>
      <c r="ET30" s="226">
        <f t="shared" si="293"/>
        <v>1.0976944317593402</v>
      </c>
      <c r="EU30" s="226">
        <f t="shared" si="294"/>
        <v>1.0584851848315688</v>
      </c>
      <c r="EV30" s="226">
        <f t="shared" si="295"/>
        <v>1.1144216086224987</v>
      </c>
      <c r="EW30" s="226">
        <f t="shared" si="296"/>
        <v>1.1387021778753159</v>
      </c>
      <c r="EX30" s="226">
        <f t="shared" si="297"/>
        <v>1.0395627532283678</v>
      </c>
      <c r="EY30" s="226">
        <f t="shared" si="298"/>
        <v>1.0394600708552808</v>
      </c>
      <c r="EZ30" s="226">
        <f t="shared" si="299"/>
        <v>1.1077223343129079</v>
      </c>
      <c r="FA30" s="226">
        <f t="shared" si="300"/>
        <v>1.1911695959922592</v>
      </c>
      <c r="FB30" s="226">
        <f t="shared" si="301"/>
        <v>1.0135138321239934</v>
      </c>
      <c r="FC30" s="226">
        <f t="shared" si="302"/>
        <v>1.0490403081428765</v>
      </c>
      <c r="FD30" s="226">
        <f t="shared" si="303"/>
        <v>1.1092885495828138</v>
      </c>
      <c r="FE30" s="226">
        <f t="shared" si="304"/>
        <v>1.0233457908175609</v>
      </c>
      <c r="FF30" s="226">
        <f t="shared" si="305"/>
        <v>1.0954016421110035</v>
      </c>
      <c r="FG30" s="226">
        <f t="shared" si="306"/>
        <v>1.101301883707333</v>
      </c>
      <c r="FH30" s="226">
        <f t="shared" si="307"/>
        <v>1.0374367077771258</v>
      </c>
      <c r="FI30" s="226">
        <f t="shared" si="308"/>
        <v>1.0028015226730098</v>
      </c>
      <c r="FJ30" s="226">
        <f t="shared" si="309"/>
        <v>1.0597511099674883</v>
      </c>
      <c r="FK30" s="226">
        <f t="shared" si="310"/>
        <v>1.0141283465834168</v>
      </c>
      <c r="FL30" s="226">
        <f t="shared" si="311"/>
        <v>1.0152778678541845</v>
      </c>
      <c r="FM30" s="226">
        <f t="shared" si="312"/>
        <v>1.0039654695966123</v>
      </c>
      <c r="FN30" s="226">
        <f t="shared" si="313"/>
        <v>1.0640047770203502</v>
      </c>
      <c r="FO30" s="226">
        <f t="shared" si="314"/>
        <v>1.162519029082338</v>
      </c>
      <c r="FP30" s="226">
        <f t="shared" si="315"/>
        <v>1.1373181200816547</v>
      </c>
      <c r="FQ30" s="226">
        <f t="shared" si="316"/>
        <v>1.0892709925370296</v>
      </c>
      <c r="FR30" s="226">
        <f t="shared" si="317"/>
        <v>1.076935812440194</v>
      </c>
      <c r="FS30" s="226">
        <f t="shared" si="318"/>
        <v>1.0104535331640092</v>
      </c>
      <c r="FT30" s="226">
        <f t="shared" si="319"/>
        <v>1.1884665541165278</v>
      </c>
      <c r="FU30" s="226">
        <f t="shared" si="320"/>
        <v>1.1683184162897136</v>
      </c>
      <c r="FV30" s="226">
        <f t="shared" si="321"/>
        <v>1.0406741879090722</v>
      </c>
      <c r="FW30" s="226">
        <f t="shared" si="322"/>
        <v>1.0388289328426634</v>
      </c>
      <c r="FX30" s="226">
        <f t="shared" si="323"/>
        <v>1.2886829027600191</v>
      </c>
      <c r="FY30" s="226">
        <f t="shared" si="324"/>
        <v>1.5196347775402776</v>
      </c>
      <c r="FZ30" s="226">
        <f t="shared" si="325"/>
        <v>1.693499394614763</v>
      </c>
      <c r="GA30" s="226">
        <f t="shared" si="326"/>
        <v>1.379105541775564</v>
      </c>
      <c r="GB30" s="226">
        <f t="shared" si="327"/>
        <v>1.1424298048785579</v>
      </c>
    </row>
    <row r="31" spans="1:184" ht="15.75" thickBot="1" x14ac:dyDescent="0.3">
      <c r="A31" s="641"/>
      <c r="B31" s="635"/>
      <c r="C31" s="636" t="s">
        <v>396</v>
      </c>
      <c r="D31" s="637"/>
      <c r="E31" s="638"/>
      <c r="G31" s="595"/>
      <c r="J31" s="646"/>
      <c r="L31" s="226"/>
      <c r="M31" s="226"/>
      <c r="N31" s="226"/>
      <c r="O31" s="226"/>
      <c r="P31" s="226"/>
      <c r="Q31" s="226"/>
      <c r="R31" s="563"/>
      <c r="S31" s="563"/>
      <c r="T31" s="563"/>
      <c r="U31" s="570"/>
      <c r="V31" s="570"/>
      <c r="W31" s="226"/>
      <c r="X31" s="255"/>
      <c r="Y31" s="565"/>
      <c r="Z31" s="565"/>
      <c r="AA31" s="565"/>
      <c r="AB31" s="565"/>
      <c r="AC31" s="565"/>
      <c r="AF31" s="242"/>
      <c r="AG31" s="242"/>
      <c r="AH31" s="242"/>
      <c r="AI31" s="242"/>
      <c r="AJ31" s="242"/>
      <c r="AK31" s="242"/>
      <c r="AL31" s="242"/>
      <c r="AM31" s="242"/>
      <c r="AN31" s="242"/>
      <c r="AO31" s="242"/>
      <c r="AP31" s="242"/>
      <c r="AQ31" s="242"/>
      <c r="AR31" s="242"/>
      <c r="AS31" s="242"/>
      <c r="AT31" s="242"/>
      <c r="AU31" s="242"/>
      <c r="AV31" s="242"/>
      <c r="AW31" s="242"/>
      <c r="AX31" s="242"/>
      <c r="AY31" s="242"/>
      <c r="AZ31" s="242"/>
      <c r="BA31" s="242"/>
      <c r="BB31" s="242"/>
      <c r="BC31" s="242"/>
      <c r="BD31" s="242"/>
      <c r="BE31" s="242"/>
      <c r="BF31" s="242"/>
      <c r="BG31" s="242"/>
      <c r="BH31" s="242"/>
      <c r="BI31" s="242"/>
      <c r="BJ31" s="242"/>
      <c r="BK31" s="242"/>
      <c r="BL31" s="242"/>
      <c r="BM31" s="242"/>
      <c r="BN31" s="242"/>
      <c r="BO31" s="242"/>
      <c r="BP31" s="242"/>
      <c r="BQ31" s="242"/>
      <c r="BR31" s="242"/>
      <c r="BS31" s="242"/>
      <c r="BT31" s="242"/>
      <c r="BU31" s="242"/>
      <c r="BV31" s="242"/>
      <c r="BW31" s="242"/>
      <c r="BX31" s="242"/>
      <c r="BY31" s="242"/>
      <c r="BZ31" s="242"/>
      <c r="CA31" s="242"/>
      <c r="CB31" s="242"/>
      <c r="CC31" s="242"/>
      <c r="CD31" s="242"/>
    </row>
    <row r="32" spans="1:184" ht="15.75" thickBot="1" x14ac:dyDescent="0.3">
      <c r="A32" s="639">
        <v>0.25</v>
      </c>
      <c r="B32" s="633" t="s">
        <v>392</v>
      </c>
      <c r="C32" s="235">
        <v>0.15</v>
      </c>
      <c r="D32" s="234" t="s">
        <v>142</v>
      </c>
      <c r="E32" s="225" t="s">
        <v>143</v>
      </c>
      <c r="G32" s="597" t="s">
        <v>311</v>
      </c>
      <c r="H32" s="224" t="s">
        <v>388</v>
      </c>
      <c r="J32" s="646"/>
      <c r="L32" s="226">
        <f t="shared" ref="L32:P33" si="330">QUARTILE($AF32:$CC32,L$2)</f>
        <v>0</v>
      </c>
      <c r="M32" s="226">
        <f t="shared" si="330"/>
        <v>2.6592771387177888E-3</v>
      </c>
      <c r="N32" s="226">
        <f t="shared" si="330"/>
        <v>9.5004357420602186E-3</v>
      </c>
      <c r="O32" s="226">
        <f t="shared" si="330"/>
        <v>0.12494823992889335</v>
      </c>
      <c r="P32" s="226">
        <f t="shared" si="330"/>
        <v>0.83858745707941851</v>
      </c>
      <c r="Q32" s="226"/>
      <c r="R32" s="573">
        <f t="shared" ref="R32:R33" si="331">(T32-S32)^2</f>
        <v>8.9375209482420887E-8</v>
      </c>
      <c r="S32" s="563">
        <f t="shared" ref="S32:S33" si="332">(U32-1)/LN(U32)</f>
        <v>12.940895547683004</v>
      </c>
      <c r="T32" s="563">
        <f t="array" ref="T32">((AVERAGE(IF((AF32:CC32&gt;=0)*(AF32:CC32&lt;Y32),AF32:CC32))-MIN(IF((AF32:CC32&gt;=0)*(AF32:CC32&lt;Y32),AF32:CC32)))/(MAX(IF((AF32:CC32&gt;=0)*(AF32:CC32&lt;Y32),AF32:CC32))-MIN(IF((AF32:CC32&gt;=0)*(AF32:CC32&lt;Y32),AF32:CC32))))^(-3/2)</f>
        <v>12.941194504551937</v>
      </c>
      <c r="U32" s="570">
        <v>52.176476402184669</v>
      </c>
      <c r="V32" s="570">
        <f>AVERAGE(AF32:CC32)</f>
        <v>0.10780360782641563</v>
      </c>
      <c r="W32" s="226"/>
      <c r="X32" s="255"/>
      <c r="Y32" s="565">
        <f t="array" ref="Y32">Z32*(AVERAGE(IF($EF32:$GB32&lt;=QUARTILE($EF32:$GB32,3)+X$1*(QUARTILE($EF32:$GB32,3)-QUARTILE($EF32:$GB32,1)),$EF32:$GB32,"")))^(COUNT($AF32:$CC32)/4)</f>
        <v>0.34811326308868218</v>
      </c>
      <c r="Z32" s="566">
        <f t="array" ref="Z32">AA32*AVERAGE(IF($EF32:$GB32&lt;=QUARTILE($EF32:$GB32,3),$EF32:$GB32,""))^(COUNT($AF32:$CC32)/4)</f>
        <v>3.808485790894664E-2</v>
      </c>
      <c r="AA32" s="566">
        <f>N32</f>
        <v>9.5004357420602186E-3</v>
      </c>
      <c r="AB32" s="566">
        <f t="array" ref="AB32">AA32/AVERAGE(IF($EF32:$GB32&lt;=QUARTILE($EF32:$GB32,3),$EF32:$GB32,""))^(COUNT($AF32:$CC32)/4)</f>
        <v>2.3699255884006443E-3</v>
      </c>
      <c r="AC32" s="565">
        <v>0</v>
      </c>
      <c r="AF32" s="242">
        <f>('MD-data'!F38+'MD-data'!F39+'MD-data'!F40+'MD-data'!F41+'MD-data'!F42+'MD-data'!F45+'MD-data'!F46+'MD-data'!F47+'MD-data'!F58)/'MD-data'!F36</f>
        <v>2.0021655728381214E-4</v>
      </c>
      <c r="AG32" s="242">
        <f>('MD-data'!H38+'MD-data'!H39+'MD-data'!H40+'MD-data'!H41+'MD-data'!H42+'MD-data'!H45+'MD-data'!H46+'MD-data'!H47+'MD-data'!H58)/'MD-data'!H36</f>
        <v>0.23696901033247147</v>
      </c>
      <c r="AH32" s="242">
        <f>('MD-data'!J38+'MD-data'!J39+'MD-data'!J40+'MD-data'!J41+'MD-data'!J42+'MD-data'!J45+'MD-data'!J46+'MD-data'!J47+'MD-data'!J58)/'MD-data'!J36</f>
        <v>0.64100068775663688</v>
      </c>
      <c r="AI32" s="242">
        <f>('MD-data'!L38+'MD-data'!L39+'MD-data'!L40+'MD-data'!L41+'MD-data'!L42+'MD-data'!L45+'MD-data'!L46+'MD-data'!L47+'MD-data'!L58)/'MD-data'!L36</f>
        <v>2.6149519581880319E-3</v>
      </c>
      <c r="AJ32" s="242">
        <f>('MD-data'!N38+'MD-data'!N39+'MD-data'!N40+'MD-data'!N41+'MD-data'!N42+'MD-data'!N45+'MD-data'!N46+'MD-data'!N47+'MD-data'!N58)/'MD-data'!N36</f>
        <v>0.25782849436954702</v>
      </c>
      <c r="AK32" s="242">
        <f>('MD-data'!P38+'MD-data'!P39+'MD-data'!P40+'MD-data'!P41+'MD-data'!P42+'MD-data'!P45+'MD-data'!P46+'MD-data'!P47+'MD-data'!P58)/'MD-data'!P36</f>
        <v>2.9165251112704921E-2</v>
      </c>
      <c r="AL32" s="242">
        <f>('MD-data'!R38+'MD-data'!R39+'MD-data'!R40+'MD-data'!R41+'MD-data'!R42+'MD-data'!R45+'MD-data'!R46+'MD-data'!R47+'MD-data'!R58)/'MD-data'!R36</f>
        <v>0.83263696030648038</v>
      </c>
      <c r="AM32" s="242">
        <f>('MD-data'!T38+'MD-data'!T39+'MD-data'!T40+'MD-data'!T41+'MD-data'!T42+'MD-data'!T45+'MD-data'!T46+'MD-data'!T47+'MD-data'!T58)/'MD-data'!T36</f>
        <v>0</v>
      </c>
      <c r="AN32" s="242">
        <f>('MD-data'!V38+'MD-data'!V39+'MD-data'!V40+'MD-data'!V41+'MD-data'!V42+'MD-data'!V45+'MD-data'!V46+'MD-data'!V47+'MD-data'!V58)/'MD-data'!V36</f>
        <v>3.4108382469472953E-3</v>
      </c>
      <c r="AO32" s="242">
        <f>('MD-data'!X38+'MD-data'!X39+'MD-data'!X40+'MD-data'!X41+'MD-data'!X42+'MD-data'!X45+'MD-data'!X46+'MD-data'!X47+'MD-data'!X58)/'MD-data'!X36</f>
        <v>6.227250834662932E-2</v>
      </c>
      <c r="AP32" s="242">
        <f>('MD-data'!Z38+'MD-data'!Z39+'MD-data'!Z40+'MD-data'!Z41+'MD-data'!Z42+'MD-data'!Z45+'MD-data'!Z46+'MD-data'!Z47+'MD-data'!Z58)/'MD-data'!Z36</f>
        <v>0.20941247703549856</v>
      </c>
      <c r="AQ32" s="242">
        <f>('MD-data'!AB38+'MD-data'!AB39+'MD-data'!AB40+'MD-data'!AB41+'MD-data'!AB42+'MD-data'!AB45+'MD-data'!AB46+'MD-data'!AB47+'MD-data'!AB58)/'MD-data'!AB36</f>
        <v>8.3338225067833691E-8</v>
      </c>
      <c r="AR32" s="242">
        <f>('MD-data'!AD38+'MD-data'!AD39+'MD-data'!AD40+'MD-data'!AD41+'MD-data'!AD42+'MD-data'!AD45+'MD-data'!AD46+'MD-data'!AD47+'MD-data'!AD58)/'MD-data'!AD36</f>
        <v>2.7922526803070597E-3</v>
      </c>
      <c r="AS32" s="242">
        <f>('MD-data'!AF38+'MD-data'!AF39+'MD-data'!AF40+'MD-data'!AF41+'MD-data'!AF42+'MD-data'!AF45+'MD-data'!AF46+'MD-data'!AF47+'MD-data'!AF58)/'MD-data'!AF36</f>
        <v>0.20036687029740199</v>
      </c>
      <c r="AT32" s="242">
        <f>('MD-data'!AH38+'MD-data'!AH39+'MD-data'!AH40+'MD-data'!AH41+'MD-data'!AH42+'MD-data'!AH45+'MD-data'!AH46+'MD-data'!AH47+'MD-data'!AH58)/'MD-data'!AH36</f>
        <v>3.2272272283029855E-3</v>
      </c>
      <c r="AU32" s="242">
        <f>('MD-data'!AJ38+'MD-data'!AJ39+'MD-data'!AJ40+'MD-data'!AJ41+'MD-data'!AJ42+'MD-data'!AJ45+'MD-data'!AJ46+'MD-data'!AJ47+'MD-data'!AJ58)/'MD-data'!AJ36</f>
        <v>2.2885287448112476E-3</v>
      </c>
      <c r="AV32" s="242">
        <f>('MD-data'!AL38+'MD-data'!AL39+'MD-data'!AL40+'MD-data'!AL41+'MD-data'!AL42+'MD-data'!AL45+'MD-data'!AL46+'MD-data'!AL47+'MD-data'!AL58)/'MD-data'!AL36</f>
        <v>9.5974566669840694E-3</v>
      </c>
      <c r="AW32" s="242">
        <f>('MD-data'!AN38+'MD-data'!AN39+'MD-data'!AN40+'MD-data'!AN41+'MD-data'!AN42+'MD-data'!AN45+'MD-data'!AN46+'MD-data'!AN47+'MD-data'!AN58)/'MD-data'!AN36</f>
        <v>1.8168129164491166E-3</v>
      </c>
      <c r="AX32" s="242">
        <f>('MD-data'!AP38+'MD-data'!AP39+'MD-data'!AP40+'MD-data'!AP41+'MD-data'!AP42+'MD-data'!AP45+'MD-data'!AP46+'MD-data'!AP47+'MD-data'!AP58)/'MD-data'!AP36</f>
        <v>9.4034148171363678E-3</v>
      </c>
      <c r="AY32" s="242">
        <f>('MD-data'!AR38+'MD-data'!AR39+'MD-data'!AR40+'MD-data'!AR41+'MD-data'!AR42+'MD-data'!AR45+'MD-data'!AR46+'MD-data'!AR47+'MD-data'!AR58)/'MD-data'!AR36</f>
        <v>1.9332340477991416E-3</v>
      </c>
      <c r="AZ32" s="242">
        <f>('MD-data'!AT38+'MD-data'!AT39+'MD-data'!AT40+'MD-data'!AT41+'MD-data'!AT42+'MD-data'!AT45+'MD-data'!AT46+'MD-data'!AT47+'MD-data'!AT58)/'MD-data'!AT36</f>
        <v>2.9419396697144837E-3</v>
      </c>
      <c r="BA32" s="242">
        <f>('MD-data'!AV38+'MD-data'!AV39+'MD-data'!AV40+'MD-data'!AV41+'MD-data'!AV42+'MD-data'!AV45+'MD-data'!AV46+'MD-data'!AV47+'MD-data'!AV58)/'MD-data'!AV36</f>
        <v>1.127819566991849E-3</v>
      </c>
      <c r="BB32" s="242">
        <f>('MD-data'!AX38+'MD-data'!AX39+'MD-data'!AX40+'MD-data'!AX41+'MD-data'!AX42+'MD-data'!AX45+'MD-data'!AX46+'MD-data'!AX47+'MD-data'!AX58)/'MD-data'!AX36</f>
        <v>6.8205816425479654E-2</v>
      </c>
      <c r="BC32" s="242">
        <f>('MD-data'!AZ38+'MD-data'!AZ39+'MD-data'!AZ40+'MD-data'!AZ41+'MD-data'!AZ42+'MD-data'!AZ45+'MD-data'!AZ46+'MD-data'!AZ47+'MD-data'!AZ58)/'MD-data'!AZ36</f>
        <v>4.9656951114459925E-2</v>
      </c>
      <c r="BD32" s="242">
        <f>('MD-data'!BB38+'MD-data'!BB39+'MD-data'!BB40+'MD-data'!BB41+'MD-data'!BB42+'MD-data'!BB45+'MD-data'!BB46+'MD-data'!BB47+'MD-data'!BB58)/'MD-data'!BB36</f>
        <v>0.27203975500033994</v>
      </c>
      <c r="BE32" s="242">
        <f>('MD-data'!BD38+'MD-data'!BD39+'MD-data'!BD40+'MD-data'!BD41+'MD-data'!BD42+'MD-data'!BD45+'MD-data'!BD46+'MD-data'!BD47+'MD-data'!BD58)/'MD-data'!BD36</f>
        <v>0</v>
      </c>
      <c r="BF32" s="242">
        <f>('MD-data'!BF38+'MD-data'!BF39+'MD-data'!BF40+'MD-data'!BF41+'MD-data'!BF42+'MD-data'!BF45+'MD-data'!BF46+'MD-data'!BF47+'MD-data'!BF58)/'MD-data'!BF36</f>
        <v>0.13786867744381817</v>
      </c>
      <c r="BG32" s="242">
        <f>('MD-data'!BH38+'MD-data'!BH39+'MD-data'!BH40+'MD-data'!BH41+'MD-data'!BH42+'MD-data'!BH45+'MD-data'!BH46+'MD-data'!BH47+'MD-data'!BH58)/'MD-data'!BH36</f>
        <v>0.19912323294451487</v>
      </c>
      <c r="BH32" s="242">
        <f>('MD-data'!BJ38+'MD-data'!BJ39+'MD-data'!BJ40+'MD-data'!BJ41+'MD-data'!BJ42+'MD-data'!BJ45+'MD-data'!BJ46+'MD-data'!BJ47+'MD-data'!BJ58)/'MD-data'!BJ36</f>
        <v>0.17151305567341613</v>
      </c>
      <c r="BI32" s="242">
        <f>('MD-data'!BK38+'MD-data'!BK39+'MD-data'!BK40+'MD-data'!BK41+'MD-data'!BK42+'MD-data'!BK45+'MD-data'!BK46+'MD-data'!BK47+'MD-data'!BK58)/'MD-data'!BK36</f>
        <v>1.3886164502880396E-2</v>
      </c>
      <c r="BJ32" s="242">
        <f>('MD-data'!BN38+'MD-data'!BN39+'MD-data'!BN40+'MD-data'!BN41+'MD-data'!BN42+'MD-data'!BN45+'MD-data'!BN46+'MD-data'!BN47+'MD-data'!BN58)/'MD-data'!BN36</f>
        <v>6.8773807659690579E-3</v>
      </c>
      <c r="BK32" s="242">
        <f>('MD-data'!BP38+'MD-data'!BP39+'MD-data'!BP40+'MD-data'!BP41+'MD-data'!BP42+'MD-data'!BP45+'MD-data'!BP46+'MD-data'!BP47+'MD-data'!BP58)/'MD-data'!BP36</f>
        <v>0.45101039864939962</v>
      </c>
      <c r="BL32" s="242">
        <f>('MD-data'!BR38+'MD-data'!BR39+'MD-data'!BR40+'MD-data'!BR41+'MD-data'!BR42+'MD-data'!BR45+'MD-data'!BR46+'MD-data'!BR47+'MD-data'!BR58)/'MD-data'!BR36</f>
        <v>0.83858745707941851</v>
      </c>
      <c r="BM32" s="242">
        <f>('MD-data'!BT38+'MD-data'!BT39+'MD-data'!BT40+'MD-data'!BT41+'MD-data'!BT42+'MD-data'!BT45+'MD-data'!BT46+'MD-data'!BT47+'MD-data'!BT58)/'MD-data'!BT36</f>
        <v>9.1607249186985661E-6</v>
      </c>
      <c r="BN32" s="242">
        <f>('MD-data'!BV38+'MD-data'!BV39+'MD-data'!BV40+'MD-data'!BV41+'MD-data'!BV42+'MD-data'!BV45+'MD-data'!BV46+'MD-data'!BV47+'MD-data'!BV58)/'MD-data'!BV36</f>
        <v>4.6847434160345097E-3</v>
      </c>
      <c r="BO32" s="242">
        <f>('MD-data'!BX38+'MD-data'!BX39+'MD-data'!BX40+'MD-data'!BX41+'MD-data'!BX42+'MD-data'!BX45+'MD-data'!BX46+'MD-data'!BX47+'MD-data'!BX58)/'MD-data'!BX36</f>
        <v>2.7981121156914375E-3</v>
      </c>
      <c r="BP32" s="242">
        <f>('MD-data'!BZ38+'MD-data'!BZ39+'MD-data'!BZ40+'MD-data'!BZ41+'MD-data'!BZ42+'MD-data'!BZ45+'MD-data'!BZ46+'MD-data'!BZ47+'MD-data'!BZ58)/'MD-data'!BZ36</f>
        <v>1.3540353985382128E-5</v>
      </c>
      <c r="BQ32" s="242">
        <f>('MD-data'!CB38+'MD-data'!CB39+'MD-data'!CB40+'MD-data'!CB41+'MD-data'!CB42+'MD-data'!CB45+'MD-data'!CB46+'MD-data'!CB47+'MD-data'!CB58)/'MD-data'!CB36</f>
        <v>4.0705681880559047E-5</v>
      </c>
      <c r="BR32" s="242">
        <f>('MD-data'!CD38+'MD-data'!CD39+'MD-data'!CD40+'MD-data'!CD41+'MD-data'!CD42+'MD-data'!CD45+'MD-data'!CD46+'MD-data'!CD47+'MD-data'!CD58)/'MD-data'!CD36</f>
        <v>8.799744686907477E-3</v>
      </c>
      <c r="BS32" s="242">
        <f>('MD-data'!CF38+'MD-data'!CF39+'MD-data'!CF40+'MD-data'!CF41+'MD-data'!CF42+'MD-data'!CF45+'MD-data'!CF46+'MD-data'!CF47+'MD-data'!CF58)/'MD-data'!CF36</f>
        <v>2.1020309185618775E-2</v>
      </c>
      <c r="BT32" s="242">
        <f>('MD-data'!CH38+'MD-data'!CH39+'MD-data'!CH40+'MD-data'!CH41+'MD-data'!CH42+'MD-data'!CH45+'MD-data'!CH46+'MD-data'!CH47+'MD-data'!CH58)/'MD-data'!CH36</f>
        <v>0</v>
      </c>
      <c r="BU32" s="242">
        <f>('MD-data'!CJ38+'MD-data'!CJ39+'MD-data'!CJ40+'MD-data'!CJ41+'MD-data'!CJ42+'MD-data'!CJ45+'MD-data'!CJ46+'MD-data'!CJ47+'MD-data'!CJ58)/'MD-data'!CJ36</f>
        <v>8.6186927384118914E-2</v>
      </c>
      <c r="BV32" s="242">
        <f>('MD-data'!CL38+'MD-data'!CL39+'MD-data'!CL40+'MD-data'!CL41+'MD-data'!CL42+'MD-data'!CL45+'MD-data'!CL46+'MD-data'!CL47+'MD-data'!CL58)/'MD-data'!CL36</f>
        <v>1.1775260071649665E-2</v>
      </c>
      <c r="BW32" s="242">
        <f>('MD-data'!CN38+'MD-data'!CN39+'MD-data'!CN40+'MD-data'!CN41+'MD-data'!CN42+'MD-data'!CN45+'MD-data'!CN46+'MD-data'!CN47+'MD-data'!CN58)/'MD-data'!CN36</f>
        <v>3.1306817570547923E-3</v>
      </c>
      <c r="BX32" s="242">
        <f>('MD-data'!CP38+'MD-data'!CP39+'MD-data'!CP40+'MD-data'!CP41+'MD-data'!CP42+'MD-data'!CP45+'MD-data'!CP46+'MD-data'!CP47+'MD-data'!CP58)/'MD-data'!CP36</f>
        <v>2.5093083629002748E-2</v>
      </c>
      <c r="BY32" s="242">
        <f>('MD-data'!CR38+'MD-data'!CR39+'MD-data'!CR40+'MD-data'!CR41+'MD-data'!CR42+'MD-data'!CR45+'MD-data'!CR46+'MD-data'!CR47+'MD-data'!CR58)/'MD-data'!CR36</f>
        <v>3.1940814736644361E-2</v>
      </c>
      <c r="BZ32" s="242">
        <f>('MD-data'!CT38+'MD-data'!CT39+'MD-data'!CT40+'MD-data'!CT41+'MD-data'!CT42+'MD-data'!CT45+'MD-data'!CT46+'MD-data'!CT47+'MD-data'!CT58)/'MD-data'!CT36</f>
        <v>5.8173445894090563E-2</v>
      </c>
      <c r="CA32" s="242">
        <f>('MD-data'!CV38+'MD-data'!CV39+'MD-data'!CV40+'MD-data'!CV41+'MD-data'!CV42+'MD-data'!CV45+'MD-data'!CV46+'MD-data'!CV47+'MD-data'!CV58)/'MD-data'!CV36</f>
        <v>0.40604672020122873</v>
      </c>
      <c r="CB32" s="242">
        <f>('MD-data'!CX38+'MD-data'!CX39+'MD-data'!CX40+'MD-data'!CX41+'MD-data'!CX42+'MD-data'!CX45+'MD-data'!CX46+'MD-data'!CX47+'MD-data'!CX58)/'MD-data'!CX36</f>
        <v>7.7995244162212211E-3</v>
      </c>
      <c r="CC32" s="242">
        <f>('MD-data'!CZ38+'MD-data'!CZ39+'MD-data'!CZ40+'MD-data'!CZ41+'MD-data'!CZ42+'MD-data'!CZ45+'MD-data'!CZ46+'MD-data'!CZ47+'MD-data'!CZ58)/'MD-data'!CZ36</f>
        <v>2.8916914695279218E-3</v>
      </c>
      <c r="CD32" s="242"/>
      <c r="CF32" s="226">
        <f t="shared" ref="CF32:CU32" si="333">SMALL($AF32:$CC32,CF$1)</f>
        <v>0</v>
      </c>
      <c r="CG32" s="226">
        <f t="shared" si="333"/>
        <v>0</v>
      </c>
      <c r="CH32" s="226">
        <f t="shared" si="333"/>
        <v>0</v>
      </c>
      <c r="CI32" s="226">
        <f t="shared" si="333"/>
        <v>8.3338225067833691E-8</v>
      </c>
      <c r="CJ32" s="226">
        <f t="shared" si="333"/>
        <v>9.1607249186985661E-6</v>
      </c>
      <c r="CK32" s="226">
        <f t="shared" si="333"/>
        <v>1.3540353985382128E-5</v>
      </c>
      <c r="CL32" s="226">
        <f t="shared" si="333"/>
        <v>4.0705681880559047E-5</v>
      </c>
      <c r="CM32" s="226">
        <f t="shared" si="333"/>
        <v>2.0021655728381214E-4</v>
      </c>
      <c r="CN32" s="226">
        <f t="shared" si="333"/>
        <v>1.127819566991849E-3</v>
      </c>
      <c r="CO32" s="226">
        <f t="shared" si="333"/>
        <v>1.8168129164491166E-3</v>
      </c>
      <c r="CP32" s="226">
        <f t="shared" si="333"/>
        <v>1.9332340477991416E-3</v>
      </c>
      <c r="CQ32" s="226">
        <f t="shared" si="333"/>
        <v>2.2885287448112476E-3</v>
      </c>
      <c r="CR32" s="226">
        <f t="shared" si="333"/>
        <v>2.6149519581880319E-3</v>
      </c>
      <c r="CS32" s="226">
        <f t="shared" si="333"/>
        <v>2.7922526803070597E-3</v>
      </c>
      <c r="CT32" s="226">
        <f t="shared" si="333"/>
        <v>2.7981121156914375E-3</v>
      </c>
      <c r="CU32" s="226">
        <f t="shared" si="333"/>
        <v>2.8916914695279218E-3</v>
      </c>
      <c r="CV32" s="226">
        <f t="shared" ref="CV32:DK32" si="334">SMALL($AF32:$CC32,CV$1)</f>
        <v>2.9419396697144837E-3</v>
      </c>
      <c r="CW32" s="226">
        <f t="shared" si="334"/>
        <v>3.1306817570547923E-3</v>
      </c>
      <c r="CX32" s="226">
        <f t="shared" si="334"/>
        <v>3.2272272283029855E-3</v>
      </c>
      <c r="CY32" s="226">
        <f t="shared" si="334"/>
        <v>3.4108382469472953E-3</v>
      </c>
      <c r="CZ32" s="226">
        <f t="shared" si="334"/>
        <v>4.6847434160345097E-3</v>
      </c>
      <c r="DA32" s="226">
        <f t="shared" si="334"/>
        <v>6.8773807659690579E-3</v>
      </c>
      <c r="DB32" s="226">
        <f t="shared" si="334"/>
        <v>7.7995244162212211E-3</v>
      </c>
      <c r="DC32" s="226">
        <f t="shared" si="334"/>
        <v>8.799744686907477E-3</v>
      </c>
      <c r="DD32" s="226">
        <f t="shared" si="334"/>
        <v>9.4034148171363678E-3</v>
      </c>
      <c r="DE32" s="226">
        <f t="shared" si="334"/>
        <v>9.5974566669840694E-3</v>
      </c>
      <c r="DF32" s="226">
        <f t="shared" si="334"/>
        <v>1.1775260071649665E-2</v>
      </c>
      <c r="DG32" s="226">
        <f t="shared" si="334"/>
        <v>1.3886164502880396E-2</v>
      </c>
      <c r="DH32" s="226">
        <f t="shared" si="334"/>
        <v>2.1020309185618775E-2</v>
      </c>
      <c r="DI32" s="226">
        <f t="shared" si="334"/>
        <v>2.5093083629002748E-2</v>
      </c>
      <c r="DJ32" s="226">
        <f t="shared" si="334"/>
        <v>2.9165251112704921E-2</v>
      </c>
      <c r="DK32" s="226">
        <f t="shared" si="334"/>
        <v>3.1940814736644361E-2</v>
      </c>
      <c r="DL32" s="226">
        <f t="shared" ref="DL32:EA32" si="335">SMALL($AF32:$CC32,DL$1)</f>
        <v>4.9656951114459925E-2</v>
      </c>
      <c r="DM32" s="226">
        <f t="shared" si="335"/>
        <v>5.8173445894090563E-2</v>
      </c>
      <c r="DN32" s="226">
        <f t="shared" si="335"/>
        <v>6.227250834662932E-2</v>
      </c>
      <c r="DO32" s="226">
        <f t="shared" si="335"/>
        <v>6.8205816425479654E-2</v>
      </c>
      <c r="DP32" s="226">
        <f t="shared" si="335"/>
        <v>8.6186927384118914E-2</v>
      </c>
      <c r="DQ32" s="226">
        <f t="shared" si="335"/>
        <v>0.13786867744381817</v>
      </c>
      <c r="DR32" s="226">
        <f t="shared" si="335"/>
        <v>0.17151305567341613</v>
      </c>
      <c r="DS32" s="226">
        <f t="shared" si="335"/>
        <v>0.19912323294451487</v>
      </c>
      <c r="DT32" s="226">
        <f t="shared" si="335"/>
        <v>0.20036687029740199</v>
      </c>
      <c r="DU32" s="226">
        <f t="shared" si="335"/>
        <v>0.20941247703549856</v>
      </c>
      <c r="DV32" s="226">
        <f t="shared" si="335"/>
        <v>0.23696901033247147</v>
      </c>
      <c r="DW32" s="226">
        <f t="shared" si="335"/>
        <v>0.25782849436954702</v>
      </c>
      <c r="DX32" s="226">
        <f t="shared" si="335"/>
        <v>0.27203975500033994</v>
      </c>
      <c r="DY32" s="226">
        <f t="shared" si="335"/>
        <v>0.40604672020122873</v>
      </c>
      <c r="DZ32" s="226">
        <f t="shared" si="335"/>
        <v>0.45101039864939962</v>
      </c>
      <c r="EA32" s="226">
        <f t="shared" si="335"/>
        <v>0.64100068775663688</v>
      </c>
      <c r="EB32" s="226">
        <f t="shared" ref="EB32:EC32" si="336">SMALL($AF32:$CC32,EB$1)</f>
        <v>0.83263696030648038</v>
      </c>
      <c r="EC32" s="226">
        <f t="shared" si="336"/>
        <v>0.83858745707941851</v>
      </c>
      <c r="EF32" s="226" t="str">
        <f t="shared" ref="EF32:EF33" si="337">IFERROR(CG32/CF32,"")</f>
        <v/>
      </c>
      <c r="EG32" s="226" t="str">
        <f t="shared" ref="EG32:EG33" si="338">IFERROR(CH32/CG32,"")</f>
        <v/>
      </c>
      <c r="EH32" s="226" t="str">
        <f t="shared" ref="EH32:EH33" si="339">IFERROR(CI32/CH32,"")</f>
        <v/>
      </c>
      <c r="EI32" s="226">
        <f t="shared" ref="EI32:EI33" si="340">IFERROR(CJ32/CI32,"")</f>
        <v>109.92224649903612</v>
      </c>
      <c r="EJ32" s="226">
        <f t="shared" ref="EJ32:EJ33" si="341">IFERROR(CK32/CJ32,"")</f>
        <v>1.4780876083009555</v>
      </c>
      <c r="EK32" s="226">
        <f t="shared" ref="EK32:EK33" si="342">IFERROR(CL32/CK32,"")</f>
        <v>3.0062494617573527</v>
      </c>
      <c r="EL32" s="226">
        <f t="shared" ref="EL32:EL33" si="343">IFERROR(CM32/CL32,"")</f>
        <v>4.9186390703710376</v>
      </c>
      <c r="EM32" s="226">
        <f t="shared" ref="EM32:EM33" si="344">IFERROR(CN32/CM32,"")</f>
        <v>5.6329985006841152</v>
      </c>
      <c r="EN32" s="226">
        <f t="shared" ref="EN32:EN33" si="345">IFERROR(CO32/CN32,"")</f>
        <v>1.6109074267038737</v>
      </c>
      <c r="EO32" s="226">
        <f t="shared" ref="EO32:EO33" si="346">IFERROR(CP32/CO32,"")</f>
        <v>1.0640798677155847</v>
      </c>
      <c r="EP32" s="226">
        <f t="shared" ref="EP32:EP33" si="347">IFERROR(CQ32/CP32,"")</f>
        <v>1.1837825572214524</v>
      </c>
      <c r="EQ32" s="226">
        <f t="shared" ref="EQ32:EQ33" si="348">IFERROR(CR32/CQ32,"")</f>
        <v>1.1426345262723396</v>
      </c>
      <c r="ER32" s="226">
        <f t="shared" ref="ER32:ER33" si="349">IFERROR(CS32/CR32,"")</f>
        <v>1.0678026690180129</v>
      </c>
      <c r="ES32" s="226">
        <f t="shared" ref="ES32:ES33" si="350">IFERROR(CT32/CS32,"")</f>
        <v>1.0020984617279456</v>
      </c>
      <c r="ET32" s="226">
        <f t="shared" ref="ET32:ET33" si="351">IFERROR(CU32/CT32,"")</f>
        <v>1.0334437470577764</v>
      </c>
      <c r="EU32" s="226">
        <f t="shared" ref="EU32:EU33" si="352">IFERROR(CV32/CU32,"")</f>
        <v>1.0173767501533506</v>
      </c>
      <c r="EV32" s="226">
        <f t="shared" ref="EV32:EV33" si="353">IFERROR(CW32/CV32,"")</f>
        <v>1.0641556620903194</v>
      </c>
      <c r="EW32" s="226">
        <f t="shared" ref="EW32:EW33" si="354">IFERROR(CX32/CW32,"")</f>
        <v>1.0308384814363944</v>
      </c>
      <c r="EX32" s="226">
        <f t="shared" ref="EX32:EX33" si="355">IFERROR(CY32/CX32,"")</f>
        <v>1.0568943571850256</v>
      </c>
      <c r="EY32" s="226">
        <f t="shared" ref="EY32:EY33" si="356">IFERROR(CZ32/CY32,"")</f>
        <v>1.3734874177124528</v>
      </c>
      <c r="EZ32" s="226">
        <f t="shared" ref="EZ32:EZ33" si="357">IFERROR(DA32/CZ32,"")</f>
        <v>1.4680378742685865</v>
      </c>
      <c r="FA32" s="226">
        <f t="shared" ref="FA32:FA33" si="358">IFERROR(DB32/DA32,"")</f>
        <v>1.1340835532642242</v>
      </c>
      <c r="FB32" s="226">
        <f t="shared" ref="FB32:FB33" si="359">IFERROR(DC32/DB32,"")</f>
        <v>1.1282411871941869</v>
      </c>
      <c r="FC32" s="226">
        <f t="shared" ref="FC32:FC33" si="360">IFERROR(DD32/DC32,"")</f>
        <v>1.0686008687419135</v>
      </c>
      <c r="FD32" s="226">
        <f t="shared" ref="FD32:FD33" si="361">IFERROR(DE32/DD32,"")</f>
        <v>1.0206352536414844</v>
      </c>
      <c r="FE32" s="226">
        <f t="shared" ref="FE32:FE33" si="362">IFERROR(DF32/DE32,"")</f>
        <v>1.2269146379329217</v>
      </c>
      <c r="FF32" s="226">
        <f t="shared" ref="FF32:FF33" si="363">IFERROR(DG32/DF32,"")</f>
        <v>1.1792660559840189</v>
      </c>
      <c r="FG32" s="226">
        <f t="shared" ref="FG32:FG33" si="364">IFERROR(DH32/DG32,"")</f>
        <v>1.5137591939990735</v>
      </c>
      <c r="FH32" s="226">
        <f t="shared" ref="FH32:FH33" si="365">IFERROR(DI32/DH32,"")</f>
        <v>1.1937542596267041</v>
      </c>
      <c r="FI32" s="226">
        <f t="shared" ref="FI32:FI33" si="366">IFERROR(DJ32/DI32,"")</f>
        <v>1.162282465714797</v>
      </c>
      <c r="FJ32" s="226">
        <f t="shared" ref="FJ32:FJ33" si="367">IFERROR(DK32/DJ32,"")</f>
        <v>1.0951668001490429</v>
      </c>
      <c r="FK32" s="226">
        <f t="shared" ref="FK32:FK33" si="368">IFERROR(DL32/DK32,"")</f>
        <v>1.5546551183458255</v>
      </c>
      <c r="FL32" s="226">
        <f t="shared" ref="FL32:FL33" si="369">IFERROR(DM32/DL32,"")</f>
        <v>1.171506598542468</v>
      </c>
      <c r="FM32" s="226">
        <f t="shared" ref="FM32:FM33" si="370">IFERROR(DN32/DM32,"")</f>
        <v>1.0704627754044591</v>
      </c>
      <c r="FN32" s="226">
        <f t="shared" ref="FN32:FN33" si="371">IFERROR(DO32/DN32,"")</f>
        <v>1.0952797347719412</v>
      </c>
      <c r="FO32" s="226">
        <f t="shared" ref="FO32:FO33" si="372">IFERROR(DP32/DO32,"")</f>
        <v>1.2636301696979915</v>
      </c>
      <c r="FP32" s="226">
        <f t="shared" ref="FP32:FP33" si="373">IFERROR(DQ32/DP32,"")</f>
        <v>1.5996472043766385</v>
      </c>
      <c r="FQ32" s="226">
        <f t="shared" ref="FQ32:FQ33" si="374">IFERROR(DR32/DQ32,"")</f>
        <v>1.2440320662632607</v>
      </c>
      <c r="FR32" s="226">
        <f t="shared" ref="FR32:FR33" si="375">IFERROR(DS32/DR32,"")</f>
        <v>1.1609800324686199</v>
      </c>
      <c r="FS32" s="226">
        <f t="shared" ref="FS32:FS33" si="376">IFERROR(DT32/DS32,"")</f>
        <v>1.0062455662983016</v>
      </c>
      <c r="FT32" s="226">
        <f t="shared" ref="FT32:FT33" si="377">IFERROR(DU32/DT32,"")</f>
        <v>1.0451452214863179</v>
      </c>
      <c r="FU32" s="226">
        <f t="shared" ref="FU32:FU33" si="378">IFERROR(DV32/DU32,"")</f>
        <v>1.1315897394800485</v>
      </c>
      <c r="FV32" s="226">
        <f t="shared" ref="FV32:FV33" si="379">IFERROR(DW32/DV32,"")</f>
        <v>1.0880262107176351</v>
      </c>
      <c r="FW32" s="226">
        <f t="shared" ref="FW32:FW33" si="380">IFERROR(DX32/DW32,"")</f>
        <v>1.0551190459593804</v>
      </c>
      <c r="FX32" s="226">
        <f t="shared" ref="FX32:FX33" si="381">IFERROR(DY32/DX32,"")</f>
        <v>1.4926006686071356</v>
      </c>
      <c r="FY32" s="226">
        <f t="shared" ref="FY32:FY33" si="382">IFERROR(DZ32/DY32,"")</f>
        <v>1.1107352336841627</v>
      </c>
      <c r="FZ32" s="226">
        <f t="shared" ref="FZ32:FZ33" si="383">IFERROR(EA32/DZ32,"")</f>
        <v>1.4212547863113225</v>
      </c>
      <c r="GA32" s="226">
        <f t="shared" ref="GA32:GA33" si="384">IFERROR(EB32/EA32,"")</f>
        <v>1.2989642229878549</v>
      </c>
      <c r="GB32" s="226">
        <f t="shared" ref="GB32:GB33" si="385">IFERROR(EC32/EB32,"")</f>
        <v>1.0071465681402707</v>
      </c>
    </row>
    <row r="33" spans="1:184" ht="30.75" thickBot="1" x14ac:dyDescent="0.3">
      <c r="A33" s="640"/>
      <c r="B33" s="634"/>
      <c r="C33" s="240">
        <v>0.1</v>
      </c>
      <c r="D33" s="234" t="s">
        <v>174</v>
      </c>
      <c r="E33" s="225" t="s">
        <v>176</v>
      </c>
      <c r="G33" s="595" t="s">
        <v>1533</v>
      </c>
      <c r="H33" s="224" t="s">
        <v>388</v>
      </c>
      <c r="I33" s="239"/>
      <c r="J33" s="646"/>
      <c r="L33" s="226">
        <f t="shared" si="330"/>
        <v>-54.854616930281431</v>
      </c>
      <c r="M33" s="226">
        <f t="shared" si="330"/>
        <v>-6.1906366216163689E-3</v>
      </c>
      <c r="N33" s="226">
        <f t="shared" si="330"/>
        <v>3.6137903336849353E-2</v>
      </c>
      <c r="O33" s="226">
        <f t="shared" si="330"/>
        <v>0.83945289022766034</v>
      </c>
      <c r="P33" s="226">
        <f t="shared" si="330"/>
        <v>1304.1966462656806</v>
      </c>
      <c r="Q33" s="226"/>
      <c r="R33" s="573">
        <f t="shared" si="331"/>
        <v>8.0408911319946635E-9</v>
      </c>
      <c r="S33" s="563">
        <f t="shared" si="332"/>
        <v>56.584671060345556</v>
      </c>
      <c r="T33" s="563">
        <f t="array" ref="T33">((AVERAGE(IF((AF33:CC33&gt;=0)*(AF33:CC33&lt;Y33),AF33:CC33))-MIN(IF((AF33:CC33&gt;=0)*(AF33:CC33&lt;Y33),AF33:CC33)))/(MAX(IF((AF33:CC33&gt;=0)*(AF33:CC33&lt;Y33),AF33:CC33))-MIN(IF((AF33:CC33&gt;=0)*(AF33:CC33&lt;Y33),AF33:CC33))))^(-3/2)</f>
        <v>56.584760731361676</v>
      </c>
      <c r="U33" s="570">
        <v>328.96137835108112</v>
      </c>
      <c r="V33" s="570">
        <f>AVERAGE(AF33:CC33)</f>
        <v>27.587554268022533</v>
      </c>
      <c r="W33" s="226"/>
      <c r="X33" s="255"/>
      <c r="Y33" s="565">
        <f t="array" ref="Y33">Z33*(AVERAGE(IF($EF33:$GB33&lt;=QUARTILE($EF33:$GB33,3)+X$1*(QUARTILE($EF33:$GB33,3)-QUARTILE($EF33:$GB33,1)),$EF33:$GB33,"")))^(COUNT($AF33:$CC33)/4)</f>
        <v>97.081782949143062</v>
      </c>
      <c r="Z33" s="566">
        <f t="array" ref="Z33">AA33*AVERAGE(IF($EF33:$GB33&lt;=QUARTILE($EF33:$GB33,3),$EF33:$GB33,""))^(COUNTIFS($AF33:$CC33,"&gt;=0")/4)</f>
        <v>2.3542398244661604</v>
      </c>
      <c r="AA33" s="566">
        <f t="array" ref="AA33">QUARTILE(IF($AF33:$CC33&gt;=0,$AF33:$CC33,""),2)</f>
        <v>0.32187866093933049</v>
      </c>
      <c r="AB33" s="566">
        <f t="array" ref="AB33">AA33/AVERAGE(IF($EF33:$GB33&lt;=QUARTILE($EF33:$GB33,3),$EF33:$GB33,""))^(COUNTIFS($AF33:$CC33,"&gt;=0")/4)</f>
        <v>4.4008206509542756E-2</v>
      </c>
      <c r="AC33" s="565">
        <v>0</v>
      </c>
      <c r="AF33" s="242">
        <f>('MD-data'!F38+'MD-data'!F39+'MD-data'!F40+'MD-data'!F41+'MD-data'!F42+'MD-data'!F45+'MD-data'!F46+'MD-data'!F47+'MD-data'!F58+'MD-data'!F55)/('MD-data'!F85+'MD-data'!F88)</f>
        <v>1.508877110760041E-2</v>
      </c>
      <c r="AG33" s="242">
        <f>('MD-data'!H38+'MD-data'!H39+'MD-data'!H40+'MD-data'!H41+'MD-data'!H42+'MD-data'!H45+'MD-data'!H46+'MD-data'!H47+'MD-data'!H58+'MD-data'!H55)/('MD-data'!H85+'MD-data'!H88)</f>
        <v>4.6940698011371484</v>
      </c>
      <c r="AH33" s="242">
        <f>('MD-data'!J38+'MD-data'!J39+'MD-data'!J40+'MD-data'!J41+'MD-data'!J42+'MD-data'!J45+'MD-data'!J46+'MD-data'!J47+'MD-data'!J58+'MD-data'!J55)/('MD-data'!J85+'MD-data'!J88)</f>
        <v>-46.715953397939558</v>
      </c>
      <c r="AI33" s="242">
        <f>('MD-data'!L38+'MD-data'!L39+'MD-data'!L40+'MD-data'!L41+'MD-data'!L42+'MD-data'!L45+'MD-data'!L46+'MD-data'!L47+'MD-data'!L58+'MD-data'!L55)/('MD-data'!L85+'MD-data'!L88)</f>
        <v>-0.12868507535524182</v>
      </c>
      <c r="AJ33" s="242">
        <v>0</v>
      </c>
      <c r="AK33" s="242">
        <f>('MD-data'!P38+'MD-data'!P39+'MD-data'!P40+'MD-data'!P41+'MD-data'!P42+'MD-data'!P45+'MD-data'!P46+'MD-data'!P47+'MD-data'!P58+'MD-data'!P55)/('MD-data'!P85+'MD-data'!P88)</f>
        <v>-0.10899206848914782</v>
      </c>
      <c r="AL33" s="242">
        <f>('MD-data'!R38+'MD-data'!R39+'MD-data'!R40+'MD-data'!R41+'MD-data'!R42+'MD-data'!R45+'MD-data'!R46+'MD-data'!R47+'MD-data'!R58+'MD-data'!R55)/('MD-data'!R85+'MD-data'!R88)</f>
        <v>80.38178148469629</v>
      </c>
      <c r="AM33" s="242">
        <f>('MD-data'!T38+'MD-data'!T39+'MD-data'!T40+'MD-data'!T41+'MD-data'!T42+'MD-data'!T45+'MD-data'!T46+'MD-data'!T47+'MD-data'!T58+'MD-data'!T55)/('MD-data'!T85+'MD-data'!T88)</f>
        <v>0</v>
      </c>
      <c r="AN33" s="242">
        <f>('MD-data'!V38+'MD-data'!V39+'MD-data'!V40+'MD-data'!V41+'MD-data'!V42+'MD-data'!V45+'MD-data'!V46+'MD-data'!V47+'MD-data'!V58+'MD-data'!V55)/('MD-data'!V85+'MD-data'!V88)</f>
        <v>0.17351374166075545</v>
      </c>
      <c r="AO33" s="242">
        <f>('MD-data'!X38+'MD-data'!X39+'MD-data'!X40+'MD-data'!X41+'MD-data'!X42+'MD-data'!X45+'MD-data'!X46+'MD-data'!X47+'MD-data'!X58+'MD-data'!X55)/('MD-data'!X85+'MD-data'!X88)</f>
        <v>-4.0745144483513025</v>
      </c>
      <c r="AP33" s="242">
        <f>('MD-data'!Z38+'MD-data'!Z39+'MD-data'!Z40+'MD-data'!Z41+'MD-data'!Z42+'MD-data'!Z45+'MD-data'!Z46+'MD-data'!Z47+'MD-data'!Z58+'MD-data'!Z55)/('MD-data'!Z85+'MD-data'!Z88)</f>
        <v>1304.1966462656806</v>
      </c>
      <c r="AQ33" s="242">
        <f>('MD-data'!AB38+'MD-data'!AB39+'MD-data'!AB40+'MD-data'!AB41+'MD-data'!AB42+'MD-data'!AB45+'MD-data'!AB46+'MD-data'!AB47+'MD-data'!AB58+'MD-data'!AB55)/('MD-data'!AB85+'MD-data'!AB88)</f>
        <v>5.9177863741411422E-6</v>
      </c>
      <c r="AR33" s="242">
        <f>('MD-data'!AD38+'MD-data'!AD39+'MD-data'!AD40+'MD-data'!AD41+'MD-data'!AD42+'MD-data'!AD45+'MD-data'!AD46+'MD-data'!AD47+'MD-data'!AD58+'MD-data'!AD55)/('MD-data'!AD85+'MD-data'!AD88)</f>
        <v>2.3368714867805951E-2</v>
      </c>
      <c r="AS33" s="242">
        <f>('MD-data'!AF38+'MD-data'!AF39+'MD-data'!AF40+'MD-data'!AF41+'MD-data'!AF42+'MD-data'!AF45+'MD-data'!AF46+'MD-data'!AF47+'MD-data'!AF58+'MD-data'!AF55)/('MD-data'!AF85+'MD-data'!AF88)</f>
        <v>-54.854616930281431</v>
      </c>
      <c r="AT33" s="242">
        <f>('MD-data'!AH38+'MD-data'!AH39+'MD-data'!AH40+'MD-data'!AH41+'MD-data'!AH42+'MD-data'!AH45+'MD-data'!AH46+'MD-data'!AH47+'MD-data'!AH58+'MD-data'!AH55)/('MD-data'!AH85+'MD-data'!AH88)</f>
        <v>3.0851017380264013E-2</v>
      </c>
      <c r="AU33" s="242">
        <f>('MD-data'!AJ38+'MD-data'!AJ39+'MD-data'!AJ40+'MD-data'!AJ41+'MD-data'!AJ42+'MD-data'!AJ45+'MD-data'!AJ46+'MD-data'!AJ47+'MD-data'!AJ58+'MD-data'!AJ55)/('MD-data'!AJ85+'MD-data'!AJ88)</f>
        <v>4.1424789293434697E-2</v>
      </c>
      <c r="AV33" s="242">
        <f>('MD-data'!AL38+'MD-data'!AL39+'MD-data'!AL40+'MD-data'!AL41+'MD-data'!AL42+'MD-data'!AL45+'MD-data'!AL46+'MD-data'!AL47+'MD-data'!AL58+'MD-data'!AL55)/('MD-data'!AL85+'MD-data'!AL88)</f>
        <v>0.37640257318274206</v>
      </c>
      <c r="AW33" s="242">
        <f>('MD-data'!AN38+'MD-data'!AN39+'MD-data'!AN40+'MD-data'!AN41+'MD-data'!AN42+'MD-data'!AN45+'MD-data'!AN46+'MD-data'!AN47+'MD-data'!AN58+'MD-data'!AN55)/('MD-data'!AN85+'MD-data'!AN88)</f>
        <v>7.9887564440504794E-2</v>
      </c>
      <c r="AX33" s="242">
        <f>('MD-data'!AP38+'MD-data'!AP39+'MD-data'!AP40+'MD-data'!AP41+'MD-data'!AP42+'MD-data'!AP45+'MD-data'!AP46+'MD-data'!AP47+'MD-data'!AP58+'MD-data'!AP55)/('MD-data'!AP85+'MD-data'!AP88)</f>
        <v>0.5658001152459925</v>
      </c>
      <c r="AY33" s="242">
        <f>('MD-data'!AR38+'MD-data'!AR39+'MD-data'!AR40+'MD-data'!AR41+'MD-data'!AR42+'MD-data'!AR45+'MD-data'!AR46+'MD-data'!AR47+'MD-data'!AR58+'MD-data'!AR55)/('MD-data'!AR85+'MD-data'!AR88)</f>
        <v>1.7144246888273155E-2</v>
      </c>
      <c r="AZ33" s="242">
        <f>('MD-data'!AT38+'MD-data'!AT39+'MD-data'!AT40+'MD-data'!AT41+'MD-data'!AT42+'MD-data'!AT45+'MD-data'!AT46+'MD-data'!AT47+'MD-data'!AT58+'MD-data'!AT55)/('MD-data'!AT85+'MD-data'!AT88)</f>
        <v>-0.21943907544244173</v>
      </c>
      <c r="BA33" s="242">
        <f>('MD-data'!AV38+'MD-data'!AV39+'MD-data'!AV40+'MD-data'!AV41+'MD-data'!AV42+'MD-data'!AV45+'MD-data'!AV46+'MD-data'!AV47+'MD-data'!AV58+'MD-data'!AV55)/('MD-data'!AV85+'MD-data'!AV88)</f>
        <v>4.3387559303433767E-3</v>
      </c>
      <c r="BB33" s="242">
        <f>('MD-data'!AX38+'MD-data'!AX39+'MD-data'!AX40+'MD-data'!AX41+'MD-data'!AX42+'MD-data'!AX45+'MD-data'!AX46+'MD-data'!AX47+'MD-data'!AX58+'MD-data'!AX55)/('MD-data'!AX85+'MD-data'!AX88)</f>
        <v>-0.51424979746493649</v>
      </c>
      <c r="BC33" s="242">
        <f>('MD-data'!AZ38+'MD-data'!AZ39+'MD-data'!AZ40+'MD-data'!AZ41+'MD-data'!AZ42+'MD-data'!AZ45+'MD-data'!AZ46+'MD-data'!AZ47+'MD-data'!AZ58+'MD-data'!AZ55)/('MD-data'!AZ85+'MD-data'!AZ88)</f>
        <v>1.2536667084379083</v>
      </c>
      <c r="BD33" s="242">
        <f>('MD-data'!BB38+'MD-data'!BB39+'MD-data'!BB40+'MD-data'!BB41+'MD-data'!BB42+'MD-data'!BB45+'MD-data'!BB46+'MD-data'!BB47+'MD-data'!BB58+'MD-data'!BB55)/('MD-data'!BB85+'MD-data'!BB88)</f>
        <v>-4.6273088324721581</v>
      </c>
      <c r="BE33" s="242">
        <f>('MD-data'!BD38+'MD-data'!BD39+'MD-data'!BD40+'MD-data'!BD41+'MD-data'!BD42+'MD-data'!BD45+'MD-data'!BD46+'MD-data'!BD47+'MD-data'!BD58+'MD-data'!BD55)/('MD-data'!BD85+'MD-data'!BD88)</f>
        <v>0</v>
      </c>
      <c r="BF33" s="242">
        <f>('MD-data'!BF38+'MD-data'!BF39+'MD-data'!BF40+'MD-data'!BF41+'MD-data'!BF42+'MD-data'!BF45+'MD-data'!BF46+'MD-data'!BF47+'MD-data'!BF58+'MD-data'!BF55)/('MD-data'!BF85+'MD-data'!BF88)</f>
        <v>0.87045987698294658</v>
      </c>
      <c r="BG33" s="242">
        <f>('MD-data'!BH38+'MD-data'!BH39+'MD-data'!BH40+'MD-data'!BH41+'MD-data'!BH42+'MD-data'!BH45+'MD-data'!BH46+'MD-data'!BH47+'MD-data'!BH58+'MD-data'!BH55)/('MD-data'!BH85+'MD-data'!BH88)</f>
        <v>60.463235733492681</v>
      </c>
      <c r="BH33" s="242">
        <f>('MD-data'!BJ38+'MD-data'!BJ39+'MD-data'!BJ40+'MD-data'!BJ41+'MD-data'!BJ42+'MD-data'!BJ45+'MD-data'!BJ46+'MD-data'!BJ47+'MD-data'!BJ58+'MD-data'!BJ55)/('MD-data'!BJ85+'MD-data'!BJ88)</f>
        <v>6.6099633433405023</v>
      </c>
      <c r="BI33" s="242">
        <f>('MD-data'!BK38+'MD-data'!BK39+'MD-data'!BK40+'MD-data'!BK41+'MD-data'!BK42+'MD-data'!BK45+'MD-data'!BK46+'MD-data'!BK47+'MD-data'!BK58+'MD-data'!BK55)/('MD-data'!BK85+'MD-data'!BK88)</f>
        <v>1.1506417168312806</v>
      </c>
      <c r="BJ33" s="242">
        <f>('MD-data'!BN38+'MD-data'!BN39+'MD-data'!BN40+'MD-data'!BN41+'MD-data'!BN42+'MD-data'!BN45+'MD-data'!BN46+'MD-data'!BN47+'MD-data'!BN58+'MD-data'!BN55)/('MD-data'!BN85+'MD-data'!BN88)</f>
        <v>4.1640070589118762E-2</v>
      </c>
      <c r="BK33" s="242">
        <f>('MD-data'!BP38+'MD-data'!BP39+'MD-data'!BP40+'MD-data'!BP41+'MD-data'!BP42+'MD-data'!BP45+'MD-data'!BP46+'MD-data'!BP47+'MD-data'!BP58+'MD-data'!BP55)/('MD-data'!BP85+'MD-data'!BP88)</f>
        <v>-2.1889023290033367</v>
      </c>
      <c r="BL33" s="242">
        <f>('MD-data'!BR38+'MD-data'!BR39+'MD-data'!BR40+'MD-data'!BR41+'MD-data'!BR42+'MD-data'!BR45+'MD-data'!BR46+'MD-data'!BR47+'MD-data'!BR58+'MD-data'!BR55)/('MD-data'!BR85+'MD-data'!BR88)</f>
        <v>14.232416204690832</v>
      </c>
      <c r="BM33" s="242">
        <f>('MD-data'!BT38+'MD-data'!BT39+'MD-data'!BT40+'MD-data'!BT41+'MD-data'!BT42+'MD-data'!BT45+'MD-data'!BT46+'MD-data'!BT47+'MD-data'!BT58+'MD-data'!BT55)/('MD-data'!BT85+'MD-data'!BT88)</f>
        <v>4.9672986174352183E-5</v>
      </c>
      <c r="BN33" s="242">
        <f>('MD-data'!BV38+'MD-data'!BV39+'MD-data'!BV40+'MD-data'!BV41+'MD-data'!BV42+'MD-data'!BV45+'MD-data'!BV46+'MD-data'!BV47+'MD-data'!BV58+'MD-data'!BV55)/('MD-data'!BV85+'MD-data'!BV88)</f>
        <v>0.32187866093933049</v>
      </c>
      <c r="BO33" s="242">
        <f>('MD-data'!BX38+'MD-data'!BX39+'MD-data'!BX40+'MD-data'!BX41+'MD-data'!BX42+'MD-data'!BX45+'MD-data'!BX46+'MD-data'!BX47+'MD-data'!BX58+'MD-data'!BX55)/('MD-data'!BX85+'MD-data'!BX88)</f>
        <v>0.10403920157249245</v>
      </c>
      <c r="BP33" s="242">
        <f>('MD-data'!BZ38+'MD-data'!BZ39+'MD-data'!BZ40+'MD-data'!BZ41+'MD-data'!BZ42+'MD-data'!BZ45+'MD-data'!BZ46+'MD-data'!BZ47+'MD-data'!BZ58+'MD-data'!BZ55)/('MD-data'!BZ85+'MD-data'!BZ88)</f>
        <v>4.7716102821384994E-5</v>
      </c>
      <c r="BQ33" s="242">
        <f>('MD-data'!CB38+'MD-data'!CB39+'MD-data'!CB40+'MD-data'!CB41+'MD-data'!CB42+'MD-data'!CB45+'MD-data'!CB46+'MD-data'!CB47+'MD-data'!CB58+'MD-data'!CB55)/('MD-data'!CB85+'MD-data'!CB88)</f>
        <v>-8.2541821621551579E-3</v>
      </c>
      <c r="BR33" s="242">
        <f>('MD-data'!CD38+'MD-data'!CD39+'MD-data'!CD40+'MD-data'!CD41+'MD-data'!CD42+'MD-data'!CD45+'MD-data'!CD46+'MD-data'!CD47+'MD-data'!CD58+'MD-data'!CD55)/('MD-data'!CD85+'MD-data'!CD88)</f>
        <v>0.30626633440709899</v>
      </c>
      <c r="BS33" s="242">
        <f>('MD-data'!CF38+'MD-data'!CF39+'MD-data'!CF40+'MD-data'!CF41+'MD-data'!CF42+'MD-data'!CF45+'MD-data'!CF46+'MD-data'!CF47+'MD-data'!CF58+'MD-data'!CF55)/('MD-data'!CF85+'MD-data'!CF88)</f>
        <v>4.7916414294367051</v>
      </c>
      <c r="BT33" s="242">
        <f>('MD-data'!CH38+'MD-data'!CH39+'MD-data'!CH40+'MD-data'!CH41+'MD-data'!CH42+'MD-data'!CH45+'MD-data'!CH46+'MD-data'!CH47+'MD-data'!CH58+'MD-data'!CH55)/('MD-data'!CH85+'MD-data'!CH88)</f>
        <v>0</v>
      </c>
      <c r="BU33" s="242">
        <f>('MD-data'!CJ38+'MD-data'!CJ39+'MD-data'!CJ40+'MD-data'!CJ41+'MD-data'!CJ42+'MD-data'!CJ45+'MD-data'!CJ46+'MD-data'!CJ47+'MD-data'!CJ58+'MD-data'!CJ55)/('MD-data'!CJ85+'MD-data'!CJ88)</f>
        <v>1.8589426079465921</v>
      </c>
      <c r="BV33" s="242">
        <f>('MD-data'!CL38+'MD-data'!CL39+'MD-data'!CL40+'MD-data'!CL41+'MD-data'!CL42+'MD-data'!CL45+'MD-data'!CL46+'MD-data'!CL47+'MD-data'!CL58+'MD-data'!CL55)/('MD-data'!CL85+'MD-data'!CL88)</f>
        <v>0.47242217666968583</v>
      </c>
      <c r="BW33" s="242">
        <f>('MD-data'!CN38+'MD-data'!CN39+'MD-data'!CN40+'MD-data'!CN41+'MD-data'!CN42+'MD-data'!CN45+'MD-data'!CN46+'MD-data'!CN47+'MD-data'!CN58+'MD-data'!CN55)/('MD-data'!CN85+'MD-data'!CN88)</f>
        <v>-2.6201866687518217E-2</v>
      </c>
      <c r="BX33" s="242">
        <f>('MD-data'!CP38+'MD-data'!CP39+'MD-data'!CP40+'MD-data'!CP41+'MD-data'!CP42+'MD-data'!CP45+'MD-data'!CP46+'MD-data'!CP47+'MD-data'!CP58+'MD-data'!CP55)/('MD-data'!CP85+'MD-data'!CP88)</f>
        <v>0.47003455715294884</v>
      </c>
      <c r="BY33" s="242">
        <f>('MD-data'!CR38+'MD-data'!CR39+'MD-data'!CR40+'MD-data'!CR41+'MD-data'!CR42+'MD-data'!CR45+'MD-data'!CR46+'MD-data'!CR47+'MD-data'!CR58+'MD-data'!CR55)/('MD-data'!CR85+'MD-data'!CR88)</f>
        <v>-7.3973128598848366</v>
      </c>
      <c r="BZ33" s="242">
        <f>('MD-data'!CT38+'MD-data'!CT39+'MD-data'!CT40+'MD-data'!CT41+'MD-data'!CT42+'MD-data'!CT45+'MD-data'!CT46+'MD-data'!CT47+'MD-data'!CT58+'MD-data'!CT55)/('MD-data'!CT85+'MD-data'!CT88)</f>
        <v>1.2953649775049698</v>
      </c>
      <c r="CA33" s="242">
        <f>('MD-data'!CV38+'MD-data'!CV39+'MD-data'!CV40+'MD-data'!CV41+'MD-data'!CV42+'MD-data'!CV45+'MD-data'!CV46+'MD-data'!CV47+'MD-data'!CV58+'MD-data'!CV55)/('MD-data'!CV85+'MD-data'!CV88)</f>
        <v>14.940406818179834</v>
      </c>
      <c r="CB33" s="242">
        <f>('MD-data'!CX38+'MD-data'!CX39+'MD-data'!CX40+'MD-data'!CX41+'MD-data'!CX42+'MD-data'!CX45+'MD-data'!CX46+'MD-data'!CX47+'MD-data'!CX58+'MD-data'!CX55)/('MD-data'!CX85+'MD-data'!CX88)</f>
        <v>-0.28772923186299093</v>
      </c>
      <c r="CC33" s="242">
        <f>('MD-data'!CZ38+'MD-data'!CZ39+'MD-data'!CZ40+'MD-data'!CZ41+'MD-data'!CZ42+'MD-data'!CZ45+'MD-data'!CZ46+'MD-data'!CZ47+'MD-data'!CZ58+'MD-data'!CZ55)/('MD-data'!CZ85+'MD-data'!CZ88)</f>
        <v>0.74643192996180185</v>
      </c>
      <c r="CD33" s="242"/>
      <c r="CF33" s="226">
        <f t="array" ref="CF33">IFERROR(SMALL(IF($AF33:$CC33&gt;=0,$AF33:$CC33,""),CF$1),"")</f>
        <v>0</v>
      </c>
      <c r="CG33" s="226">
        <f t="array" ref="CG33">IFERROR(SMALL(IF($AF33:$CC33&gt;=0,$AF33:$CC33,""),CG$1),"")</f>
        <v>0</v>
      </c>
      <c r="CH33" s="226">
        <f t="array" ref="CH33">IFERROR(SMALL(IF($AF33:$CC33&gt;=0,$AF33:$CC33,""),CH$1),"")</f>
        <v>0</v>
      </c>
      <c r="CI33" s="226">
        <f t="array" ref="CI33">IFERROR(SMALL(IF($AF33:$CC33&gt;=0,$AF33:$CC33,""),CI$1),"")</f>
        <v>0</v>
      </c>
      <c r="CJ33" s="226">
        <f t="array" ref="CJ33">IFERROR(SMALL(IF($AF33:$CC33&gt;=0,$AF33:$CC33,""),CJ$1),"")</f>
        <v>5.9177863741411422E-6</v>
      </c>
      <c r="CK33" s="226">
        <f t="array" ref="CK33">IFERROR(SMALL(IF($AF33:$CC33&gt;=0,$AF33:$CC33,""),CK$1),"")</f>
        <v>4.7716102821384994E-5</v>
      </c>
      <c r="CL33" s="226">
        <f t="array" ref="CL33">IFERROR(SMALL(IF($AF33:$CC33&gt;=0,$AF33:$CC33,""),CL$1),"")</f>
        <v>4.9672986174352183E-5</v>
      </c>
      <c r="CM33" s="226">
        <f t="array" ref="CM33">IFERROR(SMALL(IF($AF33:$CC33&gt;=0,$AF33:$CC33,""),CM$1),"")</f>
        <v>4.3387559303433767E-3</v>
      </c>
      <c r="CN33" s="226">
        <f t="array" ref="CN33">IFERROR(SMALL(IF($AF33:$CC33&gt;=0,$AF33:$CC33,""),CN$1),"")</f>
        <v>1.508877110760041E-2</v>
      </c>
      <c r="CO33" s="226">
        <f t="array" ref="CO33">IFERROR(SMALL(IF($AF33:$CC33&gt;=0,$AF33:$CC33,""),CO$1),"")</f>
        <v>1.7144246888273155E-2</v>
      </c>
      <c r="CP33" s="226">
        <f t="array" ref="CP33">IFERROR(SMALL(IF($AF33:$CC33&gt;=0,$AF33:$CC33,""),CP$1),"")</f>
        <v>2.3368714867805951E-2</v>
      </c>
      <c r="CQ33" s="226">
        <f t="array" ref="CQ33">IFERROR(SMALL(IF($AF33:$CC33&gt;=0,$AF33:$CC33,""),CQ$1),"")</f>
        <v>3.0851017380264013E-2</v>
      </c>
      <c r="CR33" s="226">
        <f t="array" ref="CR33">IFERROR(SMALL(IF($AF33:$CC33&gt;=0,$AF33:$CC33,""),CR$1),"")</f>
        <v>4.1424789293434697E-2</v>
      </c>
      <c r="CS33" s="226">
        <f t="array" ref="CS33">IFERROR(SMALL(IF($AF33:$CC33&gt;=0,$AF33:$CC33,""),CS$1),"")</f>
        <v>4.1640070589118762E-2</v>
      </c>
      <c r="CT33" s="226">
        <f t="array" ref="CT33">IFERROR(SMALL(IF($AF33:$CC33&gt;=0,$AF33:$CC33,""),CT$1),"")</f>
        <v>7.9887564440504794E-2</v>
      </c>
      <c r="CU33" s="226">
        <f t="array" ref="CU33">IFERROR(SMALL(IF($AF33:$CC33&gt;=0,$AF33:$CC33,""),CU$1),"")</f>
        <v>0.10403920157249245</v>
      </c>
      <c r="CV33" s="226">
        <f t="array" ref="CV33">IFERROR(SMALL(IF($AF33:$CC33&gt;=0,$AF33:$CC33,""),CV$1),"")</f>
        <v>0.17351374166075545</v>
      </c>
      <c r="CW33" s="226">
        <f t="array" ref="CW33">IFERROR(SMALL(IF($AF33:$CC33&gt;=0,$AF33:$CC33,""),CW$1),"")</f>
        <v>0.30626633440709899</v>
      </c>
      <c r="CX33" s="226">
        <f t="array" ref="CX33">IFERROR(SMALL(IF($AF33:$CC33&gt;=0,$AF33:$CC33,""),CX$1),"")</f>
        <v>0.32187866093933049</v>
      </c>
      <c r="CY33" s="226">
        <f t="array" ref="CY33">IFERROR(SMALL(IF($AF33:$CC33&gt;=0,$AF33:$CC33,""),CY$1),"")</f>
        <v>0.37640257318274206</v>
      </c>
      <c r="CZ33" s="226">
        <f t="array" ref="CZ33">IFERROR(SMALL(IF($AF33:$CC33&gt;=0,$AF33:$CC33,""),CZ$1),"")</f>
        <v>0.47003455715294884</v>
      </c>
      <c r="DA33" s="226">
        <f t="array" ref="DA33">IFERROR(SMALL(IF($AF33:$CC33&gt;=0,$AF33:$CC33,""),DA$1),"")</f>
        <v>0.47242217666968583</v>
      </c>
      <c r="DB33" s="226">
        <f t="array" ref="DB33">IFERROR(SMALL(IF($AF33:$CC33&gt;=0,$AF33:$CC33,""),DB$1),"")</f>
        <v>0.5658001152459925</v>
      </c>
      <c r="DC33" s="226">
        <f t="array" ref="DC33">IFERROR(SMALL(IF($AF33:$CC33&gt;=0,$AF33:$CC33,""),DC$1),"")</f>
        <v>0.74643192996180185</v>
      </c>
      <c r="DD33" s="226">
        <f t="array" ref="DD33">IFERROR(SMALL(IF($AF33:$CC33&gt;=0,$AF33:$CC33,""),DD$1),"")</f>
        <v>0.87045987698294658</v>
      </c>
      <c r="DE33" s="226">
        <f t="array" ref="DE33">IFERROR(SMALL(IF($AF33:$CC33&gt;=0,$AF33:$CC33,""),DE$1),"")</f>
        <v>1.1506417168312806</v>
      </c>
      <c r="DF33" s="226">
        <f t="array" ref="DF33">IFERROR(SMALL(IF($AF33:$CC33&gt;=0,$AF33:$CC33,""),DF$1),"")</f>
        <v>1.2536667084379083</v>
      </c>
      <c r="DG33" s="226">
        <f t="array" ref="DG33">IFERROR(SMALL(IF($AF33:$CC33&gt;=0,$AF33:$CC33,""),DG$1),"")</f>
        <v>1.2953649775049698</v>
      </c>
      <c r="DH33" s="226">
        <f t="array" ref="DH33">IFERROR(SMALL(IF($AF33:$CC33&gt;=0,$AF33:$CC33,""),DH$1),"")</f>
        <v>1.8589426079465921</v>
      </c>
      <c r="DI33" s="226">
        <f t="array" ref="DI33">IFERROR(SMALL(IF($AF33:$CC33&gt;=0,$AF33:$CC33,""),DI$1),"")</f>
        <v>4.6940698011371484</v>
      </c>
      <c r="DJ33" s="226">
        <f t="array" ref="DJ33">IFERROR(SMALL(IF($AF33:$CC33&gt;=0,$AF33:$CC33,""),DJ$1),"")</f>
        <v>4.7916414294367051</v>
      </c>
      <c r="DK33" s="226">
        <f t="array" ref="DK33">IFERROR(SMALL(IF($AF33:$CC33&gt;=0,$AF33:$CC33,""),DK$1),"")</f>
        <v>6.6099633433405023</v>
      </c>
      <c r="DL33" s="226">
        <f t="array" ref="DL33">IFERROR(SMALL(IF($AF33:$CC33&gt;=0,$AF33:$CC33,""),DL$1),"")</f>
        <v>14.232416204690832</v>
      </c>
      <c r="DM33" s="226">
        <f t="array" ref="DM33">IFERROR(SMALL(IF($AF33:$CC33&gt;=0,$AF33:$CC33,""),DM$1),"")</f>
        <v>14.940406818179834</v>
      </c>
      <c r="DN33" s="226">
        <f t="array" ref="DN33">IFERROR(SMALL(IF($AF33:$CC33&gt;=0,$AF33:$CC33,""),DN$1),"")</f>
        <v>60.463235733492681</v>
      </c>
      <c r="DO33" s="226">
        <f t="array" ref="DO33">IFERROR(SMALL(IF($AF33:$CC33&gt;=0,$AF33:$CC33,""),DO$1),"")</f>
        <v>80.38178148469629</v>
      </c>
      <c r="DP33" s="226">
        <f t="array" ref="DP33">IFERROR(SMALL(IF($AF33:$CC33&gt;=0,$AF33:$CC33,""),DP$1),"")</f>
        <v>1304.1966462656806</v>
      </c>
      <c r="DQ33" s="226" t="str">
        <f t="array" ref="DQ33">IFERROR(SMALL(IF($AF33:$CC33&gt;=0,$AF33:$CC33,""),DQ$1),"")</f>
        <v/>
      </c>
      <c r="DR33" s="226" t="str">
        <f t="array" ref="DR33">IFERROR(SMALL(IF($AF33:$CC33&gt;=0,$AF33:$CC33,""),DR$1),"")</f>
        <v/>
      </c>
      <c r="DS33" s="226" t="str">
        <f t="array" ref="DS33">IFERROR(SMALL(IF($AF33:$CC33&gt;=0,$AF33:$CC33,""),DS$1),"")</f>
        <v/>
      </c>
      <c r="DT33" s="226" t="str">
        <f t="array" ref="DT33">IFERROR(SMALL(IF($AF33:$CC33&gt;=0,$AF33:$CC33,""),DT$1),"")</f>
        <v/>
      </c>
      <c r="DU33" s="226" t="str">
        <f t="array" ref="DU33">IFERROR(SMALL(IF($AF33:$CC33&gt;=0,$AF33:$CC33,""),DU$1),"")</f>
        <v/>
      </c>
      <c r="DV33" s="226" t="str">
        <f t="array" ref="DV33">IFERROR(SMALL(IF($AF33:$CC33&gt;=0,$AF33:$CC33,""),DV$1),"")</f>
        <v/>
      </c>
      <c r="DW33" s="226" t="str">
        <f t="array" ref="DW33">IFERROR(SMALL(IF($AF33:$CC33&gt;=0,$AF33:$CC33,""),DW$1),"")</f>
        <v/>
      </c>
      <c r="DX33" s="226" t="str">
        <f t="array" ref="DX33">IFERROR(SMALL(IF($AF33:$CC33&gt;=0,$AF33:$CC33,""),DX$1),"")</f>
        <v/>
      </c>
      <c r="DY33" s="226" t="str">
        <f t="array" ref="DY33">IFERROR(SMALL(IF($AF33:$CC33&gt;=0,$AF33:$CC33,""),DY$1),"")</f>
        <v/>
      </c>
      <c r="DZ33" s="226" t="str">
        <f t="array" ref="DZ33">IFERROR(SMALL(IF($AF33:$CC33&gt;=0,$AF33:$CC33,""),DZ$1),"")</f>
        <v/>
      </c>
      <c r="EA33" s="226" t="str">
        <f t="array" ref="EA33">IFERROR(SMALL(IF($AF33:$CC33&gt;=0,$AF33:$CC33,""),EA$1),"")</f>
        <v/>
      </c>
      <c r="EB33" s="226" t="str">
        <f t="array" ref="EB33">IFERROR(SMALL(IF($AF33:$CC33&gt;=0,$AF33:$CC33,""),EB$1),"")</f>
        <v/>
      </c>
      <c r="EC33" s="226" t="str">
        <f t="array" ref="EC33">IFERROR(SMALL(IF($AF33:$CC33&gt;=0,$AF33:$CC33,""),EC$1),"")</f>
        <v/>
      </c>
      <c r="EF33" s="226" t="str">
        <f t="shared" si="337"/>
        <v/>
      </c>
      <c r="EG33" s="226" t="str">
        <f t="shared" si="338"/>
        <v/>
      </c>
      <c r="EH33" s="226" t="str">
        <f t="shared" si="339"/>
        <v/>
      </c>
      <c r="EI33" s="226" t="str">
        <f t="shared" si="340"/>
        <v/>
      </c>
      <c r="EJ33" s="226">
        <f t="shared" si="341"/>
        <v>8.0631675097109454</v>
      </c>
      <c r="EK33" s="226">
        <f t="shared" si="342"/>
        <v>1.0410109635376628</v>
      </c>
      <c r="EL33" s="226">
        <f t="shared" si="343"/>
        <v>87.346388137696081</v>
      </c>
      <c r="EM33" s="226">
        <f t="shared" si="344"/>
        <v>3.477672252102519</v>
      </c>
      <c r="EN33" s="226">
        <f t="shared" si="345"/>
        <v>1.136225525989812</v>
      </c>
      <c r="EO33" s="226">
        <f t="shared" si="346"/>
        <v>1.3630645323820201</v>
      </c>
      <c r="EP33" s="226">
        <f t="shared" si="347"/>
        <v>1.3201845952926621</v>
      </c>
      <c r="EQ33" s="226">
        <f t="shared" si="348"/>
        <v>1.342736571142543</v>
      </c>
      <c r="ER33" s="226">
        <f t="shared" si="349"/>
        <v>1.005196919510178</v>
      </c>
      <c r="ES33" s="226">
        <f t="shared" si="350"/>
        <v>1.9185261530603825</v>
      </c>
      <c r="ET33" s="226">
        <f t="shared" si="351"/>
        <v>1.3023203586332173</v>
      </c>
      <c r="EU33" s="226">
        <f t="shared" si="352"/>
        <v>1.6677727148824235</v>
      </c>
      <c r="EV33" s="226">
        <f t="shared" si="353"/>
        <v>1.7650840300930986</v>
      </c>
      <c r="EW33" s="226">
        <f t="shared" si="354"/>
        <v>1.0509763064962898</v>
      </c>
      <c r="EX33" s="226">
        <f t="shared" si="355"/>
        <v>1.169392752176537</v>
      </c>
      <c r="EY33" s="226">
        <f t="shared" si="356"/>
        <v>1.2487548987204953</v>
      </c>
      <c r="EZ33" s="226">
        <f t="shared" si="357"/>
        <v>1.0050796680380247</v>
      </c>
      <c r="FA33" s="226">
        <f t="shared" si="358"/>
        <v>1.1976578221508765</v>
      </c>
      <c r="FB33" s="226">
        <f t="shared" si="359"/>
        <v>1.3192502260931429</v>
      </c>
      <c r="FC33" s="226">
        <f t="shared" si="360"/>
        <v>1.1661610952622188</v>
      </c>
      <c r="FD33" s="226">
        <f t="shared" si="361"/>
        <v>1.3218779489520609</v>
      </c>
      <c r="FE33" s="226">
        <f t="shared" si="362"/>
        <v>1.0895369862743594</v>
      </c>
      <c r="FF33" s="226">
        <f t="shared" si="363"/>
        <v>1.0332610484001912</v>
      </c>
      <c r="FG33" s="226">
        <f t="shared" si="364"/>
        <v>1.4350724623782412</v>
      </c>
      <c r="FH33" s="226">
        <f t="shared" si="365"/>
        <v>2.5251289529170933</v>
      </c>
      <c r="FI33" s="226">
        <f t="shared" si="366"/>
        <v>1.0207861477210927</v>
      </c>
      <c r="FJ33" s="226">
        <f t="shared" si="367"/>
        <v>1.3794778763563607</v>
      </c>
      <c r="FK33" s="226">
        <f t="shared" si="368"/>
        <v>2.1531762682208977</v>
      </c>
      <c r="FL33" s="226">
        <f t="shared" si="369"/>
        <v>1.0497449346131162</v>
      </c>
      <c r="FM33" s="226">
        <f t="shared" si="370"/>
        <v>4.0469604656226368</v>
      </c>
      <c r="FN33" s="226">
        <f t="shared" si="371"/>
        <v>1.3294323485927835</v>
      </c>
      <c r="FO33" s="226">
        <f t="shared" si="372"/>
        <v>16.225027887867647</v>
      </c>
      <c r="FP33" s="226" t="str">
        <f t="shared" si="373"/>
        <v/>
      </c>
      <c r="FQ33" s="226" t="str">
        <f t="shared" si="374"/>
        <v/>
      </c>
      <c r="FR33" s="226" t="str">
        <f t="shared" si="375"/>
        <v/>
      </c>
      <c r="FS33" s="226" t="str">
        <f t="shared" si="376"/>
        <v/>
      </c>
      <c r="FT33" s="226" t="str">
        <f t="shared" si="377"/>
        <v/>
      </c>
      <c r="FU33" s="226" t="str">
        <f t="shared" si="378"/>
        <v/>
      </c>
      <c r="FV33" s="226" t="str">
        <f t="shared" si="379"/>
        <v/>
      </c>
      <c r="FW33" s="226" t="str">
        <f t="shared" si="380"/>
        <v/>
      </c>
      <c r="FX33" s="226" t="str">
        <f t="shared" si="381"/>
        <v/>
      </c>
      <c r="FY33" s="226" t="str">
        <f t="shared" si="382"/>
        <v/>
      </c>
      <c r="FZ33" s="226" t="str">
        <f t="shared" si="383"/>
        <v/>
      </c>
      <c r="GA33" s="226" t="str">
        <f t="shared" si="384"/>
        <v/>
      </c>
      <c r="GB33" s="226" t="str">
        <f t="shared" si="385"/>
        <v/>
      </c>
    </row>
    <row r="34" spans="1:184" ht="15.75" thickBot="1" x14ac:dyDescent="0.3">
      <c r="A34" s="641"/>
      <c r="B34" s="635"/>
      <c r="C34" s="636" t="s">
        <v>397</v>
      </c>
      <c r="D34" s="637"/>
      <c r="E34" s="638"/>
      <c r="G34" s="595"/>
      <c r="H34" s="239"/>
      <c r="I34" s="239"/>
      <c r="J34" s="646"/>
      <c r="L34" s="226"/>
      <c r="M34" s="226"/>
      <c r="N34" s="226"/>
      <c r="O34" s="226"/>
      <c r="P34" s="226"/>
      <c r="Q34" s="226"/>
      <c r="R34" s="563"/>
      <c r="S34" s="563"/>
      <c r="T34" s="563"/>
      <c r="U34" s="570"/>
      <c r="V34" s="570"/>
      <c r="W34" s="226"/>
      <c r="X34" s="255"/>
      <c r="Y34" s="565"/>
      <c r="Z34" s="566"/>
      <c r="AA34" s="566"/>
      <c r="AB34" s="566"/>
      <c r="AC34" s="565"/>
      <c r="AF34" s="242"/>
      <c r="AG34" s="242"/>
      <c r="AH34" s="242"/>
      <c r="AI34" s="242"/>
      <c r="AJ34" s="242"/>
      <c r="AK34" s="242"/>
      <c r="AL34" s="242"/>
      <c r="AM34" s="242"/>
      <c r="AN34" s="242"/>
      <c r="AO34" s="242"/>
      <c r="AP34" s="242"/>
      <c r="AQ34" s="242"/>
      <c r="AR34" s="242"/>
      <c r="AS34" s="242"/>
      <c r="AT34" s="242"/>
      <c r="AU34" s="242"/>
      <c r="AV34" s="242"/>
      <c r="AW34" s="242"/>
      <c r="AX34" s="242"/>
      <c r="AY34" s="242"/>
      <c r="AZ34" s="242"/>
      <c r="BA34" s="242"/>
      <c r="BB34" s="242"/>
      <c r="BC34" s="242"/>
      <c r="BD34" s="242"/>
      <c r="BE34" s="242"/>
      <c r="BF34" s="242"/>
      <c r="BG34" s="242"/>
      <c r="BH34" s="242"/>
      <c r="BI34" s="242"/>
      <c r="BJ34" s="242"/>
      <c r="BK34" s="242"/>
      <c r="BL34" s="242"/>
      <c r="BM34" s="242"/>
      <c r="BN34" s="242"/>
      <c r="BO34" s="242"/>
      <c r="BP34" s="242"/>
      <c r="BQ34" s="242"/>
      <c r="BR34" s="242"/>
      <c r="BS34" s="242"/>
      <c r="BT34" s="242"/>
      <c r="BU34" s="242"/>
      <c r="BV34" s="242"/>
      <c r="BW34" s="242"/>
      <c r="BX34" s="242"/>
      <c r="BY34" s="242"/>
      <c r="BZ34" s="242"/>
      <c r="CA34" s="242"/>
      <c r="CB34" s="242"/>
      <c r="CC34" s="242"/>
      <c r="CD34" s="242"/>
    </row>
    <row r="35" spans="1:184" ht="51.75" thickBot="1" x14ac:dyDescent="0.3">
      <c r="A35" s="630">
        <v>0.15</v>
      </c>
      <c r="B35" s="633" t="s">
        <v>393</v>
      </c>
      <c r="C35" s="244">
        <v>0.1</v>
      </c>
      <c r="D35" s="236" t="s">
        <v>202</v>
      </c>
      <c r="E35" s="225" t="s">
        <v>205</v>
      </c>
      <c r="G35" s="595" t="s">
        <v>1534</v>
      </c>
      <c r="H35" s="224" t="s">
        <v>388</v>
      </c>
      <c r="I35" s="239"/>
      <c r="J35" s="646"/>
      <c r="L35" s="226">
        <f t="shared" ref="L35:P36" si="386">QUARTILE($AF35:$CC35,L$2)</f>
        <v>-33.694794266696924</v>
      </c>
      <c r="M35" s="226">
        <f t="shared" si="386"/>
        <v>-0.31193993372348994</v>
      </c>
      <c r="N35" s="226">
        <f t="shared" si="386"/>
        <v>2.0293007720254219</v>
      </c>
      <c r="O35" s="226">
        <f t="shared" si="386"/>
        <v>4.5376279887553714</v>
      </c>
      <c r="P35" s="226">
        <f t="shared" si="386"/>
        <v>97.766074004113364</v>
      </c>
      <c r="Q35" s="226"/>
      <c r="R35" s="573">
        <f t="shared" ref="R35:R36" si="387">(T35-S35)^2</f>
        <v>9.2381065159750685E-9</v>
      </c>
      <c r="S35" s="563">
        <f t="shared" ref="S35:S36" si="388">(U35-1)/LN(U35)</f>
        <v>10.02841894527349</v>
      </c>
      <c r="T35" s="563">
        <f t="array" ref="T35">((AVERAGE(IF((AF35:CC35&gt;=0)*(AF35:CC35&lt;AC35),AF35:CC35))-MIN(IF((AF35:CC35&gt;=0)*(AF35:CC35&lt;AC35),AF35:CC35)))/(MAX(IF((AF35:CC35&gt;=0)*(AF35:CC35&lt;AC35),AF35:CC35))-MIN(IF((AF35:CC35&gt;=0)*(AF35:CC35&lt;AC35),AF35:CC35))))^(-3/2)</f>
        <v>10.028515060342631</v>
      </c>
      <c r="U35" s="570">
        <v>37.290126246691131</v>
      </c>
      <c r="V35" s="570">
        <f>AVERAGE(AF35:CC35)</f>
        <v>2.8516700877511774</v>
      </c>
      <c r="W35" s="226"/>
      <c r="X35" s="255"/>
      <c r="Y35" s="565">
        <v>0</v>
      </c>
      <c r="Z35" s="566">
        <f t="array" ref="Z35">AA35/AVERAGE(IF($EF35:$GB35&lt;=QUARTILE($EF35:$GB35,3),$EF35:$GB35,""))^(COUNTIFS($AF35:$CC35,"&gt;=0")/4)</f>
        <v>1.3738708781648035</v>
      </c>
      <c r="AA35" s="566">
        <f t="array" ref="AA35">QUARTILE(IF($AF35:$CC35&gt;=0,$AF35:$CC35,""),2)</f>
        <v>2.8478021159290718</v>
      </c>
      <c r="AB35" s="566">
        <f t="array" ref="AB35">AA35*AVERAGE(IF($EF35:$GB35&lt;=QUARTILE($EF35:$GB35,3),$EF35:$GB35,""))^(COUNTIFS($AF35:$CC35,"&gt;=0")/4)</f>
        <v>5.9030124448982324</v>
      </c>
      <c r="AC35" s="565">
        <f t="array" ref="AC35">AB35*(AVERAGE(IF($EF35:$GB35&lt;=QUARTILE($EF35:$GB35,3)+X$1*(QUARTILE($EF35:$GB35,3)-QUARTILE($EF35:$GB35,1)),$EF35:$GB35,"")))^(COUNT($AF35:$CC35)/4)</f>
        <v>21.74155194030655</v>
      </c>
      <c r="AF35" s="242">
        <f>'MD-data'!F78/('MD-data'!F35-'MD-data'!F59)</f>
        <v>0.57098640333040018</v>
      </c>
      <c r="AG35" s="242">
        <f>'MD-data'!H78/('MD-data'!H35-'MD-data'!H59)</f>
        <v>19.054314880816833</v>
      </c>
      <c r="AH35" s="242">
        <f>'MD-data'!J78/('MD-data'!J35-'MD-data'!J59)</f>
        <v>2.0284026536884201</v>
      </c>
      <c r="AI35" s="242">
        <f>'MD-data'!L78/('MD-data'!L35-'MD-data'!L59)</f>
        <v>2.5046118389877119</v>
      </c>
      <c r="AJ35" s="242">
        <f>'MD-data'!N78/('MD-data'!N35-'MD-data'!N59)</f>
        <v>-1.4261754966919133</v>
      </c>
      <c r="AK35" s="242">
        <f>'MD-data'!P78/('MD-data'!P35-'MD-data'!P59)</f>
        <v>-33.694794266696924</v>
      </c>
      <c r="AL35" s="242">
        <f>'MD-data'!R78/('MD-data'!R35-'MD-data'!R59)</f>
        <v>0.26926779526344435</v>
      </c>
      <c r="AM35" s="242">
        <f>'MD-data'!T78/('MD-data'!T35-'MD-data'!T59)</f>
        <v>0.77383542872570166</v>
      </c>
      <c r="AN35" s="242">
        <f>'MD-data'!V78/('MD-data'!V35-'MD-data'!V59)</f>
        <v>0.25200736491400688</v>
      </c>
      <c r="AO35" s="242">
        <f>'MD-data'!X78/('MD-data'!X35-'MD-data'!X59)</f>
        <v>-11.27825228921539</v>
      </c>
      <c r="AP35" s="242">
        <f>'MD-data'!Z78/('MD-data'!Z35-'MD-data'!Z59)</f>
        <v>0.30969152771713065</v>
      </c>
      <c r="AQ35" s="242">
        <f>'MD-data'!AB78/('MD-data'!AB35-'MD-data'!AB59)</f>
        <v>1.65222773549268</v>
      </c>
      <c r="AR35" s="242">
        <f>'MD-data'!AD78/('MD-data'!AD35-'MD-data'!AD59)</f>
        <v>2.581399269877299</v>
      </c>
      <c r="AS35" s="242">
        <f>'MD-data'!AF78/('MD-data'!AF35-'MD-data'!AF59)</f>
        <v>6.5334431399885409</v>
      </c>
      <c r="AT35" s="242">
        <f>'MD-data'!AH78/('MD-data'!AH35-'MD-data'!AH59)</f>
        <v>-31.799362961457032</v>
      </c>
      <c r="AU35" s="242">
        <f>'MD-data'!AJ78/('MD-data'!AJ35-'MD-data'!AJ59)</f>
        <v>5.3334705243207878</v>
      </c>
      <c r="AV35" s="242">
        <f>'MD-data'!AL78/('MD-data'!AL35-'MD-data'!AL59)</f>
        <v>3.5944285098776807</v>
      </c>
      <c r="AW35" s="242">
        <f>'MD-data'!AN78/('MD-data'!AN35-'MD-data'!AN59)</f>
        <v>-2.7230353510973351</v>
      </c>
      <c r="AX35" s="242">
        <f>'MD-data'!AP78/('MD-data'!AP35-'MD-data'!AP59)</f>
        <v>2.0301988903624237</v>
      </c>
      <c r="AY35" s="242">
        <f>'MD-data'!AR78/('MD-data'!AR35-'MD-data'!AR59)</f>
        <v>11.741902950562233</v>
      </c>
      <c r="AZ35" s="242">
        <f>'MD-data'!AT78/('MD-data'!AT35-'MD-data'!AT59)</f>
        <v>11.179196496491173</v>
      </c>
      <c r="BA35" s="242">
        <f>'MD-data'!AV78/('MD-data'!AV35-'MD-data'!AV59)</f>
        <v>3.8943874959164564</v>
      </c>
      <c r="BB35" s="242">
        <f>'MD-data'!AX78/('MD-data'!AX35-'MD-data'!AX59)</f>
        <v>-2.8347847020372563</v>
      </c>
      <c r="BC35" s="242">
        <f>'MD-data'!AZ78/('MD-data'!AZ35-'MD-data'!AZ59)</f>
        <v>-25.505010657317438</v>
      </c>
      <c r="BD35" s="242">
        <f>'MD-data'!BB78/('MD-data'!BB35-'MD-data'!BB59)</f>
        <v>-0.70613796698292208</v>
      </c>
      <c r="BE35" s="242">
        <f>'MD-data'!BD78/('MD-data'!BD35-'MD-data'!BD59)</f>
        <v>97.766074004113364</v>
      </c>
      <c r="BF35" s="242">
        <f>'MD-data'!BF78/('MD-data'!BF35-'MD-data'!BF59)</f>
        <v>4.9605894063890634</v>
      </c>
      <c r="BG35" s="242">
        <f>'MD-data'!BH78/('MD-data'!BH35-'MD-data'!BH59)</f>
        <v>24.782330024832739</v>
      </c>
      <c r="BH35" s="242">
        <f>'MD-data'!BJ78/('MD-data'!BJ35-'MD-data'!BJ59)</f>
        <v>-3.0580823502463765</v>
      </c>
      <c r="BI35" s="242">
        <f>'MD-data'!BK78/('MD-data'!BK35-'MD-data'!BK59)</f>
        <v>4.0662820488020515</v>
      </c>
      <c r="BJ35" s="242">
        <f>'MD-data'!BN78/('MD-data'!BN35-'MD-data'!BN59)</f>
        <v>4.6947433020731451</v>
      </c>
      <c r="BK35" s="242">
        <f>'MD-data'!BP78/('MD-data'!BP35-'MD-data'!BP59)</f>
        <v>-6.5281693698499987</v>
      </c>
      <c r="BL35" s="242">
        <f>'MD-data'!BR78/('MD-data'!BR35-'MD-data'!BR59)</f>
        <v>1.9194639496120249</v>
      </c>
      <c r="BM35" s="242">
        <f>'MD-data'!BT78/('MD-data'!BT35-'MD-data'!BT59)</f>
        <v>5.9153686124368452</v>
      </c>
      <c r="BN35" s="242">
        <f>'MD-data'!BV78/('MD-data'!BV35-'MD-data'!BV59)</f>
        <v>-3.1089183074215763</v>
      </c>
      <c r="BO35" s="242">
        <f>'MD-data'!BX78/('MD-data'!BX35-'MD-data'!BX59)</f>
        <v>1.5929945916442083</v>
      </c>
      <c r="BP35" s="242">
        <f>'MD-data'!BZ78/('MD-data'!BZ35-'MD-data'!BZ59)</f>
        <v>0.66905858049323164</v>
      </c>
      <c r="BQ35" s="242">
        <f>'MD-data'!CB78/('MD-data'!CB35-'MD-data'!CB59)</f>
        <v>2.7080616387266647</v>
      </c>
      <c r="BR35" s="242">
        <f>'MD-data'!CD78/('MD-data'!CD35-'MD-data'!CD59)</f>
        <v>-5.6801261344408553</v>
      </c>
      <c r="BS35" s="242">
        <f>'MD-data'!CF78/('MD-data'!CF35-'MD-data'!CF59)</f>
        <v>0.1984819482404149</v>
      </c>
      <c r="BT35" s="242">
        <f>'MD-data'!CH78/('MD-data'!CH35-'MD-data'!CH59)</f>
        <v>1.3704032432724329</v>
      </c>
      <c r="BU35" s="242">
        <f>'MD-data'!CJ78/('MD-data'!CJ35-'MD-data'!CJ59)</f>
        <v>2.360858073255268</v>
      </c>
      <c r="BV35" s="242">
        <f>'MD-data'!CL78/('MD-data'!CL35-'MD-data'!CL59)</f>
        <v>10.539492943493739</v>
      </c>
      <c r="BW35" s="242">
        <f>'MD-data'!CN78/('MD-data'!CN35-'MD-data'!CN59)</f>
        <v>2.8504902345966805</v>
      </c>
      <c r="BX35" s="242">
        <f>'MD-data'!CP78/('MD-data'!CP35-'MD-data'!CP59)</f>
        <v>7.1588529305000979</v>
      </c>
      <c r="BY35" s="242">
        <f>'MD-data'!CR78/('MD-data'!CR35-'MD-data'!CR59)</f>
        <v>2.8478021159290718</v>
      </c>
      <c r="BZ35" s="242">
        <f>'MD-data'!CT78/('MD-data'!CT35-'MD-data'!CT59)</f>
        <v>2.2308402017468323</v>
      </c>
      <c r="CA35" s="242">
        <f>'MD-data'!CV78/('MD-data'!CV35-'MD-data'!CV59)</f>
        <v>15.091683984571633</v>
      </c>
      <c r="CB35" s="242">
        <f>'MD-data'!CX78/('MD-data'!CX35-'MD-data'!CX59)</f>
        <v>-0.48208056104479158</v>
      </c>
      <c r="CC35" s="242">
        <f>'MD-data'!CZ78/('MD-data'!CZ35-'MD-data'!CZ59)</f>
        <v>3.3807900609962465</v>
      </c>
      <c r="CD35" s="242"/>
      <c r="CF35" s="226">
        <f t="array" ref="CF35">IFERROR(SMALL(IF($AF35:$CC35&gt;=0,$AF35:$CC35,""),CF$1),"")</f>
        <v>0.1984819482404149</v>
      </c>
      <c r="CG35" s="226">
        <f t="array" ref="CG35">IFERROR(SMALL(IF($AF35:$CC35&gt;=0,$AF35:$CC35,""),CG$1),"")</f>
        <v>0.25200736491400688</v>
      </c>
      <c r="CH35" s="226">
        <f t="array" ref="CH35">IFERROR(SMALL(IF($AF35:$CC35&gt;=0,$AF35:$CC35,""),CH$1),"")</f>
        <v>0.26926779526344435</v>
      </c>
      <c r="CI35" s="226">
        <f t="array" ref="CI35">IFERROR(SMALL(IF($AF35:$CC35&gt;=0,$AF35:$CC35,""),CI$1),"")</f>
        <v>0.30969152771713065</v>
      </c>
      <c r="CJ35" s="226">
        <f t="array" ref="CJ35">IFERROR(SMALL(IF($AF35:$CC35&gt;=0,$AF35:$CC35,""),CJ$1),"")</f>
        <v>0.57098640333040018</v>
      </c>
      <c r="CK35" s="226">
        <f t="array" ref="CK35">IFERROR(SMALL(IF($AF35:$CC35&gt;=0,$AF35:$CC35,""),CK$1),"")</f>
        <v>0.66905858049323164</v>
      </c>
      <c r="CL35" s="226">
        <f t="array" ref="CL35">IFERROR(SMALL(IF($AF35:$CC35&gt;=0,$AF35:$CC35,""),CL$1),"")</f>
        <v>0.77383542872570166</v>
      </c>
      <c r="CM35" s="226">
        <f t="array" ref="CM35">IFERROR(SMALL(IF($AF35:$CC35&gt;=0,$AF35:$CC35,""),CM$1),"")</f>
        <v>1.3704032432724329</v>
      </c>
      <c r="CN35" s="226">
        <f t="array" ref="CN35">IFERROR(SMALL(IF($AF35:$CC35&gt;=0,$AF35:$CC35,""),CN$1),"")</f>
        <v>1.5929945916442083</v>
      </c>
      <c r="CO35" s="226">
        <f t="array" ref="CO35">IFERROR(SMALL(IF($AF35:$CC35&gt;=0,$AF35:$CC35,""),CO$1),"")</f>
        <v>1.65222773549268</v>
      </c>
      <c r="CP35" s="226">
        <f t="array" ref="CP35">IFERROR(SMALL(IF($AF35:$CC35&gt;=0,$AF35:$CC35,""),CP$1),"")</f>
        <v>1.9194639496120249</v>
      </c>
      <c r="CQ35" s="226">
        <f t="array" ref="CQ35">IFERROR(SMALL(IF($AF35:$CC35&gt;=0,$AF35:$CC35,""),CQ$1),"")</f>
        <v>2.0284026536884201</v>
      </c>
      <c r="CR35" s="226">
        <f t="array" ref="CR35">IFERROR(SMALL(IF($AF35:$CC35&gt;=0,$AF35:$CC35,""),CR$1),"")</f>
        <v>2.0301988903624237</v>
      </c>
      <c r="CS35" s="226">
        <f t="array" ref="CS35">IFERROR(SMALL(IF($AF35:$CC35&gt;=0,$AF35:$CC35,""),CS$1),"")</f>
        <v>2.2308402017468323</v>
      </c>
      <c r="CT35" s="226">
        <f t="array" ref="CT35">IFERROR(SMALL(IF($AF35:$CC35&gt;=0,$AF35:$CC35,""),CT$1),"")</f>
        <v>2.360858073255268</v>
      </c>
      <c r="CU35" s="226">
        <f t="array" ref="CU35">IFERROR(SMALL(IF($AF35:$CC35&gt;=0,$AF35:$CC35,""),CU$1),"")</f>
        <v>2.5046118389877119</v>
      </c>
      <c r="CV35" s="226">
        <f t="array" ref="CV35">IFERROR(SMALL(IF($AF35:$CC35&gt;=0,$AF35:$CC35,""),CV$1),"")</f>
        <v>2.581399269877299</v>
      </c>
      <c r="CW35" s="226">
        <f t="array" ref="CW35">IFERROR(SMALL(IF($AF35:$CC35&gt;=0,$AF35:$CC35,""),CW$1),"")</f>
        <v>2.7080616387266647</v>
      </c>
      <c r="CX35" s="226">
        <f t="array" ref="CX35">IFERROR(SMALL(IF($AF35:$CC35&gt;=0,$AF35:$CC35,""),CX$1),"")</f>
        <v>2.8478021159290718</v>
      </c>
      <c r="CY35" s="226">
        <f t="array" ref="CY35">IFERROR(SMALL(IF($AF35:$CC35&gt;=0,$AF35:$CC35,""),CY$1),"")</f>
        <v>2.8504902345966805</v>
      </c>
      <c r="CZ35" s="226">
        <f t="array" ref="CZ35">IFERROR(SMALL(IF($AF35:$CC35&gt;=0,$AF35:$CC35,""),CZ$1),"")</f>
        <v>3.3807900609962465</v>
      </c>
      <c r="DA35" s="226">
        <f t="array" ref="DA35">IFERROR(SMALL(IF($AF35:$CC35&gt;=0,$AF35:$CC35,""),DA$1),"")</f>
        <v>3.5944285098776807</v>
      </c>
      <c r="DB35" s="226">
        <f t="array" ref="DB35">IFERROR(SMALL(IF($AF35:$CC35&gt;=0,$AF35:$CC35,""),DB$1),"")</f>
        <v>3.8943874959164564</v>
      </c>
      <c r="DC35" s="226">
        <f t="array" ref="DC35">IFERROR(SMALL(IF($AF35:$CC35&gt;=0,$AF35:$CC35,""),DC$1),"")</f>
        <v>4.0662820488020515</v>
      </c>
      <c r="DD35" s="226">
        <f t="array" ref="DD35">IFERROR(SMALL(IF($AF35:$CC35&gt;=0,$AF35:$CC35,""),DD$1),"")</f>
        <v>4.6947433020731451</v>
      </c>
      <c r="DE35" s="226">
        <f t="array" ref="DE35">IFERROR(SMALL(IF($AF35:$CC35&gt;=0,$AF35:$CC35,""),DE$1),"")</f>
        <v>4.9605894063890634</v>
      </c>
      <c r="DF35" s="226">
        <f t="array" ref="DF35">IFERROR(SMALL(IF($AF35:$CC35&gt;=0,$AF35:$CC35,""),DF$1),"")</f>
        <v>5.3334705243207878</v>
      </c>
      <c r="DG35" s="226">
        <f t="array" ref="DG35">IFERROR(SMALL(IF($AF35:$CC35&gt;=0,$AF35:$CC35,""),DG$1),"")</f>
        <v>5.9153686124368452</v>
      </c>
      <c r="DH35" s="226">
        <f t="array" ref="DH35">IFERROR(SMALL(IF($AF35:$CC35&gt;=0,$AF35:$CC35,""),DH$1),"")</f>
        <v>6.5334431399885409</v>
      </c>
      <c r="DI35" s="226">
        <f t="array" ref="DI35">IFERROR(SMALL(IF($AF35:$CC35&gt;=0,$AF35:$CC35,""),DI$1),"")</f>
        <v>7.1588529305000979</v>
      </c>
      <c r="DJ35" s="226">
        <f t="array" ref="DJ35">IFERROR(SMALL(IF($AF35:$CC35&gt;=0,$AF35:$CC35,""),DJ$1),"")</f>
        <v>10.539492943493739</v>
      </c>
      <c r="DK35" s="226">
        <f t="array" ref="DK35">IFERROR(SMALL(IF($AF35:$CC35&gt;=0,$AF35:$CC35,""),DK$1),"")</f>
        <v>11.179196496491173</v>
      </c>
      <c r="DL35" s="226">
        <f t="array" ref="DL35">IFERROR(SMALL(IF($AF35:$CC35&gt;=0,$AF35:$CC35,""),DL$1),"")</f>
        <v>11.741902950562233</v>
      </c>
      <c r="DM35" s="226">
        <f t="array" ref="DM35">IFERROR(SMALL(IF($AF35:$CC35&gt;=0,$AF35:$CC35,""),DM$1),"")</f>
        <v>15.091683984571633</v>
      </c>
      <c r="DN35" s="226">
        <f t="array" ref="DN35">IFERROR(SMALL(IF($AF35:$CC35&gt;=0,$AF35:$CC35,""),DN$1),"")</f>
        <v>19.054314880816833</v>
      </c>
      <c r="DO35" s="226">
        <f t="array" ref="DO35">IFERROR(SMALL(IF($AF35:$CC35&gt;=0,$AF35:$CC35,""),DO$1),"")</f>
        <v>24.782330024832739</v>
      </c>
      <c r="DP35" s="226">
        <f t="array" ref="DP35">IFERROR(SMALL(IF($AF35:$CC35&gt;=0,$AF35:$CC35,""),DP$1),"")</f>
        <v>97.766074004113364</v>
      </c>
      <c r="DQ35" s="226" t="str">
        <f t="array" ref="DQ35">IFERROR(SMALL(IF($AF35:$CC35&gt;=0,$AF35:$CC35,""),DQ$1),"")</f>
        <v/>
      </c>
      <c r="DR35" s="226" t="str">
        <f t="array" ref="DR35">IFERROR(SMALL(IF($AF35:$CC35&gt;=0,$AF35:$CC35,""),DR$1),"")</f>
        <v/>
      </c>
      <c r="DS35" s="226" t="str">
        <f t="array" ref="DS35">IFERROR(SMALL(IF($AF35:$CC35&gt;=0,$AF35:$CC35,""),DS$1),"")</f>
        <v/>
      </c>
      <c r="DT35" s="226" t="str">
        <f t="array" ref="DT35">IFERROR(SMALL(IF($AF35:$CC35&gt;=0,$AF35:$CC35,""),DT$1),"")</f>
        <v/>
      </c>
      <c r="DU35" s="226" t="str">
        <f t="array" ref="DU35">IFERROR(SMALL(IF($AF35:$CC35&gt;=0,$AF35:$CC35,""),DU$1),"")</f>
        <v/>
      </c>
      <c r="DV35" s="226" t="str">
        <f t="array" ref="DV35">IFERROR(SMALL(IF($AF35:$CC35&gt;=0,$AF35:$CC35,""),DV$1),"")</f>
        <v/>
      </c>
      <c r="DW35" s="226" t="str">
        <f t="array" ref="DW35">IFERROR(SMALL(IF($AF35:$CC35&gt;=0,$AF35:$CC35,""),DW$1),"")</f>
        <v/>
      </c>
      <c r="DX35" s="226" t="str">
        <f t="array" ref="DX35">IFERROR(SMALL(IF($AF35:$CC35&gt;=0,$AF35:$CC35,""),DX$1),"")</f>
        <v/>
      </c>
      <c r="DY35" s="226" t="str">
        <f t="array" ref="DY35">IFERROR(SMALL(IF($AF35:$CC35&gt;=0,$AF35:$CC35,""),DY$1),"")</f>
        <v/>
      </c>
      <c r="DZ35" s="226" t="str">
        <f t="array" ref="DZ35">IFERROR(SMALL(IF($AF35:$CC35&gt;=0,$AF35:$CC35,""),DZ$1),"")</f>
        <v/>
      </c>
      <c r="EA35" s="226" t="str">
        <f t="array" ref="EA35">IFERROR(SMALL(IF($AF35:$CC35&gt;=0,$AF35:$CC35,""),EA$1),"")</f>
        <v/>
      </c>
      <c r="EB35" s="226" t="str">
        <f t="array" ref="EB35">IFERROR(SMALL(IF($AF35:$CC35&gt;=0,$AF35:$CC35,""),EB$1),"")</f>
        <v/>
      </c>
      <c r="EC35" s="226" t="str">
        <f t="array" ref="EC35">IFERROR(SMALL(IF($AF35:$CC35&gt;=0,$AF35:$CC35,""),EC$1),"")</f>
        <v/>
      </c>
      <c r="EF35" s="226">
        <f t="shared" ref="EF35:EF36" si="389">IFERROR(CG35/CF35,"")</f>
        <v>1.269673978657033</v>
      </c>
      <c r="EG35" s="226">
        <f t="shared" ref="EG35:EG36" si="390">IFERROR(CH35/CG35,"")</f>
        <v>1.0684917694977973</v>
      </c>
      <c r="EH35" s="226">
        <f t="shared" ref="EH35:EH36" si="391">IFERROR(CI35/CH35,"")</f>
        <v>1.150124646039222</v>
      </c>
      <c r="EI35" s="226">
        <f t="shared" ref="EI35:EI36" si="392">IFERROR(CJ35/CI35,"")</f>
        <v>1.8437262638063958</v>
      </c>
      <c r="EJ35" s="226">
        <f t="shared" ref="EJ35:EJ36" si="393">IFERROR(CK35/CJ35,"")</f>
        <v>1.1717592163154928</v>
      </c>
      <c r="EK35" s="226">
        <f t="shared" ref="EK35:EK36" si="394">IFERROR(CL35/CK35,"")</f>
        <v>1.1566033995935427</v>
      </c>
      <c r="EL35" s="226">
        <f t="shared" ref="EL35:EL36" si="395">IFERROR(CM35/CL35,"")</f>
        <v>1.7709233674259623</v>
      </c>
      <c r="EM35" s="226">
        <f t="shared" ref="EM35:EM36" si="396">IFERROR(CN35/CM35,"")</f>
        <v>1.1624276281193278</v>
      </c>
      <c r="EN35" s="226">
        <f t="shared" ref="EN35:EN36" si="397">IFERROR(CO35/CN35,"")</f>
        <v>1.0371835184872373</v>
      </c>
      <c r="EO35" s="226">
        <f t="shared" ref="EO35:EO36" si="398">IFERROR(CP35/CO35,"")</f>
        <v>1.1617429658022642</v>
      </c>
      <c r="EP35" s="226">
        <f t="shared" ref="EP35:EP36" si="399">IFERROR(CQ35/CP35,"")</f>
        <v>1.0567547538980426</v>
      </c>
      <c r="EQ35" s="226">
        <f t="shared" ref="EQ35:EQ36" si="400">IFERROR(CR35/CQ35,"")</f>
        <v>1.0008855424591057</v>
      </c>
      <c r="ER35" s="226">
        <f t="shared" ref="ER35:ER36" si="401">IFERROR(CS35/CR35,"")</f>
        <v>1.0988284016590073</v>
      </c>
      <c r="ES35" s="226">
        <f t="shared" ref="ES35:ES36" si="402">IFERROR(CT35/CS35,"")</f>
        <v>1.0582820192170765</v>
      </c>
      <c r="ET35" s="226">
        <f t="shared" ref="ET35:ET36" si="403">IFERROR(CU35/CT35,"")</f>
        <v>1.0608904734091995</v>
      </c>
      <c r="EU35" s="226">
        <f t="shared" ref="EU35:EU36" si="404">IFERROR(CV35/CU35,"")</f>
        <v>1.0306584156851315</v>
      </c>
      <c r="EV35" s="226">
        <f t="shared" ref="EV35:EV36" si="405">IFERROR(CW35/CV35,"")</f>
        <v>1.04906732961747</v>
      </c>
      <c r="EW35" s="226">
        <f t="shared" ref="EW35:EW36" si="406">IFERROR(CX35/CW35,"")</f>
        <v>1.0516016604659388</v>
      </c>
      <c r="EX35" s="226">
        <f t="shared" ref="EX35:EX36" si="407">IFERROR(CY35/CX35,"")</f>
        <v>1.0009439274774652</v>
      </c>
      <c r="EY35" s="226">
        <f t="shared" ref="EY35:EY36" si="408">IFERROR(CZ35/CY35,"")</f>
        <v>1.1860381137122538</v>
      </c>
      <c r="EZ35" s="226">
        <f t="shared" ref="EZ35:EZ36" si="409">IFERROR(DA35/CZ35,"")</f>
        <v>1.0631918708428998</v>
      </c>
      <c r="FA35" s="226">
        <f t="shared" ref="FA35:FA36" si="410">IFERROR(DB35/DA35,"")</f>
        <v>1.0834510924934164</v>
      </c>
      <c r="FB35" s="226">
        <f t="shared" ref="FB35:FB36" si="411">IFERROR(DC35/DB35,"")</f>
        <v>1.0441390470429146</v>
      </c>
      <c r="FC35" s="226">
        <f t="shared" ref="FC35:FC36" si="412">IFERROR(DD35/DC35,"")</f>
        <v>1.1545542699027092</v>
      </c>
      <c r="FD35" s="226">
        <f t="shared" ref="FD35:FD36" si="413">IFERROR(DE35/DD35,"")</f>
        <v>1.0566263344363309</v>
      </c>
      <c r="FE35" s="226">
        <f t="shared" ref="FE35:FE36" si="414">IFERROR(DF35/DE35,"")</f>
        <v>1.0751687123008944</v>
      </c>
      <c r="FF35" s="226">
        <f t="shared" ref="FF35:FF36" si="415">IFERROR(DG35/DF35,"")</f>
        <v>1.1091030850292665</v>
      </c>
      <c r="FG35" s="226">
        <f t="shared" ref="FG35:FG36" si="416">IFERROR(DH35/DG35,"")</f>
        <v>1.1044862236061193</v>
      </c>
      <c r="FH35" s="226">
        <f t="shared" ref="FH35:FH36" si="417">IFERROR(DI35/DH35,"")</f>
        <v>1.0957243794904525</v>
      </c>
      <c r="FI35" s="226">
        <f t="shared" ref="FI35:FI36" si="418">IFERROR(DJ35/DI35,"")</f>
        <v>1.472232080448324</v>
      </c>
      <c r="FJ35" s="226">
        <f t="shared" ref="FJ35:FJ36" si="419">IFERROR(DK35/DJ35,"")</f>
        <v>1.0606958566628517</v>
      </c>
      <c r="FK35" s="226">
        <f t="shared" ref="FK35:FK36" si="420">IFERROR(DL35/DK35,"")</f>
        <v>1.0503351429816694</v>
      </c>
      <c r="FL35" s="226">
        <f t="shared" ref="FL35:FL36" si="421">IFERROR(DM35/DL35,"")</f>
        <v>1.2852843400352754</v>
      </c>
      <c r="FM35" s="226">
        <f t="shared" ref="FM35:FM36" si="422">IFERROR(DN35/DM35,"")</f>
        <v>1.2625704924842207</v>
      </c>
      <c r="FN35" s="226">
        <f t="shared" ref="FN35:FN36" si="423">IFERROR(DO35/DN35,"")</f>
        <v>1.3006151194542637</v>
      </c>
      <c r="FO35" s="226">
        <f t="shared" ref="FO35:FO36" si="424">IFERROR(DP35/DO35,"")</f>
        <v>3.9449912056755125</v>
      </c>
      <c r="FP35" s="226" t="str">
        <f t="shared" ref="FP35:FP36" si="425">IFERROR(DQ35/DP35,"")</f>
        <v/>
      </c>
      <c r="FQ35" s="226" t="str">
        <f t="shared" ref="FQ35:FQ36" si="426">IFERROR(DR35/DQ35,"")</f>
        <v/>
      </c>
      <c r="FR35" s="226" t="str">
        <f t="shared" ref="FR35:FR36" si="427">IFERROR(DS35/DR35,"")</f>
        <v/>
      </c>
      <c r="FS35" s="226" t="str">
        <f t="shared" ref="FS35:FS36" si="428">IFERROR(DT35/DS35,"")</f>
        <v/>
      </c>
      <c r="FT35" s="226" t="str">
        <f t="shared" ref="FT35:FT36" si="429">IFERROR(DU35/DT35,"")</f>
        <v/>
      </c>
      <c r="FU35" s="226" t="str">
        <f t="shared" ref="FU35:FU36" si="430">IFERROR(DV35/DU35,"")</f>
        <v/>
      </c>
      <c r="FV35" s="226" t="str">
        <f t="shared" ref="FV35:FV36" si="431">IFERROR(DW35/DV35,"")</f>
        <v/>
      </c>
      <c r="FW35" s="226" t="str">
        <f t="shared" ref="FW35:FW36" si="432">IFERROR(DX35/DW35,"")</f>
        <v/>
      </c>
      <c r="FX35" s="226" t="str">
        <f t="shared" ref="FX35:FX36" si="433">IFERROR(DY35/DX35,"")</f>
        <v/>
      </c>
      <c r="FY35" s="226" t="str">
        <f t="shared" ref="FY35:FY36" si="434">IFERROR(DZ35/DY35,"")</f>
        <v/>
      </c>
      <c r="FZ35" s="226" t="str">
        <f t="shared" ref="FZ35:FZ36" si="435">IFERROR(EA35/DZ35,"")</f>
        <v/>
      </c>
      <c r="GA35" s="226" t="str">
        <f t="shared" ref="GA35:GA36" si="436">IFERROR(EB35/EA35,"")</f>
        <v/>
      </c>
      <c r="GB35" s="226" t="str">
        <f t="shared" ref="GB35:GB36" si="437">IFERROR(EC35/EB35,"")</f>
        <v/>
      </c>
    </row>
    <row r="36" spans="1:184" ht="30.75" thickBot="1" x14ac:dyDescent="0.3">
      <c r="A36" s="631"/>
      <c r="B36" s="634"/>
      <c r="C36" s="245">
        <v>0.05</v>
      </c>
      <c r="D36" s="229" t="s">
        <v>206</v>
      </c>
      <c r="E36" s="227" t="s">
        <v>207</v>
      </c>
      <c r="G36" s="595" t="s">
        <v>386</v>
      </c>
      <c r="H36" s="224" t="s">
        <v>388</v>
      </c>
      <c r="J36" s="646"/>
      <c r="L36" s="226">
        <f t="shared" si="386"/>
        <v>0</v>
      </c>
      <c r="M36" s="226">
        <f t="shared" si="386"/>
        <v>4.2940877572595326</v>
      </c>
      <c r="N36" s="226">
        <f t="shared" si="386"/>
        <v>15.379473905148243</v>
      </c>
      <c r="O36" s="226">
        <f t="shared" si="386"/>
        <v>32.777076806366843</v>
      </c>
      <c r="P36" s="226">
        <f t="shared" si="386"/>
        <v>3872.6608017262843</v>
      </c>
      <c r="Q36" s="226"/>
      <c r="R36" s="573">
        <f t="shared" si="387"/>
        <v>7.1595417551412325E-8</v>
      </c>
      <c r="S36" s="563">
        <f t="shared" si="388"/>
        <v>8.0191032242014462</v>
      </c>
      <c r="T36" s="563">
        <f t="array" ref="T36">((AVERAGE(IF(AF36:CC36&lt;AC36,AF36:CC36))-MIN(IF(AF36:CC36&lt;AC36,AF36:CC36)))/(MAX(IF(AF36:CC36&lt;AC36,AF36:CC36))-MIN(IF(AF36:CC36&lt;AC36,AF36:CC36))))^(-3/2)</f>
        <v>8.0188356510010852</v>
      </c>
      <c r="U36" s="570">
        <v>27.608325847341447</v>
      </c>
      <c r="V36" s="570">
        <f>AVERAGE(AF36:CC36)</f>
        <v>129.40247482016065</v>
      </c>
      <c r="W36" s="226"/>
      <c r="X36" s="255"/>
      <c r="Y36" s="565">
        <v>0</v>
      </c>
      <c r="Z36" s="566">
        <f t="array" ref="Z36">AA36/AVERAGE(IF($EF36:$GB36&lt;=QUARTILE($EF36:$GB36,3),$EF36:$GB36,""))^(COUNT($AF36:$CC36)/4)</f>
        <v>8.1013956036067523</v>
      </c>
      <c r="AA36" s="566">
        <f>N36</f>
        <v>15.379473905148243</v>
      </c>
      <c r="AB36" s="566">
        <f t="array" ref="AB36">AA36*AVERAGE(IF($EF36:$GB36&lt;=QUARTILE($EF36:$GB36,3),$EF36:$GB36,""))^(COUNT($AF36:$CC36)/4)</f>
        <v>29.195984145476498</v>
      </c>
      <c r="AC36" s="565">
        <f t="array" ref="AC36">AB36*(AVERAGE(IF($EF36:$GB36&lt;=QUARTILE($EF36:$GB36,3)+X$1*(QUARTILE($EF36:$GB36,3)-QUARTILE($EF36:$GB36,1)),$EF36:$GB36,"")))^(COUNT($AF36:$CC36)/4)</f>
        <v>98.091960842394769</v>
      </c>
      <c r="AF36" s="242">
        <f>'MD-data'!F78/('MD-data'!F26+'MD-data'!F27)</f>
        <v>1.4764192941968244</v>
      </c>
      <c r="AG36" s="242">
        <f>'MD-data'!H78/('MD-data'!H26+'MD-data'!H27)</f>
        <v>45.579750813541395</v>
      </c>
      <c r="AH36" s="242">
        <f>'MD-data'!J78/('MD-data'!J26+'MD-data'!J27)</f>
        <v>2.3608352843805287</v>
      </c>
      <c r="AI36" s="242">
        <f>'MD-data'!L78/('MD-data'!L26+'MD-data'!L27)</f>
        <v>7.4747803039533656</v>
      </c>
      <c r="AJ36" s="242">
        <f>'MD-data'!N78/('MD-data'!N26+'MD-data'!N27)</f>
        <v>67.156051848949815</v>
      </c>
      <c r="AK36" s="242">
        <f>'MD-data'!P78/('MD-data'!P26+'MD-data'!P27)</f>
        <v>15.229916838317621</v>
      </c>
      <c r="AL36" s="242">
        <f>'MD-data'!R78/('MD-data'!R26+'MD-data'!R27)</f>
        <v>13.841899101902447</v>
      </c>
      <c r="AM36" s="242">
        <f>'MD-data'!T78/('MD-data'!T26+'MD-data'!T27)</f>
        <v>14.419551955603616</v>
      </c>
      <c r="AN36" s="242">
        <f>'MD-data'!V78/('MD-data'!V26+'MD-data'!V27)</f>
        <v>21.470950494104169</v>
      </c>
      <c r="AO36" s="242">
        <f>'MD-data'!X78/('MD-data'!X26+'MD-data'!X27)</f>
        <v>23.576953760593657</v>
      </c>
      <c r="AP36" s="242">
        <f>'MD-data'!Z78/('MD-data'!Z26+'MD-data'!Z27)</f>
        <v>4.2037724841026565</v>
      </c>
      <c r="AQ36" s="242">
        <f>'MD-data'!AB78/('MD-data'!AB26+'MD-data'!AB27)</f>
        <v>3.2236742527674092</v>
      </c>
      <c r="AR36" s="242">
        <f>'MD-data'!AD78/('MD-data'!AD26+'MD-data'!AD27)</f>
        <v>12.967480901648067</v>
      </c>
      <c r="AS36" s="242">
        <f>'MD-data'!AF78/('MD-data'!AF26+'MD-data'!AF27)</f>
        <v>7.8103423888447665</v>
      </c>
      <c r="AT36" s="242">
        <f>'MD-data'!AH78/('MD-data'!AH26+'MD-data'!AH27)</f>
        <v>33.666263444771303</v>
      </c>
      <c r="AU36" s="242">
        <f>'MD-data'!AJ78/('MD-data'!AJ26+'MD-data'!AJ27)</f>
        <v>14.189148974487244</v>
      </c>
      <c r="AV36" s="242">
        <f>'MD-data'!AL78/('MD-data'!AL26+'MD-data'!AL27)</f>
        <v>7.103781055157059</v>
      </c>
      <c r="AW36" s="242">
        <f>'MD-data'!AN78/('MD-data'!AN26+'MD-data'!AN27)</f>
        <v>42.687422357724522</v>
      </c>
      <c r="AX36" s="242">
        <f>'MD-data'!AP78/('MD-data'!AP26+'MD-data'!AP27)</f>
        <v>2.2657864977528606</v>
      </c>
      <c r="AY36" s="242">
        <f>'MD-data'!AR78/('MD-data'!AR26+'MD-data'!AR27)</f>
        <v>920.52769388935292</v>
      </c>
      <c r="AZ36" s="242">
        <f>'MD-data'!AT78/('MD-data'!AT26+'MD-data'!AT27)</f>
        <v>7.801716473232295</v>
      </c>
      <c r="BA36" s="242">
        <f>'MD-data'!AV78/('MD-data'!AV26+'MD-data'!AV27)</f>
        <v>16.1979680628171</v>
      </c>
      <c r="BB36" s="242">
        <f>'MD-data'!AX78/('MD-data'!AX26+'MD-data'!AX27)</f>
        <v>16.529699119513729</v>
      </c>
      <c r="BC36" s="242">
        <f>'MD-data'!AZ78/('MD-data'!AZ26+'MD-data'!AZ27)</f>
        <v>15.529030971978866</v>
      </c>
      <c r="BD36" s="242">
        <f>'MD-data'!BB78/('MD-data'!BB26+'MD-data'!BB27)</f>
        <v>1.0038272379332738</v>
      </c>
      <c r="BE36" s="242">
        <f>'MD-data'!BD78/('MD-data'!BD26+'MD-data'!BD27)</f>
        <v>16.454356729575412</v>
      </c>
      <c r="BF36" s="242">
        <f>'MD-data'!BF78/('MD-data'!BF26+'MD-data'!BF27)</f>
        <v>3872.6608017262843</v>
      </c>
      <c r="BG36" s="242">
        <f>'MD-data'!BH78/('MD-data'!BH26+'MD-data'!BH27)</f>
        <v>2.8248061389221109</v>
      </c>
      <c r="BH36" s="242">
        <v>0</v>
      </c>
      <c r="BI36" s="242">
        <f>'MD-data'!BK78/('MD-data'!BK26+'MD-data'!BK27)</f>
        <v>138.22680723540952</v>
      </c>
      <c r="BJ36" s="242">
        <f>'MD-data'!BN78/('MD-data'!BN26+'MD-data'!BN27)</f>
        <v>622.10419313850059</v>
      </c>
      <c r="BK36" s="242">
        <f>'MD-data'!BP78/('MD-data'!BP26+'MD-data'!BP27)</f>
        <v>34.793616644561169</v>
      </c>
      <c r="BL36" s="242">
        <v>0</v>
      </c>
      <c r="BM36" s="242">
        <f>'MD-data'!BT78/('MD-data'!BT26+'MD-data'!BT27)</f>
        <v>68.429142019313417</v>
      </c>
      <c r="BN36" s="242">
        <f>'MD-data'!BV78/('MD-data'!BV26+'MD-data'!BV27)</f>
        <v>30.242836110163783</v>
      </c>
      <c r="BO36" s="242">
        <f>'MD-data'!BX78/('MD-data'!BX26+'MD-data'!BX27)</f>
        <v>4.5650335767301602</v>
      </c>
      <c r="BP36" s="242">
        <f>'MD-data'!BZ78/('MD-data'!BZ26+'MD-data'!BZ27)</f>
        <v>35.717002064345799</v>
      </c>
      <c r="BQ36" s="242">
        <f>'MD-data'!CB78/('MD-data'!CB26+'MD-data'!CB27)</f>
        <v>31.572636556726646</v>
      </c>
      <c r="BR36" s="242">
        <f>'MD-data'!CD78/('MD-data'!CD26+'MD-data'!CD27)</f>
        <v>24.11211596852656</v>
      </c>
      <c r="BS36" s="242">
        <f>'MD-data'!CF78/('MD-data'!CF26+'MD-data'!CF27)</f>
        <v>13.179126678484829</v>
      </c>
      <c r="BT36" s="242">
        <f>'MD-data'!CH78/('MD-data'!CH26+'MD-data'!CH27)</f>
        <v>147.98238213399503</v>
      </c>
      <c r="BU36" s="242">
        <f>'MD-data'!CJ78/('MD-data'!CJ26+'MD-data'!CJ27)</f>
        <v>13.849926568530346</v>
      </c>
      <c r="BV36" s="242">
        <f>'MD-data'!CL78/('MD-data'!CL26+'MD-data'!CL27)</f>
        <v>3.8832000639160569</v>
      </c>
      <c r="BW36" s="242">
        <f>'MD-data'!CN78/('MD-data'!CN26+'MD-data'!CN27)</f>
        <v>17.368895367395144</v>
      </c>
      <c r="BX36" s="242">
        <f>'MD-data'!CP78/('MD-data'!CP26+'MD-data'!CP27)</f>
        <v>2.3119931223960997</v>
      </c>
      <c r="BY36" s="242">
        <f>'MD-data'!CR78/('MD-data'!CR26+'MD-data'!CR27)</f>
        <v>1.7351939786273958</v>
      </c>
      <c r="BZ36" s="242">
        <f>'MD-data'!CT78/('MD-data'!CT26+'MD-data'!CT27)</f>
        <v>19.981085299788816</v>
      </c>
      <c r="CA36" s="242">
        <f>'MD-data'!CV78/('MD-data'!CV26+'MD-data'!CV27)</f>
        <v>33.178556889580243</v>
      </c>
      <c r="CB36" s="242">
        <v>0</v>
      </c>
      <c r="CC36" s="242">
        <f>'MD-data'!CZ78/('MD-data'!CZ26+'MD-data'!CZ27)</f>
        <v>16.655315188629686</v>
      </c>
      <c r="CD36" s="242"/>
      <c r="CF36" s="226">
        <f t="shared" ref="CF36:EC36" si="438">SMALL($AF36:$CC36,CF$1)</f>
        <v>0</v>
      </c>
      <c r="CG36" s="226">
        <f t="shared" si="438"/>
        <v>0</v>
      </c>
      <c r="CH36" s="226">
        <f t="shared" si="438"/>
        <v>0</v>
      </c>
      <c r="CI36" s="226">
        <f t="shared" si="438"/>
        <v>1.0038272379332738</v>
      </c>
      <c r="CJ36" s="226">
        <f t="shared" si="438"/>
        <v>1.4764192941968244</v>
      </c>
      <c r="CK36" s="226">
        <f t="shared" si="438"/>
        <v>1.7351939786273958</v>
      </c>
      <c r="CL36" s="226">
        <f t="shared" si="438"/>
        <v>2.2657864977528606</v>
      </c>
      <c r="CM36" s="226">
        <f t="shared" si="438"/>
        <v>2.3119931223960997</v>
      </c>
      <c r="CN36" s="226">
        <f t="shared" si="438"/>
        <v>2.3608352843805287</v>
      </c>
      <c r="CO36" s="226">
        <f t="shared" si="438"/>
        <v>2.8248061389221109</v>
      </c>
      <c r="CP36" s="226">
        <f t="shared" si="438"/>
        <v>3.2236742527674092</v>
      </c>
      <c r="CQ36" s="226">
        <f t="shared" si="438"/>
        <v>3.8832000639160569</v>
      </c>
      <c r="CR36" s="226">
        <f t="shared" si="438"/>
        <v>4.2037724841026565</v>
      </c>
      <c r="CS36" s="226">
        <f t="shared" si="438"/>
        <v>4.5650335767301602</v>
      </c>
      <c r="CT36" s="226">
        <f t="shared" si="438"/>
        <v>7.103781055157059</v>
      </c>
      <c r="CU36" s="226">
        <f t="shared" si="438"/>
        <v>7.4747803039533656</v>
      </c>
      <c r="CV36" s="226">
        <f t="shared" si="438"/>
        <v>7.801716473232295</v>
      </c>
      <c r="CW36" s="226">
        <f t="shared" si="438"/>
        <v>7.8103423888447665</v>
      </c>
      <c r="CX36" s="226">
        <f t="shared" si="438"/>
        <v>12.967480901648067</v>
      </c>
      <c r="CY36" s="226">
        <f t="shared" si="438"/>
        <v>13.179126678484829</v>
      </c>
      <c r="CZ36" s="226">
        <f t="shared" si="438"/>
        <v>13.841899101902447</v>
      </c>
      <c r="DA36" s="226">
        <f t="shared" si="438"/>
        <v>13.849926568530346</v>
      </c>
      <c r="DB36" s="226">
        <f t="shared" si="438"/>
        <v>14.189148974487244</v>
      </c>
      <c r="DC36" s="226">
        <f t="shared" si="438"/>
        <v>14.419551955603616</v>
      </c>
      <c r="DD36" s="226">
        <f t="shared" si="438"/>
        <v>15.229916838317621</v>
      </c>
      <c r="DE36" s="226">
        <f t="shared" si="438"/>
        <v>15.529030971978866</v>
      </c>
      <c r="DF36" s="226">
        <f t="shared" si="438"/>
        <v>16.1979680628171</v>
      </c>
      <c r="DG36" s="226">
        <f t="shared" si="438"/>
        <v>16.454356729575412</v>
      </c>
      <c r="DH36" s="226">
        <f t="shared" si="438"/>
        <v>16.529699119513729</v>
      </c>
      <c r="DI36" s="226">
        <f t="shared" si="438"/>
        <v>16.655315188629686</v>
      </c>
      <c r="DJ36" s="226">
        <f t="shared" si="438"/>
        <v>17.368895367395144</v>
      </c>
      <c r="DK36" s="226">
        <f t="shared" si="438"/>
        <v>19.981085299788816</v>
      </c>
      <c r="DL36" s="226">
        <f t="shared" si="438"/>
        <v>21.470950494104169</v>
      </c>
      <c r="DM36" s="226">
        <f t="shared" si="438"/>
        <v>23.576953760593657</v>
      </c>
      <c r="DN36" s="226">
        <f t="shared" si="438"/>
        <v>24.11211596852656</v>
      </c>
      <c r="DO36" s="226">
        <f t="shared" si="438"/>
        <v>30.242836110163783</v>
      </c>
      <c r="DP36" s="226">
        <f t="shared" si="438"/>
        <v>31.572636556726646</v>
      </c>
      <c r="DQ36" s="226">
        <f t="shared" si="438"/>
        <v>33.178556889580243</v>
      </c>
      <c r="DR36" s="226">
        <f t="shared" si="438"/>
        <v>33.666263444771303</v>
      </c>
      <c r="DS36" s="226">
        <f t="shared" si="438"/>
        <v>34.793616644561169</v>
      </c>
      <c r="DT36" s="226">
        <f t="shared" si="438"/>
        <v>35.717002064345799</v>
      </c>
      <c r="DU36" s="226">
        <f t="shared" si="438"/>
        <v>42.687422357724522</v>
      </c>
      <c r="DV36" s="226">
        <f t="shared" si="438"/>
        <v>45.579750813541395</v>
      </c>
      <c r="DW36" s="226">
        <f t="shared" si="438"/>
        <v>67.156051848949815</v>
      </c>
      <c r="DX36" s="226">
        <f t="shared" si="438"/>
        <v>68.429142019313417</v>
      </c>
      <c r="DY36" s="226">
        <f t="shared" si="438"/>
        <v>138.22680723540952</v>
      </c>
      <c r="DZ36" s="226">
        <f t="shared" si="438"/>
        <v>147.98238213399503</v>
      </c>
      <c r="EA36" s="226">
        <f t="shared" si="438"/>
        <v>622.10419313850059</v>
      </c>
      <c r="EB36" s="226">
        <f t="shared" si="438"/>
        <v>920.52769388935292</v>
      </c>
      <c r="EC36" s="226">
        <f t="shared" si="438"/>
        <v>3872.6608017262843</v>
      </c>
      <c r="EF36" s="226" t="str">
        <f t="shared" si="389"/>
        <v/>
      </c>
      <c r="EG36" s="226" t="str">
        <f t="shared" si="390"/>
        <v/>
      </c>
      <c r="EH36" s="226" t="str">
        <f t="shared" si="391"/>
        <v/>
      </c>
      <c r="EI36" s="226">
        <f t="shared" si="392"/>
        <v>1.4707902300365401</v>
      </c>
      <c r="EJ36" s="226">
        <f t="shared" si="393"/>
        <v>1.1752718116375913</v>
      </c>
      <c r="EK36" s="226">
        <f t="shared" si="394"/>
        <v>1.3057828263933833</v>
      </c>
      <c r="EL36" s="226">
        <f t="shared" si="395"/>
        <v>1.0203931944554641</v>
      </c>
      <c r="EM36" s="226">
        <f t="shared" si="396"/>
        <v>1.0211255654315312</v>
      </c>
      <c r="EN36" s="226">
        <f t="shared" si="397"/>
        <v>1.1965282616755391</v>
      </c>
      <c r="EO36" s="226">
        <f t="shared" si="398"/>
        <v>1.1412019424446231</v>
      </c>
      <c r="EP36" s="226">
        <f t="shared" si="399"/>
        <v>1.2045882305206452</v>
      </c>
      <c r="EQ36" s="226">
        <f t="shared" si="400"/>
        <v>1.0825536709183392</v>
      </c>
      <c r="ER36" s="226">
        <f t="shared" si="401"/>
        <v>1.0859373560281103</v>
      </c>
      <c r="ES36" s="226">
        <f t="shared" si="402"/>
        <v>1.5561289825704527</v>
      </c>
      <c r="ET36" s="226">
        <f t="shared" si="403"/>
        <v>1.0522256029452057</v>
      </c>
      <c r="EU36" s="226">
        <f t="shared" si="404"/>
        <v>1.0437385656814575</v>
      </c>
      <c r="EV36" s="226">
        <f t="shared" si="405"/>
        <v>1.0011056433083754</v>
      </c>
      <c r="EW36" s="226">
        <f t="shared" si="406"/>
        <v>1.6602960864006495</v>
      </c>
      <c r="EX36" s="226">
        <f t="shared" si="407"/>
        <v>1.0163212715285252</v>
      </c>
      <c r="EY36" s="226">
        <f t="shared" si="408"/>
        <v>1.0502895555666527</v>
      </c>
      <c r="EZ36" s="226">
        <f t="shared" si="409"/>
        <v>1.0005799396866573</v>
      </c>
      <c r="FA36" s="226">
        <f t="shared" si="410"/>
        <v>1.0244927223461007</v>
      </c>
      <c r="FB36" s="226">
        <f t="shared" si="411"/>
        <v>1.0162379704047542</v>
      </c>
      <c r="FC36" s="226">
        <f t="shared" si="412"/>
        <v>1.056199033451874</v>
      </c>
      <c r="FD36" s="226">
        <f t="shared" si="413"/>
        <v>1.0196399059060317</v>
      </c>
      <c r="FE36" s="226">
        <f t="shared" si="414"/>
        <v>1.0430765507548596</v>
      </c>
      <c r="FF36" s="226">
        <f t="shared" si="415"/>
        <v>1.0158284462448632</v>
      </c>
      <c r="FG36" s="226">
        <f t="shared" si="416"/>
        <v>1.0045788717952671</v>
      </c>
      <c r="FH36" s="226">
        <f t="shared" si="417"/>
        <v>1.0075994165536664</v>
      </c>
      <c r="FI36" s="226">
        <f t="shared" si="418"/>
        <v>1.0428439912834917</v>
      </c>
      <c r="FJ36" s="226">
        <f t="shared" si="419"/>
        <v>1.1503947071554861</v>
      </c>
      <c r="FK36" s="226">
        <f t="shared" si="420"/>
        <v>1.0745637772904708</v>
      </c>
      <c r="FL36" s="226">
        <f t="shared" si="421"/>
        <v>1.0980861684287235</v>
      </c>
      <c r="FM36" s="226">
        <f t="shared" si="422"/>
        <v>1.0226985306654572</v>
      </c>
      <c r="FN36" s="226">
        <f t="shared" si="423"/>
        <v>1.2542589024389077</v>
      </c>
      <c r="FO36" s="226">
        <f t="shared" si="424"/>
        <v>1.0439707586192934</v>
      </c>
      <c r="FP36" s="226">
        <f t="shared" si="425"/>
        <v>1.0508643087177163</v>
      </c>
      <c r="FQ36" s="226">
        <f t="shared" si="426"/>
        <v>1.0146994505160116</v>
      </c>
      <c r="FR36" s="226">
        <f t="shared" si="427"/>
        <v>1.0334861396673636</v>
      </c>
      <c r="FS36" s="226">
        <f t="shared" si="428"/>
        <v>1.0265389318166489</v>
      </c>
      <c r="FT36" s="226">
        <f t="shared" si="429"/>
        <v>1.195156925007905</v>
      </c>
      <c r="FU36" s="226">
        <f t="shared" si="430"/>
        <v>1.0677559875032718</v>
      </c>
      <c r="FV36" s="226">
        <f t="shared" si="431"/>
        <v>1.473374703685266</v>
      </c>
      <c r="FW36" s="226">
        <f t="shared" si="432"/>
        <v>1.0189571920223526</v>
      </c>
      <c r="FX36" s="226">
        <f t="shared" si="433"/>
        <v>2.0199991283888439</v>
      </c>
      <c r="FY36" s="226">
        <f t="shared" si="434"/>
        <v>1.0705765769585571</v>
      </c>
      <c r="FZ36" s="226">
        <f t="shared" si="435"/>
        <v>4.2039071419677372</v>
      </c>
      <c r="GA36" s="226">
        <f t="shared" si="436"/>
        <v>1.4797001917722383</v>
      </c>
      <c r="GB36" s="226">
        <f t="shared" si="437"/>
        <v>4.2070008620422632</v>
      </c>
    </row>
    <row r="37" spans="1:184" ht="15.75" customHeight="1" thickBot="1" x14ac:dyDescent="0.3">
      <c r="A37" s="632"/>
      <c r="B37" s="635"/>
      <c r="C37" s="636" t="s">
        <v>398</v>
      </c>
      <c r="D37" s="637"/>
      <c r="E37" s="638"/>
      <c r="J37" s="646"/>
    </row>
    <row r="38" spans="1:184" ht="15.75" customHeight="1" thickBot="1" x14ac:dyDescent="0.3">
      <c r="A38" s="248">
        <v>1</v>
      </c>
      <c r="B38" s="642" t="s">
        <v>394</v>
      </c>
      <c r="C38" s="643"/>
      <c r="D38" s="643"/>
      <c r="E38" s="644"/>
      <c r="J38" s="646"/>
      <c r="R38" s="574">
        <f>SUM(R24:R36)</f>
        <v>7.3260572151339663E-6</v>
      </c>
    </row>
    <row r="39" spans="1:184" ht="15.75" customHeight="1" x14ac:dyDescent="0.25"/>
    <row r="40" spans="1:184" ht="15.75" customHeight="1" x14ac:dyDescent="0.25"/>
    <row r="41" spans="1:184" ht="15.75" customHeight="1" x14ac:dyDescent="0.25"/>
    <row r="42" spans="1:184" ht="15.75" customHeight="1" x14ac:dyDescent="0.25"/>
    <row r="43" spans="1:184" ht="15.75" customHeight="1" x14ac:dyDescent="0.25"/>
    <row r="44" spans="1:184" ht="15.75" customHeight="1" x14ac:dyDescent="0.25"/>
    <row r="45" spans="1:184" ht="15.75" customHeight="1" x14ac:dyDescent="0.25"/>
    <row r="46" spans="1:184" ht="15.75" customHeight="1" x14ac:dyDescent="0.25"/>
    <row r="47" spans="1:184" ht="15.75" customHeight="1" x14ac:dyDescent="0.25"/>
    <row r="48" spans="1:18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mergeCells count="30">
    <mergeCell ref="B21:E21"/>
    <mergeCell ref="C37:E37"/>
    <mergeCell ref="B38:E38"/>
    <mergeCell ref="Y1:AC1"/>
    <mergeCell ref="L1:P1"/>
    <mergeCell ref="J7:J21"/>
    <mergeCell ref="J24:J38"/>
    <mergeCell ref="A24:A27"/>
    <mergeCell ref="B24:B27"/>
    <mergeCell ref="C27:E27"/>
    <mergeCell ref="A28:A31"/>
    <mergeCell ref="B28:B31"/>
    <mergeCell ref="C31:E31"/>
    <mergeCell ref="A32:A34"/>
    <mergeCell ref="B32:B34"/>
    <mergeCell ref="C34:E34"/>
    <mergeCell ref="A35:A37"/>
    <mergeCell ref="B35:B37"/>
    <mergeCell ref="A18:A20"/>
    <mergeCell ref="B18:B20"/>
    <mergeCell ref="C10:E10"/>
    <mergeCell ref="C14:E14"/>
    <mergeCell ref="C17:E17"/>
    <mergeCell ref="C20:E20"/>
    <mergeCell ref="A7:A10"/>
    <mergeCell ref="B7:B10"/>
    <mergeCell ref="A11:A14"/>
    <mergeCell ref="B11:B14"/>
    <mergeCell ref="A15:A17"/>
    <mergeCell ref="B15:B17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2:BT1006"/>
  <sheetViews>
    <sheetView zoomScaleNormal="100" workbookViewId="0">
      <pane xSplit="14" ySplit="3" topLeftCell="O16" activePane="bottomRight" state="frozen"/>
      <selection pane="topRight" activeCell="K1" sqref="K1"/>
      <selection pane="bottomLeft" activeCell="A3" sqref="A3"/>
      <selection pane="bottomRight" activeCell="W33" sqref="W33"/>
    </sheetView>
  </sheetViews>
  <sheetFormatPr defaultColWidth="14.42578125" defaultRowHeight="15" customHeight="1" x14ac:dyDescent="0.25"/>
  <cols>
    <col min="1" max="1" width="5.5703125" style="224" bestFit="1" customWidth="1"/>
    <col min="2" max="2" width="11.5703125" style="224" bestFit="1" customWidth="1"/>
    <col min="3" max="3" width="4.5703125" style="230" bestFit="1" customWidth="1"/>
    <col min="4" max="4" width="23.85546875" style="224" bestFit="1" customWidth="1"/>
    <col min="5" max="5" width="37.28515625" style="228" bestFit="1" customWidth="1"/>
    <col min="6" max="9" width="3.7109375" style="281" customWidth="1"/>
    <col min="10" max="10" width="3.7109375" style="224" customWidth="1"/>
    <col min="11" max="11" width="13.7109375" style="239" bestFit="1" customWidth="1"/>
    <col min="12" max="12" width="11.42578125" style="224" bestFit="1" customWidth="1"/>
    <col min="13" max="15" width="3.7109375" style="224" customWidth="1"/>
    <col min="16" max="16" width="6.7109375" style="224" customWidth="1"/>
    <col min="17" max="17" width="6.7109375" style="224" hidden="1" customWidth="1"/>
    <col min="18" max="18" width="6.7109375" style="224" customWidth="1"/>
    <col min="19" max="19" width="6.7109375" style="224" hidden="1" customWidth="1"/>
    <col min="20" max="20" width="6.7109375" style="224" customWidth="1"/>
    <col min="21" max="21" width="3.7109375" style="224" customWidth="1"/>
    <col min="22" max="22" width="3.7109375" style="252" customWidth="1"/>
    <col min="23" max="72" width="8.7109375" style="243" customWidth="1"/>
    <col min="73" max="16384" width="14.42578125" style="224"/>
  </cols>
  <sheetData>
    <row r="2" spans="1:72" ht="15" customHeight="1" x14ac:dyDescent="0.25">
      <c r="F2" s="667" t="s">
        <v>405</v>
      </c>
      <c r="G2" s="667"/>
      <c r="H2" s="667"/>
      <c r="I2" s="667"/>
      <c r="K2" s="594" t="s">
        <v>385</v>
      </c>
      <c r="L2" s="238" t="s">
        <v>387</v>
      </c>
      <c r="M2" s="238"/>
      <c r="N2" s="238"/>
      <c r="P2" s="645" t="s">
        <v>399</v>
      </c>
      <c r="Q2" s="645"/>
      <c r="R2" s="645"/>
      <c r="S2" s="645"/>
      <c r="T2" s="645"/>
      <c r="W2" s="249" t="s">
        <v>0</v>
      </c>
      <c r="X2" s="249" t="s">
        <v>1</v>
      </c>
      <c r="Y2" s="249" t="s">
        <v>2</v>
      </c>
      <c r="Z2" s="249" t="s">
        <v>3</v>
      </c>
      <c r="AA2" s="249" t="s">
        <v>4</v>
      </c>
      <c r="AB2" s="249" t="s">
        <v>5</v>
      </c>
      <c r="AC2" s="249" t="s">
        <v>6</v>
      </c>
      <c r="AD2" s="249" t="s">
        <v>7</v>
      </c>
      <c r="AE2" s="250" t="s">
        <v>8</v>
      </c>
      <c r="AF2" s="249" t="s">
        <v>9</v>
      </c>
      <c r="AG2" s="249" t="s">
        <v>10</v>
      </c>
      <c r="AH2" s="249" t="s">
        <v>11</v>
      </c>
      <c r="AI2" s="249" t="s">
        <v>12</v>
      </c>
      <c r="AJ2" s="249" t="s">
        <v>13</v>
      </c>
      <c r="AK2" s="249" t="s">
        <v>14</v>
      </c>
      <c r="AL2" s="249" t="s">
        <v>15</v>
      </c>
      <c r="AM2" s="249" t="s">
        <v>16</v>
      </c>
      <c r="AN2" s="249" t="s">
        <v>17</v>
      </c>
      <c r="AO2" s="249" t="s">
        <v>18</v>
      </c>
      <c r="AP2" s="249" t="s">
        <v>19</v>
      </c>
      <c r="AQ2" s="249" t="s">
        <v>20</v>
      </c>
      <c r="AR2" s="249" t="s">
        <v>21</v>
      </c>
      <c r="AS2" s="249" t="s">
        <v>22</v>
      </c>
      <c r="AT2" s="249" t="s">
        <v>23</v>
      </c>
      <c r="AU2" s="249" t="s">
        <v>24</v>
      </c>
      <c r="AV2" s="249" t="s">
        <v>25</v>
      </c>
      <c r="AW2" s="249" t="s">
        <v>26</v>
      </c>
      <c r="AX2" s="249" t="s">
        <v>27</v>
      </c>
      <c r="AY2" s="249" t="s">
        <v>28</v>
      </c>
      <c r="AZ2" s="249" t="s">
        <v>29</v>
      </c>
      <c r="BA2" s="249" t="s">
        <v>30</v>
      </c>
      <c r="BB2" s="249" t="s">
        <v>31</v>
      </c>
      <c r="BC2" s="249" t="s">
        <v>32</v>
      </c>
      <c r="BD2" s="249" t="s">
        <v>33</v>
      </c>
      <c r="BE2" s="249" t="s">
        <v>34</v>
      </c>
      <c r="BF2" s="249" t="s">
        <v>35</v>
      </c>
      <c r="BG2" s="249" t="s">
        <v>36</v>
      </c>
      <c r="BH2" s="249" t="s">
        <v>37</v>
      </c>
      <c r="BI2" s="249" t="s">
        <v>38</v>
      </c>
      <c r="BJ2" s="249" t="s">
        <v>226</v>
      </c>
      <c r="BK2" s="249" t="s">
        <v>227</v>
      </c>
      <c r="BL2" s="249" t="s">
        <v>228</v>
      </c>
      <c r="BM2" s="249" t="s">
        <v>229</v>
      </c>
      <c r="BN2" s="249" t="s">
        <v>230</v>
      </c>
      <c r="BO2" s="249" t="s">
        <v>231</v>
      </c>
      <c r="BP2" s="249" t="s">
        <v>232</v>
      </c>
      <c r="BQ2" s="249" t="s">
        <v>233</v>
      </c>
      <c r="BR2" s="249" t="s">
        <v>234</v>
      </c>
      <c r="BS2" s="249" t="s">
        <v>235</v>
      </c>
      <c r="BT2" s="249" t="s">
        <v>236</v>
      </c>
    </row>
    <row r="3" spans="1:72" ht="15.75" thickBot="1" x14ac:dyDescent="0.3">
      <c r="F3" s="277" t="s">
        <v>404</v>
      </c>
      <c r="G3" s="277" t="s">
        <v>403</v>
      </c>
      <c r="H3" s="277" t="s">
        <v>402</v>
      </c>
      <c r="I3" s="277" t="s">
        <v>401</v>
      </c>
      <c r="P3" s="238">
        <v>0</v>
      </c>
      <c r="Q3" s="238">
        <v>2.5</v>
      </c>
      <c r="R3" s="238">
        <v>5</v>
      </c>
      <c r="S3" s="237">
        <v>7.5</v>
      </c>
      <c r="T3" s="237">
        <v>10</v>
      </c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  <c r="AV3" s="241"/>
      <c r="AW3" s="241"/>
      <c r="AX3" s="241"/>
      <c r="AY3" s="241"/>
      <c r="AZ3" s="241"/>
      <c r="BA3" s="241"/>
      <c r="BB3" s="241"/>
      <c r="BC3" s="241"/>
      <c r="BD3" s="241"/>
      <c r="BE3" s="241"/>
      <c r="BF3" s="241"/>
      <c r="BG3" s="241"/>
      <c r="BH3" s="241"/>
      <c r="BI3" s="241"/>
      <c r="BJ3" s="241"/>
      <c r="BK3" s="241"/>
      <c r="BL3" s="241"/>
      <c r="BM3" s="241"/>
      <c r="BN3" s="241"/>
      <c r="BO3" s="241"/>
      <c r="BP3" s="241"/>
      <c r="BQ3" s="241"/>
      <c r="BR3" s="241"/>
      <c r="BS3" s="241"/>
      <c r="BT3" s="241"/>
    </row>
    <row r="4" spans="1:72" s="259" customFormat="1" ht="15.75" customHeight="1" thickBot="1" x14ac:dyDescent="0.3">
      <c r="A4" s="639">
        <f>C4+C5+C6</f>
        <v>0.25</v>
      </c>
      <c r="B4" s="658" t="s">
        <v>390</v>
      </c>
      <c r="C4" s="517">
        <f>'MD-ranking'!H3</f>
        <v>8.3333333333333329E-2</v>
      </c>
      <c r="D4" s="408" t="s">
        <v>41</v>
      </c>
      <c r="E4" s="413" t="s">
        <v>42</v>
      </c>
      <c r="F4" s="416">
        <v>1</v>
      </c>
      <c r="G4" s="416">
        <v>2</v>
      </c>
      <c r="H4" s="416">
        <v>3</v>
      </c>
      <c r="I4" s="416">
        <v>4</v>
      </c>
      <c r="K4" s="596" t="s">
        <v>386</v>
      </c>
      <c r="L4" s="259" t="s">
        <v>388</v>
      </c>
      <c r="N4" s="653">
        <v>2015</v>
      </c>
      <c r="P4" s="260">
        <f>'MD-ratios'!Y7</f>
        <v>0</v>
      </c>
      <c r="Q4" s="567">
        <f>'MD-ratios'!Z7</f>
        <v>0.73879197877818914</v>
      </c>
      <c r="R4" s="567">
        <f>'MD-ratios'!AA7</f>
        <v>1.6084478783348244</v>
      </c>
      <c r="S4" s="567">
        <f>'MD-ratios'!AB7</f>
        <v>3.5018038252098243</v>
      </c>
      <c r="T4" s="260">
        <f>'MD-ratios'!AC7</f>
        <v>12.785177209563054</v>
      </c>
      <c r="V4" s="261"/>
      <c r="W4" s="262">
        <f>IF('MD-ratios'!AF7&gt;'MD-ratios'!$AC7,10,10*LOG(1+('MD-ratios'!$U7-1)*('MD-ratios'!AF7-'MD-ratios'!$Y7)/('MD-ratios'!$AC7-'MD-ratios'!$Y7))/LOG('MD-ratios'!$U7))</f>
        <v>10</v>
      </c>
      <c r="X4" s="262">
        <f>IF('MD-ratios'!AG7&gt;'MD-ratios'!$AC7,10,10*LOG(1+('MD-ratios'!$U7-1)*('MD-ratios'!AG7-'MD-ratios'!$Y7)/('MD-ratios'!$AC7-'MD-ratios'!$Y7))/LOG('MD-ratios'!$U7))</f>
        <v>5.0588379951014284</v>
      </c>
      <c r="Y4" s="262">
        <f>IF('MD-ratios'!AH7&gt;'MD-ratios'!$AC7,10,10*LOG(1+('MD-ratios'!$U7-1)*('MD-ratios'!AH7-'MD-ratios'!$Y7)/('MD-ratios'!$AC7-'MD-ratios'!$Y7))/LOG('MD-ratios'!$U7))</f>
        <v>4.1080947555307228</v>
      </c>
      <c r="Z4" s="262">
        <f>IF('MD-ratios'!AI7&gt;'MD-ratios'!$AC7,10,10*LOG(1+('MD-ratios'!$U7-1)*('MD-ratios'!AI7-'MD-ratios'!$Y7)/('MD-ratios'!$AC7-'MD-ratios'!$Y7))/LOG('MD-ratios'!$U7))</f>
        <v>4.8972002216991193</v>
      </c>
      <c r="AA4" s="262">
        <f>IF('MD-ratios'!AJ7&gt;'MD-ratios'!$AC7,10,10*LOG(1+('MD-ratios'!$U7-1)*('MD-ratios'!AJ7-'MD-ratios'!$Y7)/('MD-ratios'!$AC7-'MD-ratios'!$Y7))/LOG('MD-ratios'!$U7))</f>
        <v>1.2951352693171745</v>
      </c>
      <c r="AB4" s="262">
        <f>IF('MD-ratios'!AK7&gt;'MD-ratios'!$AC7,10,10*LOG(1+('MD-ratios'!$U7-1)*('MD-ratios'!AK7-'MD-ratios'!$Y7)/('MD-ratios'!$AC7-'MD-ratios'!$Y7))/LOG('MD-ratios'!$U7))</f>
        <v>5.528769970081715</v>
      </c>
      <c r="AC4" s="262">
        <f>IF('MD-ratios'!AL7&gt;'MD-ratios'!$AC7,10,10*LOG(1+('MD-ratios'!$U7-1)*('MD-ratios'!AL7-'MD-ratios'!$Y7)/('MD-ratios'!$AC7-'MD-ratios'!$Y7))/LOG('MD-ratios'!$U7))</f>
        <v>10</v>
      </c>
      <c r="AD4" s="262">
        <f>IF('MD-ratios'!AM7&gt;'MD-ratios'!$AC7,10,10*LOG(1+('MD-ratios'!$U7-1)*('MD-ratios'!AM7-'MD-ratios'!$Y7)/('MD-ratios'!$AC7-'MD-ratios'!$Y7))/LOG('MD-ratios'!$U7))</f>
        <v>10</v>
      </c>
      <c r="AE4" s="262">
        <f>IF('MD-ratios'!AN7&gt;'MD-ratios'!$AC7,10,10*LOG(1+('MD-ratios'!$U7-1)*('MD-ratios'!AN7-'MD-ratios'!$Y7)/('MD-ratios'!$AC7-'MD-ratios'!$Y7))/LOG('MD-ratios'!$U7))</f>
        <v>10</v>
      </c>
      <c r="AF4" s="262">
        <f>IF('MD-ratios'!AO7&gt;'MD-ratios'!$AC7,10,10*LOG(1+('MD-ratios'!$U7-1)*('MD-ratios'!AO7-'MD-ratios'!$Y7)/('MD-ratios'!$AC7-'MD-ratios'!$Y7))/LOG('MD-ratios'!$U7))</f>
        <v>4.5020118074934752</v>
      </c>
      <c r="AG4" s="262">
        <f>IF('MD-ratios'!AP7&gt;'MD-ratios'!$AC7,10,10*LOG(1+('MD-ratios'!$U7-1)*('MD-ratios'!AP7-'MD-ratios'!$Y7)/('MD-ratios'!$AC7-'MD-ratios'!$Y7))/LOG('MD-ratios'!$U7))</f>
        <v>3.7990820306748532</v>
      </c>
      <c r="AH4" s="262">
        <f>IF('MD-ratios'!AQ7&gt;'MD-ratios'!$AC7,10,10*LOG(1+('MD-ratios'!$U7-1)*('MD-ratios'!AQ7-'MD-ratios'!$Y7)/('MD-ratios'!$AC7-'MD-ratios'!$Y7))/LOG('MD-ratios'!$U7))</f>
        <v>5.8252837477602171</v>
      </c>
      <c r="AI4" s="262">
        <f>IF('MD-ratios'!AR7&gt;'MD-ratios'!$AC7,10,10*LOG(1+('MD-ratios'!$U7-1)*('MD-ratios'!AR7-'MD-ratios'!$Y7)/('MD-ratios'!$AC7-'MD-ratios'!$Y7))/LOG('MD-ratios'!$U7))</f>
        <v>7.1142988175520276</v>
      </c>
      <c r="AJ4" s="262">
        <f>IF('MD-ratios'!AS7&gt;'MD-ratios'!$AC7,10,10*LOG(1+('MD-ratios'!$U7-1)*('MD-ratios'!AS7-'MD-ratios'!$Y7)/('MD-ratios'!$AC7-'MD-ratios'!$Y7))/LOG('MD-ratios'!$U7))</f>
        <v>5.0830394035159854</v>
      </c>
      <c r="AK4" s="262">
        <f>IF('MD-ratios'!AT7&gt;'MD-ratios'!$AC7,10,10*LOG(1+('MD-ratios'!$U7-1)*('MD-ratios'!AT7-'MD-ratios'!$Y7)/('MD-ratios'!$AC7-'MD-ratios'!$Y7))/LOG('MD-ratios'!$U7))</f>
        <v>3.6904396544413389</v>
      </c>
      <c r="AL4" s="262">
        <f>IF('MD-ratios'!AU7&gt;'MD-ratios'!$AC7,10,10*LOG(1+('MD-ratios'!$U7-1)*('MD-ratios'!AU7-'MD-ratios'!$Y7)/('MD-ratios'!$AC7-'MD-ratios'!$Y7))/LOG('MD-ratios'!$U7))</f>
        <v>5.6257434524429693</v>
      </c>
      <c r="AM4" s="262">
        <f>IF('MD-ratios'!AV7&gt;'MD-ratios'!$AC7,10,10*LOG(1+('MD-ratios'!$U7-1)*('MD-ratios'!AV7-'MD-ratios'!$Y7)/('MD-ratios'!$AC7-'MD-ratios'!$Y7))/LOG('MD-ratios'!$U7))</f>
        <v>6.9819283688289051</v>
      </c>
      <c r="AN4" s="262">
        <f>IF('MD-ratios'!AW7&gt;'MD-ratios'!$AC7,10,10*LOG(1+('MD-ratios'!$U7-1)*('MD-ratios'!AW7-'MD-ratios'!$Y7)/('MD-ratios'!$AC7-'MD-ratios'!$Y7))/LOG('MD-ratios'!$U7))</f>
        <v>2.222324285375918</v>
      </c>
      <c r="AO4" s="262">
        <f>IF('MD-ratios'!AX7&gt;'MD-ratios'!$AC7,10,10*LOG(1+('MD-ratios'!$U7-1)*('MD-ratios'!AX7-'MD-ratios'!$Y7)/('MD-ratios'!$AC7-'MD-ratios'!$Y7))/LOG('MD-ratios'!$U7))</f>
        <v>6.8847701326660875</v>
      </c>
      <c r="AP4" s="262">
        <f>IF('MD-ratios'!AY7&gt;'MD-ratios'!$AC7,10,10*LOG(1+('MD-ratios'!$U7-1)*('MD-ratios'!AY7-'MD-ratios'!$Y7)/('MD-ratios'!$AC7-'MD-ratios'!$Y7))/LOG('MD-ratios'!$U7))</f>
        <v>5.3049972279381663</v>
      </c>
      <c r="AQ4" s="262">
        <f>IF('MD-ratios'!AZ7&gt;'MD-ratios'!$AC7,10,10*LOG(1+('MD-ratios'!$U7-1)*('MD-ratios'!AZ7-'MD-ratios'!$Y7)/('MD-ratios'!$AC7-'MD-ratios'!$Y7))/LOG('MD-ratios'!$U7))</f>
        <v>6.1908275010435325</v>
      </c>
      <c r="AR4" s="262">
        <f>IF('MD-ratios'!BA7&gt;'MD-ratios'!$AC7,10,10*LOG(1+('MD-ratios'!$U7-1)*('MD-ratios'!BA7-'MD-ratios'!$Y7)/('MD-ratios'!$AC7-'MD-ratios'!$Y7))/LOG('MD-ratios'!$U7))</f>
        <v>10</v>
      </c>
      <c r="AS4" s="262">
        <f>IF('MD-ratios'!BB7&gt;'MD-ratios'!$AC7,10,10*LOG(1+('MD-ratios'!$U7-1)*('MD-ratios'!BB7-'MD-ratios'!$Y7)/('MD-ratios'!$AC7-'MD-ratios'!$Y7))/LOG('MD-ratios'!$U7))</f>
        <v>3.0493719340641365</v>
      </c>
      <c r="AT4" s="262">
        <f>IF('MD-ratios'!BC7&gt;'MD-ratios'!$AC7,10,10*LOG(1+('MD-ratios'!$U7-1)*('MD-ratios'!BC7-'MD-ratios'!$Y7)/('MD-ratios'!$AC7-'MD-ratios'!$Y7))/LOG('MD-ratios'!$U7))</f>
        <v>4.1895784716402904</v>
      </c>
      <c r="AU4" s="262">
        <f>IF('MD-ratios'!BD7&gt;'MD-ratios'!$AC7,10,10*LOG(1+('MD-ratios'!$U7-1)*('MD-ratios'!BD7-'MD-ratios'!$Y7)/('MD-ratios'!$AC7-'MD-ratios'!$Y7))/LOG('MD-ratios'!$U7))</f>
        <v>2.8137119834961415</v>
      </c>
      <c r="AV4" s="262">
        <f>IF('MD-ratios'!BE7&gt;'MD-ratios'!$AC7,10,10*LOG(1+('MD-ratios'!$U7-1)*('MD-ratios'!BE7-'MD-ratios'!$Y7)/('MD-ratios'!$AC7-'MD-ratios'!$Y7))/LOG('MD-ratios'!$U7))</f>
        <v>4.365464206376048</v>
      </c>
      <c r="AW4" s="262">
        <f>IF('MD-ratios'!BF7&gt;'MD-ratios'!$AC7,10,10*LOG(1+('MD-ratios'!$U7-1)*('MD-ratios'!BF7-'MD-ratios'!$Y7)/('MD-ratios'!$AC7-'MD-ratios'!$Y7))/LOG('MD-ratios'!$U7))</f>
        <v>5.7916058792931437</v>
      </c>
      <c r="AX4" s="262">
        <f>IF('MD-ratios'!BG7&gt;'MD-ratios'!$AC7,10,10*LOG(1+('MD-ratios'!$U7-1)*('MD-ratios'!BG7-'MD-ratios'!$Y7)/('MD-ratios'!$AC7-'MD-ratios'!$Y7))/LOG('MD-ratios'!$U7))</f>
        <v>4.4984495562060687</v>
      </c>
      <c r="AY4" s="262">
        <f>IF('MD-ratios'!BH7&gt;'MD-ratios'!$AC7,10,10*LOG(1+('MD-ratios'!$U7-1)*('MD-ratios'!BH7-'MD-ratios'!$Y7)/('MD-ratios'!$AC7-'MD-ratios'!$Y7))/LOG('MD-ratios'!$U7))</f>
        <v>1.7470742162723274</v>
      </c>
      <c r="AZ4" s="262">
        <f>IF('MD-ratios'!BI7&gt;'MD-ratios'!$AC7,10,10*LOG(1+('MD-ratios'!$U7-1)*('MD-ratios'!BI7-'MD-ratios'!$Y7)/('MD-ratios'!$AC7-'MD-ratios'!$Y7))/LOG('MD-ratios'!$U7))</f>
        <v>6.5084610131872278</v>
      </c>
      <c r="BA4" s="262">
        <f>IF('MD-ratios'!BJ7&gt;'MD-ratios'!$AC7,10,10*LOG(1+('MD-ratios'!$U7-1)*('MD-ratios'!BJ7-'MD-ratios'!$Y7)/('MD-ratios'!$AC7-'MD-ratios'!$Y7))/LOG('MD-ratios'!$U7))</f>
        <v>8.0939287361050649</v>
      </c>
      <c r="BB4" s="262">
        <f>IF('MD-ratios'!BK7&gt;'MD-ratios'!$AC7,10,10*LOG(1+('MD-ratios'!$U7-1)*('MD-ratios'!BK7-'MD-ratios'!$Y7)/('MD-ratios'!$AC7-'MD-ratios'!$Y7))/LOG('MD-ratios'!$U7))</f>
        <v>3.2326299055127095</v>
      </c>
      <c r="BC4" s="262">
        <f>IF('MD-ratios'!BL7&gt;'MD-ratios'!$AC7,10,10*LOG(1+('MD-ratios'!$U7-1)*('MD-ratios'!BL7-'MD-ratios'!$Y7)/('MD-ratios'!$AC7-'MD-ratios'!$Y7))/LOG('MD-ratios'!$U7))</f>
        <v>10</v>
      </c>
      <c r="BD4" s="262">
        <f>IF('MD-ratios'!BM7&gt;'MD-ratios'!$AC7,10,10*LOG(1+('MD-ratios'!$U7-1)*('MD-ratios'!BM7-'MD-ratios'!$Y7)/('MD-ratios'!$AC7-'MD-ratios'!$Y7))/LOG('MD-ratios'!$U7))</f>
        <v>6.5362799946292078</v>
      </c>
      <c r="BE4" s="262">
        <f>IF('MD-ratios'!BN7&gt;'MD-ratios'!$AC7,10,10*LOG(1+('MD-ratios'!$U7-1)*('MD-ratios'!BN7-'MD-ratios'!$Y7)/('MD-ratios'!$AC7-'MD-ratios'!$Y7))/LOG('MD-ratios'!$U7))</f>
        <v>3.2612156485547055</v>
      </c>
      <c r="BF4" s="262">
        <f>IF('MD-ratios'!BO7&gt;'MD-ratios'!$AC7,10,10*LOG(1+('MD-ratios'!$U7-1)*('MD-ratios'!BO7-'MD-ratios'!$Y7)/('MD-ratios'!$AC7-'MD-ratios'!$Y7))/LOG('MD-ratios'!$U7))</f>
        <v>9.7582725619645778</v>
      </c>
      <c r="BG4" s="262">
        <f>IF('MD-ratios'!BP7&gt;'MD-ratios'!$AC7,10,10*LOG(1+('MD-ratios'!$U7-1)*('MD-ratios'!BP7-'MD-ratios'!$Y7)/('MD-ratios'!$AC7-'MD-ratios'!$Y7))/LOG('MD-ratios'!$U7))</f>
        <v>10</v>
      </c>
      <c r="BH4" s="262">
        <f>IF('MD-ratios'!BQ7&gt;'MD-ratios'!$AC7,10,10*LOG(1+('MD-ratios'!$U7-1)*('MD-ratios'!BQ7-'MD-ratios'!$Y7)/('MD-ratios'!$AC7-'MD-ratios'!$Y7))/LOG('MD-ratios'!$U7))</f>
        <v>9.1555788174097437</v>
      </c>
      <c r="BI4" s="262">
        <f>IF('MD-ratios'!BR7&gt;'MD-ratios'!$AC7,10,10*LOG(1+('MD-ratios'!$U7-1)*('MD-ratios'!BR7-'MD-ratios'!$Y7)/('MD-ratios'!$AC7-'MD-ratios'!$Y7))/LOG('MD-ratios'!$U7))</f>
        <v>2.9433823526475513</v>
      </c>
      <c r="BJ4" s="262">
        <f>IF('MD-ratios'!BS7&gt;'MD-ratios'!$AC7,10,10*LOG(1+('MD-ratios'!$U7-1)*('MD-ratios'!BS7-'MD-ratios'!$Y7)/('MD-ratios'!$AC7-'MD-ratios'!$Y7))/LOG('MD-ratios'!$U7))</f>
        <v>10</v>
      </c>
      <c r="BK4" s="262">
        <f>IF('MD-ratios'!BT7&gt;'MD-ratios'!$AC7,10,10*LOG(1+('MD-ratios'!$U7-1)*('MD-ratios'!BT7-'MD-ratios'!$Y7)/('MD-ratios'!$AC7-'MD-ratios'!$Y7))/LOG('MD-ratios'!$U7))</f>
        <v>10</v>
      </c>
      <c r="BL4" s="262">
        <f>IF('MD-ratios'!BU7&gt;'MD-ratios'!$AC7,10,10*LOG(1+('MD-ratios'!$U7-1)*('MD-ratios'!BU7-'MD-ratios'!$Y7)/('MD-ratios'!$AC7-'MD-ratios'!$Y7))/LOG('MD-ratios'!$U7))</f>
        <v>5.2428739133659246</v>
      </c>
      <c r="BM4" s="262">
        <f>IF('MD-ratios'!BV7&gt;'MD-ratios'!$AC7,10,10*LOG(1+('MD-ratios'!$U7-1)*('MD-ratios'!BV7-'MD-ratios'!$Y7)/('MD-ratios'!$AC7-'MD-ratios'!$Y7))/LOG('MD-ratios'!$U7))</f>
        <v>4.7158667741035165</v>
      </c>
      <c r="BN4" s="262">
        <f>IF('MD-ratios'!BW7&gt;'MD-ratios'!$AC7,10,10*LOG(1+('MD-ratios'!$U7-1)*('MD-ratios'!BW7-'MD-ratios'!$Y7)/('MD-ratios'!$AC7-'MD-ratios'!$Y7))/LOG('MD-ratios'!$U7))</f>
        <v>7.1758496556541624</v>
      </c>
      <c r="BO4" s="262">
        <f>IF('MD-ratios'!BX7&gt;'MD-ratios'!$AC7,10,10*LOG(1+('MD-ratios'!$U7-1)*('MD-ratios'!BX7-'MD-ratios'!$Y7)/('MD-ratios'!$AC7-'MD-ratios'!$Y7))/LOG('MD-ratios'!$U7))</f>
        <v>4.4576901750598603</v>
      </c>
      <c r="BP4" s="262">
        <f>IF('MD-ratios'!BY7&gt;'MD-ratios'!$AC7,10,10*LOG(1+('MD-ratios'!$U7-1)*('MD-ratios'!BY7-'MD-ratios'!$Y7)/('MD-ratios'!$AC7-'MD-ratios'!$Y7))/LOG('MD-ratios'!$U7))</f>
        <v>4.5377150492748646</v>
      </c>
      <c r="BQ4" s="262">
        <f>IF('MD-ratios'!BZ7&gt;'MD-ratios'!$AC7,10,10*LOG(1+('MD-ratios'!$U7-1)*('MD-ratios'!BZ7-'MD-ratios'!$Y7)/('MD-ratios'!$AC7-'MD-ratios'!$Y7))/LOG('MD-ratios'!$U7))</f>
        <v>3.7337193228848755</v>
      </c>
      <c r="BR4" s="262">
        <f>IF('MD-ratios'!CA7&gt;'MD-ratios'!$AC7,10,10*LOG(1+('MD-ratios'!$U7-1)*('MD-ratios'!CA7-'MD-ratios'!$Y7)/('MD-ratios'!$AC7-'MD-ratios'!$Y7))/LOG('MD-ratios'!$U7))</f>
        <v>4.9354817353089917</v>
      </c>
      <c r="BS4" s="262">
        <f>IF('MD-ratios'!CB7&gt;'MD-ratios'!$AC7,10,10*LOG(1+('MD-ratios'!$U7-1)*('MD-ratios'!CB7-'MD-ratios'!$Y7)/('MD-ratios'!$AC7-'MD-ratios'!$Y7))/LOG('MD-ratios'!$U7))</f>
        <v>1.7798996096390991</v>
      </c>
      <c r="BT4" s="262">
        <f>IF('MD-ratios'!CC7&gt;'MD-ratios'!$AC7,10,10*LOG(1+('MD-ratios'!$U7-1)*('MD-ratios'!CC7-'MD-ratios'!$Y7)/('MD-ratios'!$AC7-'MD-ratios'!$Y7))/LOG('MD-ratios'!$U7))</f>
        <v>5.8955876470246888</v>
      </c>
    </row>
    <row r="5" spans="1:72" s="243" customFormat="1" ht="26.25" thickBot="1" x14ac:dyDescent="0.3">
      <c r="A5" s="640"/>
      <c r="B5" s="659"/>
      <c r="C5" s="518">
        <f>'MD-ranking'!I3</f>
        <v>8.3333333333333329E-2</v>
      </c>
      <c r="D5" s="409" t="s">
        <v>49</v>
      </c>
      <c r="E5" s="414" t="s">
        <v>50</v>
      </c>
      <c r="F5" s="417">
        <v>1</v>
      </c>
      <c r="G5" s="417">
        <v>2</v>
      </c>
      <c r="H5" s="417">
        <v>3</v>
      </c>
      <c r="I5" s="417">
        <v>4</v>
      </c>
      <c r="K5" s="597" t="s">
        <v>386</v>
      </c>
      <c r="L5" s="243" t="s">
        <v>388</v>
      </c>
      <c r="N5" s="653"/>
      <c r="P5" s="258">
        <f>'MD-ratios'!Y8</f>
        <v>0</v>
      </c>
      <c r="Q5" s="568">
        <f>'MD-ratios'!Z8</f>
        <v>0.33460061034037614</v>
      </c>
      <c r="R5" s="568">
        <f>'MD-ratios'!AA8</f>
        <v>0.87637234101889483</v>
      </c>
      <c r="S5" s="568">
        <f>'MD-ratios'!AB8</f>
        <v>2.2953588737380146</v>
      </c>
      <c r="T5" s="258">
        <f>'MD-ratios'!AC8</f>
        <v>8.6625371887554401</v>
      </c>
      <c r="V5" s="252"/>
      <c r="W5" s="242">
        <f>IF('MD-ratios'!AF8&gt;'MD-ratios'!$AC8,10,10*LOG(1+('MD-ratios'!$U8-1)*('MD-ratios'!AF8-'MD-ratios'!$Y8)/('MD-ratios'!$AC8-'MD-ratios'!$Y8))/LOG('MD-ratios'!$U8))</f>
        <v>7.5279478463065921</v>
      </c>
      <c r="X5" s="242">
        <f>IF('MD-ratios'!AG8&gt;'MD-ratios'!$AC8,10,10*LOG(1+('MD-ratios'!$U8-1)*('MD-ratios'!AG8-'MD-ratios'!$Y8)/('MD-ratios'!$AC8-'MD-ratios'!$Y8))/LOG('MD-ratios'!$U8))</f>
        <v>2.362858148385556</v>
      </c>
      <c r="Y5" s="242">
        <f>IF('MD-ratios'!AH8&gt;'MD-ratios'!$AC8,10,10*LOG(1+('MD-ratios'!$U8-1)*('MD-ratios'!AH8-'MD-ratios'!$Y8)/('MD-ratios'!$AC8-'MD-ratios'!$Y8))/LOG('MD-ratios'!$U8))</f>
        <v>4.1882922104666553</v>
      </c>
      <c r="Z5" s="242">
        <f>IF('MD-ratios'!AI8&gt;'MD-ratios'!$AC8,10,10*LOG(1+('MD-ratios'!$U8-1)*('MD-ratios'!AI8-'MD-ratios'!$Y8)/('MD-ratios'!$AC8-'MD-ratios'!$Y8))/LOG('MD-ratios'!$U8))</f>
        <v>2.2839212677824552</v>
      </c>
      <c r="AA5" s="242">
        <f>IF('MD-ratios'!AJ8&gt;'MD-ratios'!$AC8,10,10*LOG(1+('MD-ratios'!$U8-1)*('MD-ratios'!AJ8-'MD-ratios'!$Y8)/('MD-ratios'!$AC8-'MD-ratios'!$Y8))/LOG('MD-ratios'!$U8))</f>
        <v>0.49215793825340565</v>
      </c>
      <c r="AB5" s="242">
        <f>IF('MD-ratios'!AK8&gt;'MD-ratios'!$AC8,10,10*LOG(1+('MD-ratios'!$U8-1)*('MD-ratios'!AK8-'MD-ratios'!$Y8)/('MD-ratios'!$AC8-'MD-ratios'!$Y8))/LOG('MD-ratios'!$U8))</f>
        <v>0.82626110038339318</v>
      </c>
      <c r="AC5" s="242">
        <f>IF('MD-ratios'!AL8&gt;'MD-ratios'!$AC8,10,10*LOG(1+('MD-ratios'!$U8-1)*('MD-ratios'!AL8-'MD-ratios'!$Y8)/('MD-ratios'!$AC8-'MD-ratios'!$Y8))/LOG('MD-ratios'!$U8))</f>
        <v>8.9114957361122418</v>
      </c>
      <c r="AD5" s="242">
        <f>IF('MD-ratios'!AM8&gt;'MD-ratios'!$AC8,10,10*LOG(1+('MD-ratios'!$U8-1)*('MD-ratios'!AM8-'MD-ratios'!$Y8)/('MD-ratios'!$AC8-'MD-ratios'!$Y8))/LOG('MD-ratios'!$U8))</f>
        <v>7.9503820246954202</v>
      </c>
      <c r="AE5" s="242">
        <f>IF('MD-ratios'!AN8&gt;'MD-ratios'!$AC8,10,10*LOG(1+('MD-ratios'!$U8-1)*('MD-ratios'!AN8-'MD-ratios'!$Y8)/('MD-ratios'!$AC8-'MD-ratios'!$Y8))/LOG('MD-ratios'!$U8))</f>
        <v>9.3649988672310709</v>
      </c>
      <c r="AF5" s="242">
        <f>IF('MD-ratios'!AO8&gt;'MD-ratios'!$AC8,10,10*LOG(1+('MD-ratios'!$U8-1)*('MD-ratios'!AO8-'MD-ratios'!$Y8)/('MD-ratios'!$AC8-'MD-ratios'!$Y8))/LOG('MD-ratios'!$U8))</f>
        <v>1.2443567340421933</v>
      </c>
      <c r="AG5" s="242">
        <f>IF('MD-ratios'!AP8&gt;'MD-ratios'!$AC8,10,10*LOG(1+('MD-ratios'!$U8-1)*('MD-ratios'!AP8-'MD-ratios'!$Y8)/('MD-ratios'!$AC8-'MD-ratios'!$Y8))/LOG('MD-ratios'!$U8))</f>
        <v>4.1443148085665671</v>
      </c>
      <c r="AH5" s="242">
        <f>IF('MD-ratios'!AQ8&gt;'MD-ratios'!$AC8,10,10*LOG(1+('MD-ratios'!$U8-1)*('MD-ratios'!AQ8-'MD-ratios'!$Y8)/('MD-ratios'!$AC8-'MD-ratios'!$Y8))/LOG('MD-ratios'!$U8))</f>
        <v>6.1607787992229275</v>
      </c>
      <c r="AI5" s="242">
        <f>IF('MD-ratios'!AR8&gt;'MD-ratios'!$AC8,10,10*LOG(1+('MD-ratios'!$U8-1)*('MD-ratios'!AR8-'MD-ratios'!$Y8)/('MD-ratios'!$AC8-'MD-ratios'!$Y8))/LOG('MD-ratios'!$U8))</f>
        <v>7.1495143196586222</v>
      </c>
      <c r="AJ5" s="242">
        <f>IF('MD-ratios'!AS8&gt;'MD-ratios'!$AC8,10,10*LOG(1+('MD-ratios'!$U8-1)*('MD-ratios'!AS8-'MD-ratios'!$Y8)/('MD-ratios'!$AC8-'MD-ratios'!$Y8))/LOG('MD-ratios'!$U8))</f>
        <v>4.70951189922026</v>
      </c>
      <c r="AK5" s="242">
        <f>IF('MD-ratios'!AT8&gt;'MD-ratios'!$AC8,10,10*LOG(1+('MD-ratios'!$U8-1)*('MD-ratios'!AT8-'MD-ratios'!$Y8)/('MD-ratios'!$AC8-'MD-ratios'!$Y8))/LOG('MD-ratios'!$U8))</f>
        <v>3.3110087339553558</v>
      </c>
      <c r="AL5" s="242">
        <f>IF('MD-ratios'!AU8&gt;'MD-ratios'!$AC8,10,10*LOG(1+('MD-ratios'!$U8-1)*('MD-ratios'!AU8-'MD-ratios'!$Y8)/('MD-ratios'!$AC8-'MD-ratios'!$Y8))/LOG('MD-ratios'!$U8))</f>
        <v>5.4287864296293113</v>
      </c>
      <c r="AM5" s="242">
        <f>IF('MD-ratios'!AV8&gt;'MD-ratios'!$AC8,10,10*LOG(1+('MD-ratios'!$U8-1)*('MD-ratios'!AV8-'MD-ratios'!$Y8)/('MD-ratios'!$AC8-'MD-ratios'!$Y8))/LOG('MD-ratios'!$U8))</f>
        <v>6.5420473260454335</v>
      </c>
      <c r="AN5" s="242">
        <f>IF('MD-ratios'!AW8&gt;'MD-ratios'!$AC8,10,10*LOG(1+('MD-ratios'!$U8-1)*('MD-ratios'!AW8-'MD-ratios'!$Y8)/('MD-ratios'!$AC8-'MD-ratios'!$Y8))/LOG('MD-ratios'!$U8))</f>
        <v>1.5505371183061216</v>
      </c>
      <c r="AO5" s="242">
        <f>IF('MD-ratios'!AX8&gt;'MD-ratios'!$AC8,10,10*LOG(1+('MD-ratios'!$U8-1)*('MD-ratios'!AX8-'MD-ratios'!$Y8)/('MD-ratios'!$AC8-'MD-ratios'!$Y8))/LOG('MD-ratios'!$U8))</f>
        <v>6.7070874193412324</v>
      </c>
      <c r="AP5" s="242">
        <f>IF('MD-ratios'!AY8&gt;'MD-ratios'!$AC8,10,10*LOG(1+('MD-ratios'!$U8-1)*('MD-ratios'!AY8-'MD-ratios'!$Y8)/('MD-ratios'!$AC8-'MD-ratios'!$Y8))/LOG('MD-ratios'!$U8))</f>
        <v>3.7356587350340091</v>
      </c>
      <c r="AQ5" s="242">
        <f>IF('MD-ratios'!AZ8&gt;'MD-ratios'!$AC8,10,10*LOG(1+('MD-ratios'!$U8-1)*('MD-ratios'!AZ8-'MD-ratios'!$Y8)/('MD-ratios'!$AC8-'MD-ratios'!$Y8))/LOG('MD-ratios'!$U8))</f>
        <v>5.8837475563658721</v>
      </c>
      <c r="AR5" s="242">
        <f>IF('MD-ratios'!BA8&gt;'MD-ratios'!$AC8,10,10*LOG(1+('MD-ratios'!$U8-1)*('MD-ratios'!BA8-'MD-ratios'!$Y8)/('MD-ratios'!$AC8-'MD-ratios'!$Y8))/LOG('MD-ratios'!$U8))</f>
        <v>10</v>
      </c>
      <c r="AS5" s="242">
        <f>IF('MD-ratios'!BB8&gt;'MD-ratios'!$AC8,10,10*LOG(1+('MD-ratios'!$U8-1)*('MD-ratios'!BB8-'MD-ratios'!$Y8)/('MD-ratios'!$AC8-'MD-ratios'!$Y8))/LOG('MD-ratios'!$U8))</f>
        <v>2.0424578925749231</v>
      </c>
      <c r="AT5" s="242">
        <f>IF('MD-ratios'!BC8&gt;'MD-ratios'!$AC8,10,10*LOG(1+('MD-ratios'!$U8-1)*('MD-ratios'!BC8-'MD-ratios'!$Y8)/('MD-ratios'!$AC8-'MD-ratios'!$Y8))/LOG('MD-ratios'!$U8))</f>
        <v>4.0100910381563315</v>
      </c>
      <c r="AU5" s="242">
        <f>IF('MD-ratios'!BD8&gt;'MD-ratios'!$AC8,10,10*LOG(1+('MD-ratios'!$U8-1)*('MD-ratios'!BD8-'MD-ratios'!$Y8)/('MD-ratios'!$AC8-'MD-ratios'!$Y8))/LOG('MD-ratios'!$U8))</f>
        <v>2.7750839793966606</v>
      </c>
      <c r="AV5" s="242">
        <f>IF('MD-ratios'!BE8&gt;'MD-ratios'!$AC8,10,10*LOG(1+('MD-ratios'!$U8-1)*('MD-ratios'!BE8-'MD-ratios'!$Y8)/('MD-ratios'!$AC8-'MD-ratios'!$Y8))/LOG('MD-ratios'!$U8))</f>
        <v>4.7650672088090555</v>
      </c>
      <c r="AW5" s="242">
        <f>IF('MD-ratios'!BF8&gt;'MD-ratios'!$AC8,10,10*LOG(1+('MD-ratios'!$U8-1)*('MD-ratios'!BF8-'MD-ratios'!$Y8)/('MD-ratios'!$AC8-'MD-ratios'!$Y8))/LOG('MD-ratios'!$U8))</f>
        <v>5.012704611904967</v>
      </c>
      <c r="AX5" s="242">
        <f>IF('MD-ratios'!BG8&gt;'MD-ratios'!$AC8,10,10*LOG(1+('MD-ratios'!$U8-1)*('MD-ratios'!BG8-'MD-ratios'!$Y8)/('MD-ratios'!$AC8-'MD-ratios'!$Y8))/LOG('MD-ratios'!$U8))</f>
        <v>3.5886174901314249</v>
      </c>
      <c r="AY5" s="242">
        <f>IF('MD-ratios'!BH8&gt;'MD-ratios'!$AC8,10,10*LOG(1+('MD-ratios'!$U8-1)*('MD-ratios'!BH8-'MD-ratios'!$Y8)/('MD-ratios'!$AC8-'MD-ratios'!$Y8))/LOG('MD-ratios'!$U8))</f>
        <v>0.73783951212943488</v>
      </c>
      <c r="AZ5" s="242">
        <f>IF('MD-ratios'!BI8&gt;'MD-ratios'!$AC8,10,10*LOG(1+('MD-ratios'!$U8-1)*('MD-ratios'!BI8-'MD-ratios'!$Y8)/('MD-ratios'!$AC8-'MD-ratios'!$Y8))/LOG('MD-ratios'!$U8))</f>
        <v>5.8779389857309461</v>
      </c>
      <c r="BA5" s="242">
        <f>IF('MD-ratios'!BJ8&gt;'MD-ratios'!$AC8,10,10*LOG(1+('MD-ratios'!$U8-1)*('MD-ratios'!BJ8-'MD-ratios'!$Y8)/('MD-ratios'!$AC8-'MD-ratios'!$Y8))/LOG('MD-ratios'!$U8))</f>
        <v>7.507127234525707</v>
      </c>
      <c r="BB5" s="242">
        <f>IF('MD-ratios'!BK8&gt;'MD-ratios'!$AC8,10,10*LOG(1+('MD-ratios'!$U8-1)*('MD-ratios'!BK8-'MD-ratios'!$Y8)/('MD-ratios'!$AC8-'MD-ratios'!$Y8))/LOG('MD-ratios'!$U8))</f>
        <v>1.5256130382631325</v>
      </c>
      <c r="BC5" s="242">
        <f>IF('MD-ratios'!BL8&gt;'MD-ratios'!$AC8,10,10*LOG(1+('MD-ratios'!$U8-1)*('MD-ratios'!BL8-'MD-ratios'!$Y8)/('MD-ratios'!$AC8-'MD-ratios'!$Y8))/LOG('MD-ratios'!$U8))</f>
        <v>10</v>
      </c>
      <c r="BD5" s="242">
        <f>IF('MD-ratios'!BM8&gt;'MD-ratios'!$AC8,10,10*LOG(1+('MD-ratios'!$U8-1)*('MD-ratios'!BM8-'MD-ratios'!$Y8)/('MD-ratios'!$AC8-'MD-ratios'!$Y8))/LOG('MD-ratios'!$U8))</f>
        <v>6.5733327963861194</v>
      </c>
      <c r="BE5" s="242">
        <f>IF('MD-ratios'!BN8&gt;'MD-ratios'!$AC8,10,10*LOG(1+('MD-ratios'!$U8-1)*('MD-ratios'!BN8-'MD-ratios'!$Y8)/('MD-ratios'!$AC8-'MD-ratios'!$Y8))/LOG('MD-ratios'!$U8))</f>
        <v>1.4711268172788619</v>
      </c>
      <c r="BF5" s="242">
        <f>IF('MD-ratios'!BO8&gt;'MD-ratios'!$AC8,10,10*LOG(1+('MD-ratios'!$U8-1)*('MD-ratios'!BO8-'MD-ratios'!$Y8)/('MD-ratios'!$AC8-'MD-ratios'!$Y8))/LOG('MD-ratios'!$U8))</f>
        <v>8.8858501413173112</v>
      </c>
      <c r="BG5" s="242">
        <f>IF('MD-ratios'!BP8&gt;'MD-ratios'!$AC8,10,10*LOG(1+('MD-ratios'!$U8-1)*('MD-ratios'!BP8-'MD-ratios'!$Y8)/('MD-ratios'!$AC8-'MD-ratios'!$Y8))/LOG('MD-ratios'!$U8))</f>
        <v>5.6693709247283461</v>
      </c>
      <c r="BH5" s="242">
        <f>IF('MD-ratios'!BQ8&gt;'MD-ratios'!$AC8,10,10*LOG(1+('MD-ratios'!$U8-1)*('MD-ratios'!BQ8-'MD-ratios'!$Y8)/('MD-ratios'!$AC8-'MD-ratios'!$Y8))/LOG('MD-ratios'!$U8))</f>
        <v>9.6896032402956358</v>
      </c>
      <c r="BI5" s="242">
        <f>IF('MD-ratios'!BR8&gt;'MD-ratios'!$AC8,10,10*LOG(1+('MD-ratios'!$U8-1)*('MD-ratios'!BR8-'MD-ratios'!$Y8)/('MD-ratios'!$AC8-'MD-ratios'!$Y8))/LOG('MD-ratios'!$U8))</f>
        <v>0.25349431319957089</v>
      </c>
      <c r="BJ5" s="242">
        <f>IF('MD-ratios'!BS8&gt;'MD-ratios'!$AC8,10,10*LOG(1+('MD-ratios'!$U8-1)*('MD-ratios'!BS8-'MD-ratios'!$Y8)/('MD-ratios'!$AC8-'MD-ratios'!$Y8))/LOG('MD-ratios'!$U8))</f>
        <v>7.9755395281449557</v>
      </c>
      <c r="BK5" s="242">
        <f>IF('MD-ratios'!BT8&gt;'MD-ratios'!$AC8,10,10*LOG(1+('MD-ratios'!$U8-1)*('MD-ratios'!BT8-'MD-ratios'!$Y8)/('MD-ratios'!$AC8-'MD-ratios'!$Y8))/LOG('MD-ratios'!$U8))</f>
        <v>10</v>
      </c>
      <c r="BL5" s="242">
        <f>IF('MD-ratios'!BU8&gt;'MD-ratios'!$AC8,10,10*LOG(1+('MD-ratios'!$U8-1)*('MD-ratios'!BU8-'MD-ratios'!$Y8)/('MD-ratios'!$AC8-'MD-ratios'!$Y8))/LOG('MD-ratios'!$U8))</f>
        <v>1.4587820517904977</v>
      </c>
      <c r="BM5" s="242">
        <f>IF('MD-ratios'!BV8&gt;'MD-ratios'!$AC8,10,10*LOG(1+('MD-ratios'!$U8-1)*('MD-ratios'!BV8-'MD-ratios'!$Y8)/('MD-ratios'!$AC8-'MD-ratios'!$Y8))/LOG('MD-ratios'!$U8))</f>
        <v>4.1422991676613776</v>
      </c>
      <c r="BN5" s="242">
        <f>IF('MD-ratios'!BW8&gt;'MD-ratios'!$AC8,10,10*LOG(1+('MD-ratios'!$U8-1)*('MD-ratios'!BW8-'MD-ratios'!$Y8)/('MD-ratios'!$AC8-'MD-ratios'!$Y8))/LOG('MD-ratios'!$U8))</f>
        <v>3.6266182550559272</v>
      </c>
      <c r="BO5" s="242">
        <f>IF('MD-ratios'!BX8&gt;'MD-ratios'!$AC8,10,10*LOG(1+('MD-ratios'!$U8-1)*('MD-ratios'!BX8-'MD-ratios'!$Y8)/('MD-ratios'!$AC8-'MD-ratios'!$Y8))/LOG('MD-ratios'!$U8))</f>
        <v>4.5714179750231638</v>
      </c>
      <c r="BP5" s="242">
        <f>IF('MD-ratios'!BY8&gt;'MD-ratios'!$AC8,10,10*LOG(1+('MD-ratios'!$U8-1)*('MD-ratios'!BY8-'MD-ratios'!$Y8)/('MD-ratios'!$AC8-'MD-ratios'!$Y8))/LOG('MD-ratios'!$U8))</f>
        <v>3.897620026386019</v>
      </c>
      <c r="BQ5" s="242">
        <f>IF('MD-ratios'!BZ8&gt;'MD-ratios'!$AC8,10,10*LOG(1+('MD-ratios'!$U8-1)*('MD-ratios'!BZ8-'MD-ratios'!$Y8)/('MD-ratios'!$AC8-'MD-ratios'!$Y8))/LOG('MD-ratios'!$U8))</f>
        <v>0.11960674485335267</v>
      </c>
      <c r="BR5" s="242">
        <f>IF('MD-ratios'!CA8&gt;'MD-ratios'!$AC8,10,10*LOG(1+('MD-ratios'!$U8-1)*('MD-ratios'!CA8-'MD-ratios'!$Y8)/('MD-ratios'!$AC8-'MD-ratios'!$Y8))/LOG('MD-ratios'!$U8))</f>
        <v>4.2478601932711442</v>
      </c>
      <c r="BS5" s="242">
        <f>IF('MD-ratios'!CB8&gt;'MD-ratios'!$AC8,10,10*LOG(1+('MD-ratios'!$U8-1)*('MD-ratios'!CB8-'MD-ratios'!$Y8)/('MD-ratios'!$AC8-'MD-ratios'!$Y8))/LOG('MD-ratios'!$U8))</f>
        <v>5.4654959128819083E-2</v>
      </c>
      <c r="BT5" s="242">
        <f>IF('MD-ratios'!CC8&gt;'MD-ratios'!$AC8,10,10*LOG(1+('MD-ratios'!$U8-1)*('MD-ratios'!CC8-'MD-ratios'!$Y8)/('MD-ratios'!$AC8-'MD-ratios'!$Y8))/LOG('MD-ratios'!$U8))</f>
        <v>5.058593739833956</v>
      </c>
    </row>
    <row r="6" spans="1:72" s="243" customFormat="1" ht="15.75" thickBot="1" x14ac:dyDescent="0.3">
      <c r="A6" s="640"/>
      <c r="B6" s="659"/>
      <c r="C6" s="518">
        <f>'MD-ranking'!J3</f>
        <v>8.3333333333333329E-2</v>
      </c>
      <c r="D6" s="409" t="s">
        <v>72</v>
      </c>
      <c r="E6" s="414" t="s">
        <v>73</v>
      </c>
      <c r="F6" s="417">
        <v>1</v>
      </c>
      <c r="G6" s="417">
        <v>2</v>
      </c>
      <c r="H6" s="417">
        <v>3</v>
      </c>
      <c r="I6" s="417">
        <v>4</v>
      </c>
      <c r="K6" s="597" t="s">
        <v>386</v>
      </c>
      <c r="L6" s="243" t="s">
        <v>388</v>
      </c>
      <c r="N6" s="653"/>
      <c r="P6" s="258">
        <f>'MD-ratios'!Y9</f>
        <v>0</v>
      </c>
      <c r="Q6" s="568">
        <f>'MD-ratios'!Z9</f>
        <v>6.5827845563065257E-2</v>
      </c>
      <c r="R6" s="568">
        <f>'MD-ratios'!AA9</f>
        <v>0.25566768375988946</v>
      </c>
      <c r="S6" s="568">
        <f>'MD-ratios'!AB9</f>
        <v>0.9929835005237122</v>
      </c>
      <c r="T6" s="258">
        <f>'MD-ratios'!AC9</f>
        <v>7.9199921943120852</v>
      </c>
      <c r="V6" s="252"/>
      <c r="W6" s="242">
        <f>IF('MD-ratios'!AF9&gt;'MD-ratios'!$AC9,10,10*LOG(1+('MD-ratios'!$U9-1)*('MD-ratios'!AF9-'MD-ratios'!$Y9)/('MD-ratios'!$AC9-'MD-ratios'!$Y9))/LOG('MD-ratios'!$U9))</f>
        <v>2.0104718446663168</v>
      </c>
      <c r="X6" s="242">
        <f>IF('MD-ratios'!AG9&gt;'MD-ratios'!$AC9,10,10*LOG(1+('MD-ratios'!$U9-1)*('MD-ratios'!AG9-'MD-ratios'!$Y9)/('MD-ratios'!$AC9-'MD-ratios'!$Y9))/LOG('MD-ratios'!$U9))</f>
        <v>2.0776346176287261</v>
      </c>
      <c r="Y6" s="242">
        <f>IF('MD-ratios'!AH9&gt;'MD-ratios'!$AC9,10,10*LOG(1+('MD-ratios'!$U9-1)*('MD-ratios'!AH9-'MD-ratios'!$Y9)/('MD-ratios'!$AC9-'MD-ratios'!$Y9))/LOG('MD-ratios'!$U9))</f>
        <v>0.8353721599434516</v>
      </c>
      <c r="Z6" s="242">
        <f>IF('MD-ratios'!AI9&gt;'MD-ratios'!$AC9,10,10*LOG(1+('MD-ratios'!$U9-1)*('MD-ratios'!AI9-'MD-ratios'!$Y9)/('MD-ratios'!$AC9-'MD-ratios'!$Y9))/LOG('MD-ratios'!$U9))</f>
        <v>1.4020544293761081</v>
      </c>
      <c r="AA6" s="242">
        <f>IF('MD-ratios'!AJ9&gt;'MD-ratios'!$AC9,10,10*LOG(1+('MD-ratios'!$U9-1)*('MD-ratios'!AJ9-'MD-ratios'!$Y9)/('MD-ratios'!$AC9-'MD-ratios'!$Y9))/LOG('MD-ratios'!$U9))</f>
        <v>3.5347301716291578E-3</v>
      </c>
      <c r="AB6" s="242">
        <f>IF('MD-ratios'!AK9&gt;'MD-ratios'!$AC9,10,10*LOG(1+('MD-ratios'!$U9-1)*('MD-ratios'!AK9-'MD-ratios'!$Y9)/('MD-ratios'!$AC9-'MD-ratios'!$Y9))/LOG('MD-ratios'!$U9))</f>
        <v>0.13059158517754085</v>
      </c>
      <c r="AC6" s="242">
        <f>IF('MD-ratios'!AL9&gt;'MD-ratios'!$AC9,10,10*LOG(1+('MD-ratios'!$U9-1)*('MD-ratios'!AL9-'MD-ratios'!$Y9)/('MD-ratios'!$AC9-'MD-ratios'!$Y9))/LOG('MD-ratios'!$U9))</f>
        <v>8.8499547875015523</v>
      </c>
      <c r="AD6" s="242">
        <f>IF('MD-ratios'!AM9&gt;'MD-ratios'!$AC9,10,10*LOG(1+('MD-ratios'!$U9-1)*('MD-ratios'!AM9-'MD-ratios'!$Y9)/('MD-ratios'!$AC9-'MD-ratios'!$Y9))/LOG('MD-ratios'!$U9))</f>
        <v>3.8010999906001386</v>
      </c>
      <c r="AE6" s="242">
        <f>IF('MD-ratios'!AN9&gt;'MD-ratios'!$AC9,10,10*LOG(1+('MD-ratios'!$U9-1)*('MD-ratios'!AN9-'MD-ratios'!$Y9)/('MD-ratios'!$AC9-'MD-ratios'!$Y9))/LOG('MD-ratios'!$U9))</f>
        <v>9.6272142904825095</v>
      </c>
      <c r="AF6" s="242">
        <f>IF('MD-ratios'!AO9&gt;'MD-ratios'!$AC9,10,10*LOG(1+('MD-ratios'!$U9-1)*('MD-ratios'!AO9-'MD-ratios'!$Y9)/('MD-ratios'!$AC9-'MD-ratios'!$Y9))/LOG('MD-ratios'!$U9))</f>
        <v>0.88291733690496499</v>
      </c>
      <c r="AG6" s="242">
        <f>IF('MD-ratios'!AP9&gt;'MD-ratios'!$AC9,10,10*LOG(1+('MD-ratios'!$U9-1)*('MD-ratios'!AP9-'MD-ratios'!$Y9)/('MD-ratios'!$AC9-'MD-ratios'!$Y9))/LOG('MD-ratios'!$U9))</f>
        <v>4.7571522685135612</v>
      </c>
      <c r="AH6" s="242">
        <f>IF('MD-ratios'!AQ9&gt;'MD-ratios'!$AC9,10,10*LOG(1+('MD-ratios'!$U9-1)*('MD-ratios'!AQ9-'MD-ratios'!$Y9)/('MD-ratios'!$AC9-'MD-ratios'!$Y9))/LOG('MD-ratios'!$U9))</f>
        <v>0.70951419750953226</v>
      </c>
      <c r="AI6" s="242">
        <f>IF('MD-ratios'!AR9&gt;'MD-ratios'!$AC9,10,10*LOG(1+('MD-ratios'!$U9-1)*('MD-ratios'!AR9-'MD-ratios'!$Y9)/('MD-ratios'!$AC9-'MD-ratios'!$Y9))/LOG('MD-ratios'!$U9))</f>
        <v>7.3073775374905248</v>
      </c>
      <c r="AJ6" s="242">
        <f>IF('MD-ratios'!AS9&gt;'MD-ratios'!$AC9,10,10*LOG(1+('MD-ratios'!$U9-1)*('MD-ratios'!AS9-'MD-ratios'!$Y9)/('MD-ratios'!$AC9-'MD-ratios'!$Y9))/LOG('MD-ratios'!$U9))</f>
        <v>2.6108060895026561</v>
      </c>
      <c r="AK6" s="242">
        <f>IF('MD-ratios'!AT9&gt;'MD-ratios'!$AC9,10,10*LOG(1+('MD-ratios'!$U9-1)*('MD-ratios'!AT9-'MD-ratios'!$Y9)/('MD-ratios'!$AC9-'MD-ratios'!$Y9))/LOG('MD-ratios'!$U9))</f>
        <v>3.6967839368525302</v>
      </c>
      <c r="AL6" s="242">
        <f>IF('MD-ratios'!AU9&gt;'MD-ratios'!$AC9,10,10*LOG(1+('MD-ratios'!$U9-1)*('MD-ratios'!AU9-'MD-ratios'!$Y9)/('MD-ratios'!$AC9-'MD-ratios'!$Y9))/LOG('MD-ratios'!$U9))</f>
        <v>3.5073942784620078</v>
      </c>
      <c r="AM6" s="242">
        <f>IF('MD-ratios'!AV9&gt;'MD-ratios'!$AC9,10,10*LOG(1+('MD-ratios'!$U9-1)*('MD-ratios'!AV9-'MD-ratios'!$Y9)/('MD-ratios'!$AC9-'MD-ratios'!$Y9))/LOG('MD-ratios'!$U9))</f>
        <v>5.2110002406846556</v>
      </c>
      <c r="AN6" s="242">
        <f>IF('MD-ratios'!AW9&gt;'MD-ratios'!$AC9,10,10*LOG(1+('MD-ratios'!$U9-1)*('MD-ratios'!AW9-'MD-ratios'!$Y9)/('MD-ratios'!$AC9-'MD-ratios'!$Y9))/LOG('MD-ratios'!$U9))</f>
        <v>2.0108895109965657</v>
      </c>
      <c r="AO6" s="242">
        <f>IF('MD-ratios'!AX9&gt;'MD-ratios'!$AC9,10,10*LOG(1+('MD-ratios'!$U9-1)*('MD-ratios'!AX9-'MD-ratios'!$Y9)/('MD-ratios'!$AC9-'MD-ratios'!$Y9))/LOG('MD-ratios'!$U9))</f>
        <v>5.10261397383979</v>
      </c>
      <c r="AP6" s="242">
        <f>IF('MD-ratios'!AY9&gt;'MD-ratios'!$AC9,10,10*LOG(1+('MD-ratios'!$U9-1)*('MD-ratios'!AY9-'MD-ratios'!$Y9)/('MD-ratios'!$AC9-'MD-ratios'!$Y9))/LOG('MD-ratios'!$U9))</f>
        <v>4.4911137400205465</v>
      </c>
      <c r="AQ6" s="242">
        <f>IF('MD-ratios'!AZ9&gt;'MD-ratios'!$AC9,10,10*LOG(1+('MD-ratios'!$U9-1)*('MD-ratios'!AZ9-'MD-ratios'!$Y9)/('MD-ratios'!$AC9-'MD-ratios'!$Y9))/LOG('MD-ratios'!$U9))</f>
        <v>4.8154032799374393</v>
      </c>
      <c r="AR6" s="242">
        <f>IF('MD-ratios'!BA9&gt;'MD-ratios'!$AC9,10,10*LOG(1+('MD-ratios'!$U9-1)*('MD-ratios'!BA9-'MD-ratios'!$Y9)/('MD-ratios'!$AC9-'MD-ratios'!$Y9))/LOG('MD-ratios'!$U9))</f>
        <v>8.644074643412301</v>
      </c>
      <c r="AS6" s="242">
        <f>IF('MD-ratios'!BB9&gt;'MD-ratios'!$AC9,10,10*LOG(1+('MD-ratios'!$U9-1)*('MD-ratios'!BB9-'MD-ratios'!$Y9)/('MD-ratios'!$AC9-'MD-ratios'!$Y9))/LOG('MD-ratios'!$U9))</f>
        <v>0.28520579009331487</v>
      </c>
      <c r="AT6" s="242">
        <f>IF('MD-ratios'!BC9&gt;'MD-ratios'!$AC9,10,10*LOG(1+('MD-ratios'!$U9-1)*('MD-ratios'!BC9-'MD-ratios'!$Y9)/('MD-ratios'!$AC9-'MD-ratios'!$Y9))/LOG('MD-ratios'!$U9))</f>
        <v>3.9142160244665871</v>
      </c>
      <c r="AU6" s="242">
        <f>IF('MD-ratios'!BD9&gt;'MD-ratios'!$AC9,10,10*LOG(1+('MD-ratios'!$U9-1)*('MD-ratios'!BD9-'MD-ratios'!$Y9)/('MD-ratios'!$AC9-'MD-ratios'!$Y9))/LOG('MD-ratios'!$U9))</f>
        <v>0.23522665435613851</v>
      </c>
      <c r="AV6" s="242">
        <f>IF('MD-ratios'!BE9&gt;'MD-ratios'!$AC9,10,10*LOG(1+('MD-ratios'!$U9-1)*('MD-ratios'!BE9-'MD-ratios'!$Y9)/('MD-ratios'!$AC9-'MD-ratios'!$Y9))/LOG('MD-ratios'!$U9))</f>
        <v>1.7652974126551442</v>
      </c>
      <c r="AW6" s="242">
        <f>IF('MD-ratios'!BF9&gt;'MD-ratios'!$AC9,10,10*LOG(1+('MD-ratios'!$U9-1)*('MD-ratios'!BF9-'MD-ratios'!$Y9)/('MD-ratios'!$AC9-'MD-ratios'!$Y9))/LOG('MD-ratios'!$U9))</f>
        <v>5.7128675616347131</v>
      </c>
      <c r="AX6" s="242">
        <f>IF('MD-ratios'!BG9&gt;'MD-ratios'!$AC9,10,10*LOG(1+('MD-ratios'!$U9-1)*('MD-ratios'!BG9-'MD-ratios'!$Y9)/('MD-ratios'!$AC9-'MD-ratios'!$Y9))/LOG('MD-ratios'!$U9))</f>
        <v>1.596909411518445</v>
      </c>
      <c r="AY6" s="242">
        <f>IF('MD-ratios'!BH9&gt;'MD-ratios'!$AC9,10,10*LOG(1+('MD-ratios'!$U9-1)*('MD-ratios'!BH9-'MD-ratios'!$Y9)/('MD-ratios'!$AC9-'MD-ratios'!$Y9))/LOG('MD-ratios'!$U9))</f>
        <v>1.1192278318912212</v>
      </c>
      <c r="AZ6" s="242">
        <f>IF('MD-ratios'!BI9&gt;'MD-ratios'!$AC9,10,10*LOG(1+('MD-ratios'!$U9-1)*('MD-ratios'!BI9-'MD-ratios'!$Y9)/('MD-ratios'!$AC9-'MD-ratios'!$Y9))/LOG('MD-ratios'!$U9))</f>
        <v>6.4426317993605577</v>
      </c>
      <c r="BA6" s="242">
        <f>IF('MD-ratios'!BJ9&gt;'MD-ratios'!$AC9,10,10*LOG(1+('MD-ratios'!$U9-1)*('MD-ratios'!BJ9-'MD-ratios'!$Y9)/('MD-ratios'!$AC9-'MD-ratios'!$Y9))/LOG('MD-ratios'!$U9))</f>
        <v>7.9800441106254887</v>
      </c>
      <c r="BB6" s="242">
        <f>IF('MD-ratios'!BK9&gt;'MD-ratios'!$AC9,10,10*LOG(1+('MD-ratios'!$U9-1)*('MD-ratios'!BK9-'MD-ratios'!$Y9)/('MD-ratios'!$AC9-'MD-ratios'!$Y9))/LOG('MD-ratios'!$U9))</f>
        <v>0.27414741997414588</v>
      </c>
      <c r="BC6" s="242">
        <f>IF('MD-ratios'!BL9&gt;'MD-ratios'!$AC9,10,10*LOG(1+('MD-ratios'!$U9-1)*('MD-ratios'!BL9-'MD-ratios'!$Y9)/('MD-ratios'!$AC9-'MD-ratios'!$Y9))/LOG('MD-ratios'!$U9))</f>
        <v>10</v>
      </c>
      <c r="BD6" s="242">
        <f>IF('MD-ratios'!BM9&gt;'MD-ratios'!$AC9,10,10*LOG(1+('MD-ratios'!$U9-1)*('MD-ratios'!BM9-'MD-ratios'!$Y9)/('MD-ratios'!$AC9-'MD-ratios'!$Y9))/LOG('MD-ratios'!$U9))</f>
        <v>7.031170022127073</v>
      </c>
      <c r="BE6" s="242">
        <f>IF('MD-ratios'!BN9&gt;'MD-ratios'!$AC9,10,10*LOG(1+('MD-ratios'!$U9-1)*('MD-ratios'!BN9-'MD-ratios'!$Y9)/('MD-ratios'!$AC9-'MD-ratios'!$Y9))/LOG('MD-ratios'!$U9))</f>
        <v>0.60060661192400944</v>
      </c>
      <c r="BF6" s="242">
        <f>IF('MD-ratios'!BO9&gt;'MD-ratios'!$AC9,10,10*LOG(1+('MD-ratios'!$U9-1)*('MD-ratios'!BO9-'MD-ratios'!$Y9)/('MD-ratios'!$AC9-'MD-ratios'!$Y9))/LOG('MD-ratios'!$U9))</f>
        <v>7.1994354409310617</v>
      </c>
      <c r="BG6" s="242">
        <f>IF('MD-ratios'!BP9&gt;'MD-ratios'!$AC9,10,10*LOG(1+('MD-ratios'!$U9-1)*('MD-ratios'!BP9-'MD-ratios'!$Y9)/('MD-ratios'!$AC9-'MD-ratios'!$Y9))/LOG('MD-ratios'!$U9))</f>
        <v>5.6731436801481108</v>
      </c>
      <c r="BH6" s="242">
        <f>IF('MD-ratios'!BQ9&gt;'MD-ratios'!$AC9,10,10*LOG(1+('MD-ratios'!$U9-1)*('MD-ratios'!BQ9-'MD-ratios'!$Y9)/('MD-ratios'!$AC9-'MD-ratios'!$Y9))/LOG('MD-ratios'!$U9))</f>
        <v>9.6411727205774405</v>
      </c>
      <c r="BI6" s="242">
        <f>IF('MD-ratios'!BR9&gt;'MD-ratios'!$AC9,10,10*LOG(1+('MD-ratios'!$U9-1)*('MD-ratios'!BR9-'MD-ratios'!$Y9)/('MD-ratios'!$AC9-'MD-ratios'!$Y9))/LOG('MD-ratios'!$U9))</f>
        <v>0.4114911176855926</v>
      </c>
      <c r="BJ6" s="242">
        <f>IF('MD-ratios'!BS9&gt;'MD-ratios'!$AC9,10,10*LOG(1+('MD-ratios'!$U9-1)*('MD-ratios'!BS9-'MD-ratios'!$Y9)/('MD-ratios'!$AC9-'MD-ratios'!$Y9))/LOG('MD-ratios'!$U9))</f>
        <v>8.1910813336118444</v>
      </c>
      <c r="BK6" s="242">
        <f>IF('MD-ratios'!BT9&gt;'MD-ratios'!$AC9,10,10*LOG(1+('MD-ratios'!$U9-1)*('MD-ratios'!BT9-'MD-ratios'!$Y9)/('MD-ratios'!$AC9-'MD-ratios'!$Y9))/LOG('MD-ratios'!$U9))</f>
        <v>10</v>
      </c>
      <c r="BL6" s="242">
        <f>IF('MD-ratios'!BU9&gt;'MD-ratios'!$AC9,10,10*LOG(1+('MD-ratios'!$U9-1)*('MD-ratios'!BU9-'MD-ratios'!$Y9)/('MD-ratios'!$AC9-'MD-ratios'!$Y9))/LOG('MD-ratios'!$U9))</f>
        <v>0.24528208473682239</v>
      </c>
      <c r="BM6" s="242">
        <f>IF('MD-ratios'!BV9&gt;'MD-ratios'!$AC9,10,10*LOG(1+('MD-ratios'!$U9-1)*('MD-ratios'!BV9-'MD-ratios'!$Y9)/('MD-ratios'!$AC9-'MD-ratios'!$Y9))/LOG('MD-ratios'!$U9))</f>
        <v>1.5618219426653051</v>
      </c>
      <c r="BN6" s="242">
        <f>IF('MD-ratios'!BW9&gt;'MD-ratios'!$AC9,10,10*LOG(1+('MD-ratios'!$U9-1)*('MD-ratios'!BW9-'MD-ratios'!$Y9)/('MD-ratios'!$AC9-'MD-ratios'!$Y9))/LOG('MD-ratios'!$U9))</f>
        <v>2.8267411294723113</v>
      </c>
      <c r="BO6" s="242">
        <f>IF('MD-ratios'!BX9&gt;'MD-ratios'!$AC9,10,10*LOG(1+('MD-ratios'!$U9-1)*('MD-ratios'!BX9-'MD-ratios'!$Y9)/('MD-ratios'!$AC9-'MD-ratios'!$Y9))/LOG('MD-ratios'!$U9))</f>
        <v>2.0672561449712332</v>
      </c>
      <c r="BP6" s="242">
        <f>IF('MD-ratios'!BY9&gt;'MD-ratios'!$AC9,10,10*LOG(1+('MD-ratios'!$U9-1)*('MD-ratios'!BY9-'MD-ratios'!$Y9)/('MD-ratios'!$AC9-'MD-ratios'!$Y9))/LOG('MD-ratios'!$U9))</f>
        <v>0.36618494800337165</v>
      </c>
      <c r="BQ6" s="242">
        <f>IF('MD-ratios'!BZ9&gt;'MD-ratios'!$AC9,10,10*LOG(1+('MD-ratios'!$U9-1)*('MD-ratios'!BZ9-'MD-ratios'!$Y9)/('MD-ratios'!$AC9-'MD-ratios'!$Y9))/LOG('MD-ratios'!$U9))</f>
        <v>0.19841046108812049</v>
      </c>
      <c r="BR6" s="242">
        <f>IF('MD-ratios'!CA9&gt;'MD-ratios'!$AC9,10,10*LOG(1+('MD-ratios'!$U9-1)*('MD-ratios'!CA9-'MD-ratios'!$Y9)/('MD-ratios'!$AC9-'MD-ratios'!$Y9))/LOG('MD-ratios'!$U9))</f>
        <v>4.6967854496266694</v>
      </c>
      <c r="BS6" s="242">
        <f>IF('MD-ratios'!CB9&gt;'MD-ratios'!$AC9,10,10*LOG(1+('MD-ratios'!$U9-1)*('MD-ratios'!CB9-'MD-ratios'!$Y9)/('MD-ratios'!$AC9-'MD-ratios'!$Y9))/LOG('MD-ratios'!$U9))</f>
        <v>9.1674313407362831E-2</v>
      </c>
      <c r="BT6" s="242">
        <f>IF('MD-ratios'!CC9&gt;'MD-ratios'!$AC9,10,10*LOG(1+('MD-ratios'!$U9-1)*('MD-ratios'!CC9-'MD-ratios'!$Y9)/('MD-ratios'!$AC9-'MD-ratios'!$Y9))/LOG('MD-ratios'!$U9))</f>
        <v>2.8609444552770098</v>
      </c>
    </row>
    <row r="7" spans="1:72" s="266" customFormat="1" ht="15.75" thickBot="1" x14ac:dyDescent="0.3">
      <c r="A7" s="641"/>
      <c r="B7" s="660"/>
      <c r="C7" s="661" t="s">
        <v>395</v>
      </c>
      <c r="D7" s="662"/>
      <c r="E7" s="663"/>
      <c r="F7" s="275"/>
      <c r="G7" s="275"/>
      <c r="H7" s="275"/>
      <c r="I7" s="275"/>
      <c r="K7" s="598"/>
      <c r="N7" s="653"/>
      <c r="P7" s="267"/>
      <c r="Q7" s="267"/>
      <c r="R7" s="267"/>
      <c r="S7" s="267"/>
      <c r="T7" s="267"/>
      <c r="V7" s="268"/>
      <c r="W7" s="269">
        <f>SUMPRODUCT(W4:W6,$C4:$C6)/SUM($C4:$C6)</f>
        <v>6.5128065636576364</v>
      </c>
      <c r="X7" s="269">
        <f t="shared" ref="X7:BT7" si="0">SUMPRODUCT(X4:X6,$C4:$C6)/SUM($C4:$C6)</f>
        <v>3.1664435870385699</v>
      </c>
      <c r="Y7" s="269">
        <f t="shared" si="0"/>
        <v>3.0439197086469432</v>
      </c>
      <c r="Z7" s="269">
        <f t="shared" si="0"/>
        <v>2.8610586396192272</v>
      </c>
      <c r="AA7" s="269">
        <f t="shared" si="0"/>
        <v>0.59694264591406976</v>
      </c>
      <c r="AB7" s="269">
        <f t="shared" si="0"/>
        <v>2.1618742185475495</v>
      </c>
      <c r="AC7" s="269">
        <f t="shared" si="0"/>
        <v>9.2538168412045962</v>
      </c>
      <c r="AD7" s="269">
        <f t="shared" si="0"/>
        <v>7.2504940050985187</v>
      </c>
      <c r="AE7" s="269">
        <f t="shared" si="0"/>
        <v>9.6640710525711935</v>
      </c>
      <c r="AF7" s="269">
        <f t="shared" si="0"/>
        <v>2.2097619594802111</v>
      </c>
      <c r="AG7" s="269">
        <f t="shared" si="0"/>
        <v>4.2335163692516602</v>
      </c>
      <c r="AH7" s="269">
        <f t="shared" si="0"/>
        <v>4.2318589148308918</v>
      </c>
      <c r="AI7" s="269">
        <f t="shared" si="0"/>
        <v>7.1903968915670582</v>
      </c>
      <c r="AJ7" s="269">
        <f t="shared" si="0"/>
        <v>4.1344524640796338</v>
      </c>
      <c r="AK7" s="269">
        <f t="shared" si="0"/>
        <v>3.5660774417497412</v>
      </c>
      <c r="AL7" s="269">
        <f t="shared" si="0"/>
        <v>4.8539747201780958</v>
      </c>
      <c r="AM7" s="269">
        <f t="shared" si="0"/>
        <v>6.2449919785196641</v>
      </c>
      <c r="AN7" s="269">
        <f t="shared" si="0"/>
        <v>1.9279169715595348</v>
      </c>
      <c r="AO7" s="269">
        <f t="shared" si="0"/>
        <v>6.2314905086157033</v>
      </c>
      <c r="AP7" s="269">
        <f t="shared" si="0"/>
        <v>4.5105899009975738</v>
      </c>
      <c r="AQ7" s="269">
        <f t="shared" si="0"/>
        <v>5.6299927791156144</v>
      </c>
      <c r="AR7" s="269">
        <f t="shared" si="0"/>
        <v>9.5480248811374331</v>
      </c>
      <c r="AS7" s="269">
        <f t="shared" si="0"/>
        <v>1.792345205577458</v>
      </c>
      <c r="AT7" s="269">
        <f t="shared" si="0"/>
        <v>4.0379618447544026</v>
      </c>
      <c r="AU7" s="269">
        <f t="shared" si="0"/>
        <v>1.9413408724163135</v>
      </c>
      <c r="AV7" s="269">
        <f t="shared" si="0"/>
        <v>3.6319429426134158</v>
      </c>
      <c r="AW7" s="269">
        <f t="shared" si="0"/>
        <v>5.5057260176109413</v>
      </c>
      <c r="AX7" s="269">
        <f t="shared" si="0"/>
        <v>3.2279921526186461</v>
      </c>
      <c r="AY7" s="269">
        <f t="shared" si="0"/>
        <v>1.2013805200976611</v>
      </c>
      <c r="AZ7" s="269">
        <f t="shared" si="0"/>
        <v>6.2763439327595769</v>
      </c>
      <c r="BA7" s="269">
        <f t="shared" si="0"/>
        <v>7.860366693752086</v>
      </c>
      <c r="BB7" s="269">
        <f t="shared" si="0"/>
        <v>1.6774634545833291</v>
      </c>
      <c r="BC7" s="269">
        <f t="shared" si="0"/>
        <v>10</v>
      </c>
      <c r="BD7" s="269">
        <f t="shared" si="0"/>
        <v>6.7135942710474659</v>
      </c>
      <c r="BE7" s="269">
        <f t="shared" si="0"/>
        <v>1.7776496925858589</v>
      </c>
      <c r="BF7" s="269">
        <f t="shared" si="0"/>
        <v>8.6145193814043175</v>
      </c>
      <c r="BG7" s="269">
        <f t="shared" si="0"/>
        <v>7.1141715349588184</v>
      </c>
      <c r="BH7" s="269">
        <f t="shared" si="0"/>
        <v>9.49545159276094</v>
      </c>
      <c r="BI7" s="269">
        <f t="shared" si="0"/>
        <v>1.2027892611775717</v>
      </c>
      <c r="BJ7" s="269">
        <f t="shared" si="0"/>
        <v>8.7222069539189331</v>
      </c>
      <c r="BK7" s="269">
        <f t="shared" si="0"/>
        <v>10</v>
      </c>
      <c r="BL7" s="269">
        <f t="shared" si="0"/>
        <v>2.3156460166310815</v>
      </c>
      <c r="BM7" s="269">
        <f t="shared" si="0"/>
        <v>3.4733292948100662</v>
      </c>
      <c r="BN7" s="269">
        <f t="shared" si="0"/>
        <v>4.5430696800607997</v>
      </c>
      <c r="BO7" s="269">
        <f t="shared" si="0"/>
        <v>3.698788098351419</v>
      </c>
      <c r="BP7" s="269">
        <f t="shared" si="0"/>
        <v>2.9338400078880849</v>
      </c>
      <c r="BQ7" s="269">
        <f t="shared" si="0"/>
        <v>1.3505788429421162</v>
      </c>
      <c r="BR7" s="269">
        <f t="shared" si="0"/>
        <v>4.6267091260689348</v>
      </c>
      <c r="BS7" s="269">
        <f t="shared" si="0"/>
        <v>0.64207629405842703</v>
      </c>
      <c r="BT7" s="269">
        <f t="shared" si="0"/>
        <v>4.6050419473785515</v>
      </c>
    </row>
    <row r="8" spans="1:72" s="243" customFormat="1" ht="15.75" thickBot="1" x14ac:dyDescent="0.3">
      <c r="A8" s="639">
        <f>C8+C9+C10</f>
        <v>0.25</v>
      </c>
      <c r="B8" s="658" t="s">
        <v>391</v>
      </c>
      <c r="C8" s="519">
        <f>'MD-ranking'!M3</f>
        <v>0.1</v>
      </c>
      <c r="D8" s="410" t="s">
        <v>88</v>
      </c>
      <c r="E8" s="415" t="s">
        <v>89</v>
      </c>
      <c r="F8" s="417">
        <v>1</v>
      </c>
      <c r="G8" s="417">
        <v>2</v>
      </c>
      <c r="H8" s="417">
        <v>3</v>
      </c>
      <c r="I8" s="417">
        <v>4</v>
      </c>
      <c r="K8" s="597" t="s">
        <v>386</v>
      </c>
      <c r="L8" s="243" t="s">
        <v>389</v>
      </c>
      <c r="N8" s="653"/>
      <c r="P8" s="258">
        <f>'MD-ratios'!Y11</f>
        <v>-0.10593817076660558</v>
      </c>
      <c r="Q8" s="568">
        <f>'MD-ratios'!Z11</f>
        <v>-5.2969085383302791E-2</v>
      </c>
      <c r="R8" s="258">
        <f>'MD-ratios'!AA11</f>
        <v>0</v>
      </c>
      <c r="S8" s="568">
        <f>'MD-ratios'!AB11</f>
        <v>5.2969085383302791E-2</v>
      </c>
      <c r="T8" s="258">
        <f>'MD-ratios'!AC11</f>
        <v>0.10593817076660558</v>
      </c>
      <c r="V8" s="252"/>
      <c r="W8" s="242">
        <f>IF('MD-ratios'!AF11&gt;'MD-ratios'!$AC11,10,IF('MD-ratios'!AF11&gt;='MD-ratios'!$AA11,5+5*LOG(1+('MD-ratios'!$U11-1)*('MD-ratios'!AF11-'MD-ratios'!$AA11)/('MD-ratios'!$AC11-'MD-ratios'!$AA11))/LOG('MD-ratios'!$U11),IF('MD-ratios'!AF11&gt;'MD-ratios'!$Y11,5-5*LOG(1+('MD-ratios'!$U11-1)*('MD-ratios'!AF11-'MD-ratios'!$AA11)/('MD-ratios'!$Y11-'MD-ratios'!$AA11))/LOG('MD-ratios'!$U11),0)))</f>
        <v>8.5967719012153054</v>
      </c>
      <c r="X8" s="242">
        <f>IF('MD-ratios'!AG11&gt;'MD-ratios'!$AC11,10,IF('MD-ratios'!AG11&gt;='MD-ratios'!$AA11,5+5*LOG(1+('MD-ratios'!$U11-1)*('MD-ratios'!AG11-'MD-ratios'!$AA11)/('MD-ratios'!$AC11-'MD-ratios'!$AA11))/LOG('MD-ratios'!$U11),IF('MD-ratios'!AG11&gt;'MD-ratios'!$Y11,5-5*LOG(1+('MD-ratios'!$U11-1)*('MD-ratios'!AG11-'MD-ratios'!$AA11)/('MD-ratios'!$Y11-'MD-ratios'!$AA11))/LOG('MD-ratios'!$U11),0)))</f>
        <v>6.2124581711839069</v>
      </c>
      <c r="Y8" s="242">
        <f>IF('MD-ratios'!AH11&gt;'MD-ratios'!$AC11,10,IF('MD-ratios'!AH11&gt;='MD-ratios'!$AA11,5+5*LOG(1+('MD-ratios'!$U11-1)*('MD-ratios'!AH11-'MD-ratios'!$AA11)/('MD-ratios'!$AC11-'MD-ratios'!$AA11))/LOG('MD-ratios'!$U11),IF('MD-ratios'!AH11&gt;'MD-ratios'!$Y11,5-5*LOG(1+('MD-ratios'!$U11-1)*('MD-ratios'!AH11-'MD-ratios'!$AA11)/('MD-ratios'!$Y11-'MD-ratios'!$AA11))/LOG('MD-ratios'!$U11),0)))</f>
        <v>0.56730433802757751</v>
      </c>
      <c r="Z8" s="242">
        <f>IF('MD-ratios'!AI11&gt;'MD-ratios'!$AC11,10,IF('MD-ratios'!AI11&gt;='MD-ratios'!$AA11,5+5*LOG(1+('MD-ratios'!$U11-1)*('MD-ratios'!AI11-'MD-ratios'!$AA11)/('MD-ratios'!$AC11-'MD-ratios'!$AA11))/LOG('MD-ratios'!$U11),IF('MD-ratios'!AI11&gt;'MD-ratios'!$Y11,5-5*LOG(1+('MD-ratios'!$U11-1)*('MD-ratios'!AI11-'MD-ratios'!$AA11)/('MD-ratios'!$Y11-'MD-ratios'!$AA11))/LOG('MD-ratios'!$U11),0)))</f>
        <v>5.4438020261595517</v>
      </c>
      <c r="AA8" s="242">
        <f>IF('MD-ratios'!AJ11&gt;'MD-ratios'!$AC11,10,IF('MD-ratios'!AJ11&gt;='MD-ratios'!$AA11,5+5*LOG(1+('MD-ratios'!$U11-1)*('MD-ratios'!AJ11-'MD-ratios'!$AA11)/('MD-ratios'!$AC11-'MD-ratios'!$AA11))/LOG('MD-ratios'!$U11),IF('MD-ratios'!AJ11&gt;'MD-ratios'!$Y11,5-5*LOG(1+('MD-ratios'!$U11-1)*('MD-ratios'!AJ11-'MD-ratios'!$AA11)/('MD-ratios'!$Y11-'MD-ratios'!$AA11))/LOG('MD-ratios'!$U11),0)))</f>
        <v>10</v>
      </c>
      <c r="AB8" s="242">
        <f>IF('MD-ratios'!AK11&gt;'MD-ratios'!$AC11,10,IF('MD-ratios'!AK11&gt;='MD-ratios'!$AA11,5+5*LOG(1+('MD-ratios'!$U11-1)*('MD-ratios'!AK11-'MD-ratios'!$AA11)/('MD-ratios'!$AC11-'MD-ratios'!$AA11))/LOG('MD-ratios'!$U11),IF('MD-ratios'!AK11&gt;'MD-ratios'!$Y11,5-5*LOG(1+('MD-ratios'!$U11-1)*('MD-ratios'!AK11-'MD-ratios'!$AA11)/('MD-ratios'!$Y11-'MD-ratios'!$AA11))/LOG('MD-ratios'!$U11),0)))</f>
        <v>0</v>
      </c>
      <c r="AC8" s="242">
        <f>IF('MD-ratios'!AL11&gt;'MD-ratios'!$AC11,10,IF('MD-ratios'!AL11&gt;='MD-ratios'!$AA11,5+5*LOG(1+('MD-ratios'!$U11-1)*('MD-ratios'!AL11-'MD-ratios'!$AA11)/('MD-ratios'!$AC11-'MD-ratios'!$AA11))/LOG('MD-ratios'!$U11),IF('MD-ratios'!AL11&gt;'MD-ratios'!$Y11,5-5*LOG(1+('MD-ratios'!$U11-1)*('MD-ratios'!AL11-'MD-ratios'!$AA11)/('MD-ratios'!$Y11-'MD-ratios'!$AA11))/LOG('MD-ratios'!$U11),0)))</f>
        <v>6.1261945124483965</v>
      </c>
      <c r="AD8" s="242">
        <f>IF('MD-ratios'!AM11&gt;'MD-ratios'!$AC11,10,IF('MD-ratios'!AM11&gt;='MD-ratios'!$AA11,5+5*LOG(1+('MD-ratios'!$U11-1)*('MD-ratios'!AM11-'MD-ratios'!$AA11)/('MD-ratios'!$AC11-'MD-ratios'!$AA11))/LOG('MD-ratios'!$U11),IF('MD-ratios'!AM11&gt;'MD-ratios'!$Y11,5-5*LOG(1+('MD-ratios'!$U11-1)*('MD-ratios'!AM11-'MD-ratios'!$AA11)/('MD-ratios'!$Y11-'MD-ratios'!$AA11))/LOG('MD-ratios'!$U11),0)))</f>
        <v>7.8982419543015467</v>
      </c>
      <c r="AE8" s="242">
        <f>IF('MD-ratios'!AN11&gt;'MD-ratios'!$AC11,10,IF('MD-ratios'!AN11&gt;='MD-ratios'!$AA11,5+5*LOG(1+('MD-ratios'!$U11-1)*('MD-ratios'!AN11-'MD-ratios'!$AA11)/('MD-ratios'!$AC11-'MD-ratios'!$AA11))/LOG('MD-ratios'!$U11),IF('MD-ratios'!AN11&gt;'MD-ratios'!$Y11,5-5*LOG(1+('MD-ratios'!$U11-1)*('MD-ratios'!AN11-'MD-ratios'!$AA11)/('MD-ratios'!$Y11-'MD-ratios'!$AA11))/LOG('MD-ratios'!$U11),0)))</f>
        <v>7.1841616323573589</v>
      </c>
      <c r="AF8" s="242">
        <f>IF('MD-ratios'!AO11&gt;'MD-ratios'!$AC11,10,IF('MD-ratios'!AO11&gt;='MD-ratios'!$AA11,5+5*LOG(1+('MD-ratios'!$U11-1)*('MD-ratios'!AO11-'MD-ratios'!$AA11)/('MD-ratios'!$AC11-'MD-ratios'!$AA11))/LOG('MD-ratios'!$U11),IF('MD-ratios'!AO11&gt;'MD-ratios'!$Y11,5-5*LOG(1+('MD-ratios'!$U11-1)*('MD-ratios'!AO11-'MD-ratios'!$AA11)/('MD-ratios'!$Y11-'MD-ratios'!$AA11))/LOG('MD-ratios'!$U11),0)))</f>
        <v>1.4648324530299197</v>
      </c>
      <c r="AG8" s="242">
        <f>IF('MD-ratios'!AP11&gt;'MD-ratios'!$AC11,10,IF('MD-ratios'!AP11&gt;='MD-ratios'!$AA11,5+5*LOG(1+('MD-ratios'!$U11-1)*('MD-ratios'!AP11-'MD-ratios'!$AA11)/('MD-ratios'!$AC11-'MD-ratios'!$AA11))/LOG('MD-ratios'!$U11),IF('MD-ratios'!AP11&gt;'MD-ratios'!$Y11,5-5*LOG(1+('MD-ratios'!$U11-1)*('MD-ratios'!AP11-'MD-ratios'!$AA11)/('MD-ratios'!$Y11-'MD-ratios'!$AA11))/LOG('MD-ratios'!$U11),0)))</f>
        <v>5.0862507170687454</v>
      </c>
      <c r="AH8" s="242">
        <f>IF('MD-ratios'!AQ11&gt;'MD-ratios'!$AC11,10,IF('MD-ratios'!AQ11&gt;='MD-ratios'!$AA11,5+5*LOG(1+('MD-ratios'!$U11-1)*('MD-ratios'!AQ11-'MD-ratios'!$AA11)/('MD-ratios'!$AC11-'MD-ratios'!$AA11))/LOG('MD-ratios'!$U11),IF('MD-ratios'!AQ11&gt;'MD-ratios'!$Y11,5-5*LOG(1+('MD-ratios'!$U11-1)*('MD-ratios'!AQ11-'MD-ratios'!$AA11)/('MD-ratios'!$Y11-'MD-ratios'!$AA11))/LOG('MD-ratios'!$U11),0)))</f>
        <v>8.0993028262656175</v>
      </c>
      <c r="AI8" s="242">
        <f>IF('MD-ratios'!AR11&gt;'MD-ratios'!$AC11,10,IF('MD-ratios'!AR11&gt;='MD-ratios'!$AA11,5+5*LOG(1+('MD-ratios'!$U11-1)*('MD-ratios'!AR11-'MD-ratios'!$AA11)/('MD-ratios'!$AC11-'MD-ratios'!$AA11))/LOG('MD-ratios'!$U11),IF('MD-ratios'!AR11&gt;'MD-ratios'!$Y11,5-5*LOG(1+('MD-ratios'!$U11-1)*('MD-ratios'!AR11-'MD-ratios'!$AA11)/('MD-ratios'!$Y11-'MD-ratios'!$AA11))/LOG('MD-ratios'!$U11),0)))</f>
        <v>10</v>
      </c>
      <c r="AJ8" s="242">
        <f>IF('MD-ratios'!AS11&gt;'MD-ratios'!$AC11,10,IF('MD-ratios'!AS11&gt;='MD-ratios'!$AA11,5+5*LOG(1+('MD-ratios'!$U11-1)*('MD-ratios'!AS11-'MD-ratios'!$AA11)/('MD-ratios'!$AC11-'MD-ratios'!$AA11))/LOG('MD-ratios'!$U11),IF('MD-ratios'!AS11&gt;'MD-ratios'!$Y11,5-5*LOG(1+('MD-ratios'!$U11-1)*('MD-ratios'!AS11-'MD-ratios'!$AA11)/('MD-ratios'!$Y11-'MD-ratios'!$AA11))/LOG('MD-ratios'!$U11),0)))</f>
        <v>0</v>
      </c>
      <c r="AK8" s="242">
        <f>IF('MD-ratios'!AT11&gt;'MD-ratios'!$AC11,10,IF('MD-ratios'!AT11&gt;='MD-ratios'!$AA11,5+5*LOG(1+('MD-ratios'!$U11-1)*('MD-ratios'!AT11-'MD-ratios'!$AA11)/('MD-ratios'!$AC11-'MD-ratios'!$AA11))/LOG('MD-ratios'!$U11),IF('MD-ratios'!AT11&gt;'MD-ratios'!$Y11,5-5*LOG(1+('MD-ratios'!$U11-1)*('MD-ratios'!AT11-'MD-ratios'!$AA11)/('MD-ratios'!$Y11-'MD-ratios'!$AA11))/LOG('MD-ratios'!$U11),0)))</f>
        <v>8.4601469794344801</v>
      </c>
      <c r="AL8" s="242">
        <f>IF('MD-ratios'!AU11&gt;'MD-ratios'!$AC11,10,IF('MD-ratios'!AU11&gt;='MD-ratios'!$AA11,5+5*LOG(1+('MD-ratios'!$U11-1)*('MD-ratios'!AU11-'MD-ratios'!$AA11)/('MD-ratios'!$AC11-'MD-ratios'!$AA11))/LOG('MD-ratios'!$U11),IF('MD-ratios'!AU11&gt;'MD-ratios'!$Y11,5-5*LOG(1+('MD-ratios'!$U11-1)*('MD-ratios'!AU11-'MD-ratios'!$AA11)/('MD-ratios'!$Y11-'MD-ratios'!$AA11))/LOG('MD-ratios'!$U11),0)))</f>
        <v>2.1396478368150746</v>
      </c>
      <c r="AM8" s="242">
        <f>IF('MD-ratios'!AV11&gt;'MD-ratios'!$AC11,10,IF('MD-ratios'!AV11&gt;='MD-ratios'!$AA11,5+5*LOG(1+('MD-ratios'!$U11-1)*('MD-ratios'!AV11-'MD-ratios'!$AA11)/('MD-ratios'!$AC11-'MD-ratios'!$AA11))/LOG('MD-ratios'!$U11),IF('MD-ratios'!AV11&gt;'MD-ratios'!$Y11,5-5*LOG(1+('MD-ratios'!$U11-1)*('MD-ratios'!AV11-'MD-ratios'!$AA11)/('MD-ratios'!$Y11-'MD-ratios'!$AA11))/LOG('MD-ratios'!$U11),0)))</f>
        <v>8.1960449641413451</v>
      </c>
      <c r="AN8" s="242">
        <f>IF('MD-ratios'!AW11&gt;'MD-ratios'!$AC11,10,IF('MD-ratios'!AW11&gt;='MD-ratios'!$AA11,5+5*LOG(1+('MD-ratios'!$U11-1)*('MD-ratios'!AW11-'MD-ratios'!$AA11)/('MD-ratios'!$AC11-'MD-ratios'!$AA11))/LOG('MD-ratios'!$U11),IF('MD-ratios'!AW11&gt;'MD-ratios'!$Y11,5-5*LOG(1+('MD-ratios'!$U11-1)*('MD-ratios'!AW11-'MD-ratios'!$AA11)/('MD-ratios'!$Y11-'MD-ratios'!$AA11))/LOG('MD-ratios'!$U11),0)))</f>
        <v>7.8696155530389902</v>
      </c>
      <c r="AO8" s="242">
        <f>IF('MD-ratios'!AX11&gt;'MD-ratios'!$AC11,10,IF('MD-ratios'!AX11&gt;='MD-ratios'!$AA11,5+5*LOG(1+('MD-ratios'!$U11-1)*('MD-ratios'!AX11-'MD-ratios'!$AA11)/('MD-ratios'!$AC11-'MD-ratios'!$AA11))/LOG('MD-ratios'!$U11),IF('MD-ratios'!AX11&gt;'MD-ratios'!$Y11,5-5*LOG(1+('MD-ratios'!$U11-1)*('MD-ratios'!AX11-'MD-ratios'!$AA11)/('MD-ratios'!$Y11-'MD-ratios'!$AA11))/LOG('MD-ratios'!$U11),0)))</f>
        <v>5.256241822435662</v>
      </c>
      <c r="AP8" s="242">
        <f>IF('MD-ratios'!AY11&gt;'MD-ratios'!$AC11,10,IF('MD-ratios'!AY11&gt;='MD-ratios'!$AA11,5+5*LOG(1+('MD-ratios'!$U11-1)*('MD-ratios'!AY11-'MD-ratios'!$AA11)/('MD-ratios'!$AC11-'MD-ratios'!$AA11))/LOG('MD-ratios'!$U11),IF('MD-ratios'!AY11&gt;'MD-ratios'!$Y11,5-5*LOG(1+('MD-ratios'!$U11-1)*('MD-ratios'!AY11-'MD-ratios'!$AA11)/('MD-ratios'!$Y11-'MD-ratios'!$AA11))/LOG('MD-ratios'!$U11),0)))</f>
        <v>5.6683670245607223</v>
      </c>
      <c r="AQ8" s="242">
        <f>IF('MD-ratios'!AZ11&gt;'MD-ratios'!$AC11,10,IF('MD-ratios'!AZ11&gt;='MD-ratios'!$AA11,5+5*LOG(1+('MD-ratios'!$U11-1)*('MD-ratios'!AZ11-'MD-ratios'!$AA11)/('MD-ratios'!$AC11-'MD-ratios'!$AA11))/LOG('MD-ratios'!$U11),IF('MD-ratios'!AZ11&gt;'MD-ratios'!$Y11,5-5*LOG(1+('MD-ratios'!$U11-1)*('MD-ratios'!AZ11-'MD-ratios'!$AA11)/('MD-ratios'!$Y11-'MD-ratios'!$AA11))/LOG('MD-ratios'!$U11),0)))</f>
        <v>5.3855576769279718</v>
      </c>
      <c r="AR8" s="242">
        <f>IF('MD-ratios'!BA11&gt;'MD-ratios'!$AC11,10,IF('MD-ratios'!BA11&gt;='MD-ratios'!$AA11,5+5*LOG(1+('MD-ratios'!$U11-1)*('MD-ratios'!BA11-'MD-ratios'!$AA11)/('MD-ratios'!$AC11-'MD-ratios'!$AA11))/LOG('MD-ratios'!$U11),IF('MD-ratios'!BA11&gt;'MD-ratios'!$Y11,5-5*LOG(1+('MD-ratios'!$U11-1)*('MD-ratios'!BA11-'MD-ratios'!$AA11)/('MD-ratios'!$Y11-'MD-ratios'!$AA11))/LOG('MD-ratios'!$U11),0)))</f>
        <v>10</v>
      </c>
      <c r="AS8" s="242">
        <f>IF('MD-ratios'!BB11&gt;'MD-ratios'!$AC11,10,IF('MD-ratios'!BB11&gt;='MD-ratios'!$AA11,5+5*LOG(1+('MD-ratios'!$U11-1)*('MD-ratios'!BB11-'MD-ratios'!$AA11)/('MD-ratios'!$AC11-'MD-ratios'!$AA11))/LOG('MD-ratios'!$U11),IF('MD-ratios'!BB11&gt;'MD-ratios'!$Y11,5-5*LOG(1+('MD-ratios'!$U11-1)*('MD-ratios'!BB11-'MD-ratios'!$AA11)/('MD-ratios'!$Y11-'MD-ratios'!$AA11))/LOG('MD-ratios'!$U11),0)))</f>
        <v>3.420709307956372</v>
      </c>
      <c r="AT8" s="242">
        <f>IF('MD-ratios'!BC11&gt;'MD-ratios'!$AC11,10,IF('MD-ratios'!BC11&gt;='MD-ratios'!$AA11,5+5*LOG(1+('MD-ratios'!$U11-1)*('MD-ratios'!BC11-'MD-ratios'!$AA11)/('MD-ratios'!$AC11-'MD-ratios'!$AA11))/LOG('MD-ratios'!$U11),IF('MD-ratios'!BC11&gt;'MD-ratios'!$Y11,5-5*LOG(1+('MD-ratios'!$U11-1)*('MD-ratios'!BC11-'MD-ratios'!$AA11)/('MD-ratios'!$Y11-'MD-ratios'!$AA11))/LOG('MD-ratios'!$U11),0)))</f>
        <v>7.1116399687190892</v>
      </c>
      <c r="AU8" s="242">
        <f>IF('MD-ratios'!BD11&gt;'MD-ratios'!$AC11,10,IF('MD-ratios'!BD11&gt;='MD-ratios'!$AA11,5+5*LOG(1+('MD-ratios'!$U11-1)*('MD-ratios'!BD11-'MD-ratios'!$AA11)/('MD-ratios'!$AC11-'MD-ratios'!$AA11))/LOG('MD-ratios'!$U11),IF('MD-ratios'!BD11&gt;'MD-ratios'!$Y11,5-5*LOG(1+('MD-ratios'!$U11-1)*('MD-ratios'!BD11-'MD-ratios'!$AA11)/('MD-ratios'!$Y11-'MD-ratios'!$AA11))/LOG('MD-ratios'!$U11),0)))</f>
        <v>0</v>
      </c>
      <c r="AV8" s="242">
        <f>IF('MD-ratios'!BE11&gt;'MD-ratios'!$AC11,10,IF('MD-ratios'!BE11&gt;='MD-ratios'!$AA11,5+5*LOG(1+('MD-ratios'!$U11-1)*('MD-ratios'!BE11-'MD-ratios'!$AA11)/('MD-ratios'!$AC11-'MD-ratios'!$AA11))/LOG('MD-ratios'!$U11),IF('MD-ratios'!BE11&gt;'MD-ratios'!$Y11,5-5*LOG(1+('MD-ratios'!$U11-1)*('MD-ratios'!BE11-'MD-ratios'!$AA11)/('MD-ratios'!$Y11-'MD-ratios'!$AA11))/LOG('MD-ratios'!$U11),0)))</f>
        <v>6.2562675947913631</v>
      </c>
      <c r="AW8" s="242">
        <f>IF('MD-ratios'!BF11&gt;'MD-ratios'!$AC11,10,IF('MD-ratios'!BF11&gt;='MD-ratios'!$AA11,5+5*LOG(1+('MD-ratios'!$U11-1)*('MD-ratios'!BF11-'MD-ratios'!$AA11)/('MD-ratios'!$AC11-'MD-ratios'!$AA11))/LOG('MD-ratios'!$U11),IF('MD-ratios'!BF11&gt;'MD-ratios'!$Y11,5-5*LOG(1+('MD-ratios'!$U11-1)*('MD-ratios'!BF11-'MD-ratios'!$AA11)/('MD-ratios'!$Y11-'MD-ratios'!$AA11))/LOG('MD-ratios'!$U11),0)))</f>
        <v>10</v>
      </c>
      <c r="AX8" s="242">
        <f>IF('MD-ratios'!BG11&gt;'MD-ratios'!$AC11,10,IF('MD-ratios'!BG11&gt;='MD-ratios'!$AA11,5+5*LOG(1+('MD-ratios'!$U11-1)*('MD-ratios'!BG11-'MD-ratios'!$AA11)/('MD-ratios'!$AC11-'MD-ratios'!$AA11))/LOG('MD-ratios'!$U11),IF('MD-ratios'!BG11&gt;'MD-ratios'!$Y11,5-5*LOG(1+('MD-ratios'!$U11-1)*('MD-ratios'!BG11-'MD-ratios'!$AA11)/('MD-ratios'!$Y11-'MD-ratios'!$AA11))/LOG('MD-ratios'!$U11),0)))</f>
        <v>2.2585941031303065</v>
      </c>
      <c r="AY8" s="242">
        <f>IF('MD-ratios'!BH11&gt;'MD-ratios'!$AC11,10,IF('MD-ratios'!BH11&gt;='MD-ratios'!$AA11,5+5*LOG(1+('MD-ratios'!$U11-1)*('MD-ratios'!BH11-'MD-ratios'!$AA11)/('MD-ratios'!$AC11-'MD-ratios'!$AA11))/LOG('MD-ratios'!$U11),IF('MD-ratios'!BH11&gt;'MD-ratios'!$Y11,5-5*LOG(1+('MD-ratios'!$U11-1)*('MD-ratios'!BH11-'MD-ratios'!$AA11)/('MD-ratios'!$Y11-'MD-ratios'!$AA11))/LOG('MD-ratios'!$U11),0)))</f>
        <v>8.4092127616898527</v>
      </c>
      <c r="AZ8" s="242">
        <f>IF('MD-ratios'!BI11&gt;'MD-ratios'!$AC11,10,IF('MD-ratios'!BI11&gt;='MD-ratios'!$AA11,5+5*LOG(1+('MD-ratios'!$U11-1)*('MD-ratios'!BI11-'MD-ratios'!$AA11)/('MD-ratios'!$AC11-'MD-ratios'!$AA11))/LOG('MD-ratios'!$U11),IF('MD-ratios'!BI11&gt;'MD-ratios'!$Y11,5-5*LOG(1+('MD-ratios'!$U11-1)*('MD-ratios'!BI11-'MD-ratios'!$AA11)/('MD-ratios'!$Y11-'MD-ratios'!$AA11))/LOG('MD-ratios'!$U11),0)))</f>
        <v>6.7879397234468648</v>
      </c>
      <c r="BA8" s="242">
        <f>IF('MD-ratios'!BJ11&gt;'MD-ratios'!$AC11,10,IF('MD-ratios'!BJ11&gt;='MD-ratios'!$AA11,5+5*LOG(1+('MD-ratios'!$U11-1)*('MD-ratios'!BJ11-'MD-ratios'!$AA11)/('MD-ratios'!$AC11-'MD-ratios'!$AA11))/LOG('MD-ratios'!$U11),IF('MD-ratios'!BJ11&gt;'MD-ratios'!$Y11,5-5*LOG(1+('MD-ratios'!$U11-1)*('MD-ratios'!BJ11-'MD-ratios'!$AA11)/('MD-ratios'!$Y11-'MD-ratios'!$AA11))/LOG('MD-ratios'!$U11),0)))</f>
        <v>10</v>
      </c>
      <c r="BB8" s="242">
        <f>IF('MD-ratios'!BK11&gt;'MD-ratios'!$AC11,10,IF('MD-ratios'!BK11&gt;='MD-ratios'!$AA11,5+5*LOG(1+('MD-ratios'!$U11-1)*('MD-ratios'!BK11-'MD-ratios'!$AA11)/('MD-ratios'!$AC11-'MD-ratios'!$AA11))/LOG('MD-ratios'!$U11),IF('MD-ratios'!BK11&gt;'MD-ratios'!$Y11,5-5*LOG(1+('MD-ratios'!$U11-1)*('MD-ratios'!BK11-'MD-ratios'!$AA11)/('MD-ratios'!$Y11-'MD-ratios'!$AA11))/LOG('MD-ratios'!$U11),0)))</f>
        <v>5.3635645853658822</v>
      </c>
      <c r="BC8" s="242">
        <f>IF('MD-ratios'!BL11&gt;'MD-ratios'!$AC11,10,IF('MD-ratios'!BL11&gt;='MD-ratios'!$AA11,5+5*LOG(1+('MD-ratios'!$U11-1)*('MD-ratios'!BL11-'MD-ratios'!$AA11)/('MD-ratios'!$AC11-'MD-ratios'!$AA11))/LOG('MD-ratios'!$U11),IF('MD-ratios'!BL11&gt;'MD-ratios'!$Y11,5-5*LOG(1+('MD-ratios'!$U11-1)*('MD-ratios'!BL11-'MD-ratios'!$AA11)/('MD-ratios'!$Y11-'MD-ratios'!$AA11))/LOG('MD-ratios'!$U11),0)))</f>
        <v>7.6309440835043194</v>
      </c>
      <c r="BD8" s="242">
        <f>IF('MD-ratios'!BM11&gt;'MD-ratios'!$AC11,10,IF('MD-ratios'!BM11&gt;='MD-ratios'!$AA11,5+5*LOG(1+('MD-ratios'!$U11-1)*('MD-ratios'!BM11-'MD-ratios'!$AA11)/('MD-ratios'!$AC11-'MD-ratios'!$AA11))/LOG('MD-ratios'!$U11),IF('MD-ratios'!BM11&gt;'MD-ratios'!$Y11,5-5*LOG(1+('MD-ratios'!$U11-1)*('MD-ratios'!BM11-'MD-ratios'!$AA11)/('MD-ratios'!$Y11-'MD-ratios'!$AA11))/LOG('MD-ratios'!$U11),0)))</f>
        <v>9.3574539881539938</v>
      </c>
      <c r="BE8" s="242">
        <f>IF('MD-ratios'!BN11&gt;'MD-ratios'!$AC11,10,IF('MD-ratios'!BN11&gt;='MD-ratios'!$AA11,5+5*LOG(1+('MD-ratios'!$U11-1)*('MD-ratios'!BN11-'MD-ratios'!$AA11)/('MD-ratios'!$AC11-'MD-ratios'!$AA11))/LOG('MD-ratios'!$U11),IF('MD-ratios'!BN11&gt;'MD-ratios'!$Y11,5-5*LOG(1+('MD-ratios'!$U11-1)*('MD-ratios'!BN11-'MD-ratios'!$AA11)/('MD-ratios'!$Y11-'MD-ratios'!$AA11))/LOG('MD-ratios'!$U11),0)))</f>
        <v>8.434864965492828</v>
      </c>
      <c r="BF8" s="242">
        <f>IF('MD-ratios'!BO11&gt;'MD-ratios'!$AC11,10,IF('MD-ratios'!BO11&gt;='MD-ratios'!$AA11,5+5*LOG(1+('MD-ratios'!$U11-1)*('MD-ratios'!BO11-'MD-ratios'!$AA11)/('MD-ratios'!$AC11-'MD-ratios'!$AA11))/LOG('MD-ratios'!$U11),IF('MD-ratios'!BO11&gt;'MD-ratios'!$Y11,5-5*LOG(1+('MD-ratios'!$U11-1)*('MD-ratios'!BO11-'MD-ratios'!$AA11)/('MD-ratios'!$Y11-'MD-ratios'!$AA11))/LOG('MD-ratios'!$U11),0)))</f>
        <v>7.5571302036608117</v>
      </c>
      <c r="BG8" s="242">
        <f>IF('MD-ratios'!BP11&gt;'MD-ratios'!$AC11,10,IF('MD-ratios'!BP11&gt;='MD-ratios'!$AA11,5+5*LOG(1+('MD-ratios'!$U11-1)*('MD-ratios'!BP11-'MD-ratios'!$AA11)/('MD-ratios'!$AC11-'MD-ratios'!$AA11))/LOG('MD-ratios'!$U11),IF('MD-ratios'!BP11&gt;'MD-ratios'!$Y11,5-5*LOG(1+('MD-ratios'!$U11-1)*('MD-ratios'!BP11-'MD-ratios'!$AA11)/('MD-ratios'!$Y11-'MD-ratios'!$AA11))/LOG('MD-ratios'!$U11),0)))</f>
        <v>10</v>
      </c>
      <c r="BH8" s="242">
        <f>IF('MD-ratios'!BQ11&gt;'MD-ratios'!$AC11,10,IF('MD-ratios'!BQ11&gt;='MD-ratios'!$AA11,5+5*LOG(1+('MD-ratios'!$U11-1)*('MD-ratios'!BQ11-'MD-ratios'!$AA11)/('MD-ratios'!$AC11-'MD-ratios'!$AA11))/LOG('MD-ratios'!$U11),IF('MD-ratios'!BQ11&gt;'MD-ratios'!$Y11,5-5*LOG(1+('MD-ratios'!$U11-1)*('MD-ratios'!BQ11-'MD-ratios'!$AA11)/('MD-ratios'!$Y11-'MD-ratios'!$AA11))/LOG('MD-ratios'!$U11),0)))</f>
        <v>4.0785824371609669</v>
      </c>
      <c r="BI8" s="242">
        <f>IF('MD-ratios'!BR11&gt;'MD-ratios'!$AC11,10,IF('MD-ratios'!BR11&gt;='MD-ratios'!$AA11,5+5*LOG(1+('MD-ratios'!$U11-1)*('MD-ratios'!BR11-'MD-ratios'!$AA11)/('MD-ratios'!$AC11-'MD-ratios'!$AA11))/LOG('MD-ratios'!$U11),IF('MD-ratios'!BR11&gt;'MD-ratios'!$Y11,5-5*LOG(1+('MD-ratios'!$U11-1)*('MD-ratios'!BR11-'MD-ratios'!$AA11)/('MD-ratios'!$Y11-'MD-ratios'!$AA11))/LOG('MD-ratios'!$U11),0)))</f>
        <v>8.7507202602011507</v>
      </c>
      <c r="BJ8" s="242">
        <f>IF('MD-ratios'!BS11&gt;'MD-ratios'!$AC11,10,IF('MD-ratios'!BS11&gt;='MD-ratios'!$AA11,5+5*LOG(1+('MD-ratios'!$U11-1)*('MD-ratios'!BS11-'MD-ratios'!$AA11)/('MD-ratios'!$AC11-'MD-ratios'!$AA11))/LOG('MD-ratios'!$U11),IF('MD-ratios'!BS11&gt;'MD-ratios'!$Y11,5-5*LOG(1+('MD-ratios'!$U11-1)*('MD-ratios'!BS11-'MD-ratios'!$AA11)/('MD-ratios'!$Y11-'MD-ratios'!$AA11))/LOG('MD-ratios'!$U11),0)))</f>
        <v>3.8651246945107909</v>
      </c>
      <c r="BK8" s="242">
        <f>IF('MD-ratios'!BT11&gt;'MD-ratios'!$AC11,10,IF('MD-ratios'!BT11&gt;='MD-ratios'!$AA11,5+5*LOG(1+('MD-ratios'!$U11-1)*('MD-ratios'!BT11-'MD-ratios'!$AA11)/('MD-ratios'!$AC11-'MD-ratios'!$AA11))/LOG('MD-ratios'!$U11),IF('MD-ratios'!BT11&gt;'MD-ratios'!$Y11,5-5*LOG(1+('MD-ratios'!$U11-1)*('MD-ratios'!BT11-'MD-ratios'!$AA11)/('MD-ratios'!$Y11-'MD-ratios'!$AA11))/LOG('MD-ratios'!$U11),0)))</f>
        <v>10</v>
      </c>
      <c r="BL8" s="242">
        <f>IF('MD-ratios'!BU11&gt;'MD-ratios'!$AC11,10,IF('MD-ratios'!BU11&gt;='MD-ratios'!$AA11,5+5*LOG(1+('MD-ratios'!$U11-1)*('MD-ratios'!BU11-'MD-ratios'!$AA11)/('MD-ratios'!$AC11-'MD-ratios'!$AA11))/LOG('MD-ratios'!$U11),IF('MD-ratios'!BU11&gt;'MD-ratios'!$Y11,5-5*LOG(1+('MD-ratios'!$U11-1)*('MD-ratios'!BU11-'MD-ratios'!$AA11)/('MD-ratios'!$Y11-'MD-ratios'!$AA11))/LOG('MD-ratios'!$U11),0)))</f>
        <v>7.3433935392023955</v>
      </c>
      <c r="BM8" s="242">
        <f>IF('MD-ratios'!BV11&gt;'MD-ratios'!$AC11,10,IF('MD-ratios'!BV11&gt;='MD-ratios'!$AA11,5+5*LOG(1+('MD-ratios'!$U11-1)*('MD-ratios'!BV11-'MD-ratios'!$AA11)/('MD-ratios'!$AC11-'MD-ratios'!$AA11))/LOG('MD-ratios'!$U11),IF('MD-ratios'!BV11&gt;'MD-ratios'!$Y11,5-5*LOG(1+('MD-ratios'!$U11-1)*('MD-ratios'!BV11-'MD-ratios'!$AA11)/('MD-ratios'!$Y11-'MD-ratios'!$AA11))/LOG('MD-ratios'!$U11),0)))</f>
        <v>6.9707688292762464</v>
      </c>
      <c r="BN8" s="242">
        <f>IF('MD-ratios'!BW11&gt;'MD-ratios'!$AC11,10,IF('MD-ratios'!BW11&gt;='MD-ratios'!$AA11,5+5*LOG(1+('MD-ratios'!$U11-1)*('MD-ratios'!BW11-'MD-ratios'!$AA11)/('MD-ratios'!$AC11-'MD-ratios'!$AA11))/LOG('MD-ratios'!$U11),IF('MD-ratios'!BW11&gt;'MD-ratios'!$Y11,5-5*LOG(1+('MD-ratios'!$U11-1)*('MD-ratios'!BW11-'MD-ratios'!$AA11)/('MD-ratios'!$Y11-'MD-ratios'!$AA11))/LOG('MD-ratios'!$U11),0)))</f>
        <v>5.8010636791944687</v>
      </c>
      <c r="BO8" s="242">
        <f>IF('MD-ratios'!BX11&gt;'MD-ratios'!$AC11,10,IF('MD-ratios'!BX11&gt;='MD-ratios'!$AA11,5+5*LOG(1+('MD-ratios'!$U11-1)*('MD-ratios'!BX11-'MD-ratios'!$AA11)/('MD-ratios'!$AC11-'MD-ratios'!$AA11))/LOG('MD-ratios'!$U11),IF('MD-ratios'!BX11&gt;'MD-ratios'!$Y11,5-5*LOG(1+('MD-ratios'!$U11-1)*('MD-ratios'!BX11-'MD-ratios'!$AA11)/('MD-ratios'!$Y11-'MD-ratios'!$AA11))/LOG('MD-ratios'!$U11),0)))</f>
        <v>0</v>
      </c>
      <c r="BP8" s="242">
        <f>IF('MD-ratios'!BY11&gt;'MD-ratios'!$AC11,10,IF('MD-ratios'!BY11&gt;='MD-ratios'!$AA11,5+5*LOG(1+('MD-ratios'!$U11-1)*('MD-ratios'!BY11-'MD-ratios'!$AA11)/('MD-ratios'!$AC11-'MD-ratios'!$AA11))/LOG('MD-ratios'!$U11),IF('MD-ratios'!BY11&gt;'MD-ratios'!$Y11,5-5*LOG(1+('MD-ratios'!$U11-1)*('MD-ratios'!BY11-'MD-ratios'!$AA11)/('MD-ratios'!$Y11-'MD-ratios'!$AA11))/LOG('MD-ratios'!$U11),0)))</f>
        <v>4.2615842165300144</v>
      </c>
      <c r="BQ8" s="242">
        <f>IF('MD-ratios'!BZ11&gt;'MD-ratios'!$AC11,10,IF('MD-ratios'!BZ11&gt;='MD-ratios'!$AA11,5+5*LOG(1+('MD-ratios'!$U11-1)*('MD-ratios'!BZ11-'MD-ratios'!$AA11)/('MD-ratios'!$AC11-'MD-ratios'!$AA11))/LOG('MD-ratios'!$U11),IF('MD-ratios'!BZ11&gt;'MD-ratios'!$Y11,5-5*LOG(1+('MD-ratios'!$U11-1)*('MD-ratios'!BZ11-'MD-ratios'!$AA11)/('MD-ratios'!$Y11-'MD-ratios'!$AA11))/LOG('MD-ratios'!$U11),0)))</f>
        <v>7.1780328632145718</v>
      </c>
      <c r="BR8" s="242">
        <f>IF('MD-ratios'!CA11&gt;'MD-ratios'!$AC11,10,IF('MD-ratios'!CA11&gt;='MD-ratios'!$AA11,5+5*LOG(1+('MD-ratios'!$U11-1)*('MD-ratios'!CA11-'MD-ratios'!$AA11)/('MD-ratios'!$AC11-'MD-ratios'!$AA11))/LOG('MD-ratios'!$U11),IF('MD-ratios'!CA11&gt;'MD-ratios'!$Y11,5-5*LOG(1+('MD-ratios'!$U11-1)*('MD-ratios'!CA11-'MD-ratios'!$AA11)/('MD-ratios'!$Y11-'MD-ratios'!$AA11))/LOG('MD-ratios'!$U11),0)))</f>
        <v>8.038927075473481</v>
      </c>
      <c r="BS8" s="242">
        <f>IF('MD-ratios'!CB11&gt;'MD-ratios'!$AC11,10,IF('MD-ratios'!CB11&gt;='MD-ratios'!$AA11,5+5*LOG(1+('MD-ratios'!$U11-1)*('MD-ratios'!CB11-'MD-ratios'!$AA11)/('MD-ratios'!$AC11-'MD-ratios'!$AA11))/LOG('MD-ratios'!$U11),IF('MD-ratios'!CB11&gt;'MD-ratios'!$Y11,5-5*LOG(1+('MD-ratios'!$U11-1)*('MD-ratios'!CB11-'MD-ratios'!$AA11)/('MD-ratios'!$Y11-'MD-ratios'!$AA11))/LOG('MD-ratios'!$U11),0)))</f>
        <v>2.2095224191546494</v>
      </c>
      <c r="BT8" s="242">
        <f>IF('MD-ratios'!CC11&gt;'MD-ratios'!$AC11,10,IF('MD-ratios'!CC11&gt;='MD-ratios'!$AA11,5+5*LOG(1+('MD-ratios'!$U11-1)*('MD-ratios'!CC11-'MD-ratios'!$AA11)/('MD-ratios'!$AC11-'MD-ratios'!$AA11))/LOG('MD-ratios'!$U11),IF('MD-ratios'!CC11&gt;'MD-ratios'!$Y11,5-5*LOG(1+('MD-ratios'!$U11-1)*('MD-ratios'!CC11-'MD-ratios'!$AA11)/('MD-ratios'!$Y11-'MD-ratios'!$AA11))/LOG('MD-ratios'!$U11),0)))</f>
        <v>5.7451758948785674</v>
      </c>
    </row>
    <row r="9" spans="1:72" ht="15.75" thickBot="1" x14ac:dyDescent="0.3">
      <c r="A9" s="640"/>
      <c r="B9" s="659"/>
      <c r="C9" s="518">
        <f>'MD-ranking'!N3</f>
        <v>0.05</v>
      </c>
      <c r="D9" s="409" t="s">
        <v>102</v>
      </c>
      <c r="E9" s="414" t="s">
        <v>103</v>
      </c>
      <c r="F9" s="417">
        <v>1</v>
      </c>
      <c r="G9" s="417">
        <v>2</v>
      </c>
      <c r="H9" s="417">
        <v>3</v>
      </c>
      <c r="I9" s="417">
        <v>4</v>
      </c>
      <c r="K9" s="595" t="s">
        <v>386</v>
      </c>
      <c r="L9" s="224" t="s">
        <v>389</v>
      </c>
      <c r="N9" s="653"/>
      <c r="P9" s="226">
        <f>'MD-ratios'!Y12</f>
        <v>-0.28675695733572315</v>
      </c>
      <c r="Q9" s="566">
        <f>'MD-ratios'!Z12</f>
        <v>-0.14337847866786158</v>
      </c>
      <c r="R9" s="226">
        <f>'MD-ratios'!AA12</f>
        <v>0</v>
      </c>
      <c r="S9" s="566">
        <f>'MD-ratios'!AB12</f>
        <v>0.14337847866786158</v>
      </c>
      <c r="T9" s="226">
        <f>'MD-ratios'!AC12</f>
        <v>0.28675695733572315</v>
      </c>
      <c r="W9" s="242">
        <f>IF('MD-ratios'!AF12&gt;'MD-ratios'!$AC12,10,IF('MD-ratios'!AF12&gt;='MD-ratios'!$AA12,5+5*LOG(1+('MD-ratios'!$U12-1)*('MD-ratios'!AF12-'MD-ratios'!$AA12)/('MD-ratios'!$AC12-'MD-ratios'!$AA12))/LOG('MD-ratios'!$U12),IF('MD-ratios'!AF12&gt;'MD-ratios'!$Y12,5-5*LOG(1+('MD-ratios'!$U12-1)*('MD-ratios'!AF12-'MD-ratios'!$AA12)/('MD-ratios'!$Y12-'MD-ratios'!$AA12))/LOG('MD-ratios'!$U12),0)))</f>
        <v>7.4543266534309556</v>
      </c>
      <c r="X9" s="242">
        <f>IF('MD-ratios'!AG12&gt;'MD-ratios'!$AC12,10,IF('MD-ratios'!AG12&gt;='MD-ratios'!$AA12,5+5*LOG(1+('MD-ratios'!$U12-1)*('MD-ratios'!AG12-'MD-ratios'!$AA12)/('MD-ratios'!$AC12-'MD-ratios'!$AA12))/LOG('MD-ratios'!$U12),IF('MD-ratios'!AG12&gt;'MD-ratios'!$Y12,5-5*LOG(1+('MD-ratios'!$U12-1)*('MD-ratios'!AG12-'MD-ratios'!$AA12)/('MD-ratios'!$Y12-'MD-ratios'!$AA12))/LOG('MD-ratios'!$U12),0)))</f>
        <v>5.9563693244580271</v>
      </c>
      <c r="Y9" s="242">
        <f>IF('MD-ratios'!AH12&gt;'MD-ratios'!$AC12,10,IF('MD-ratios'!AH12&gt;='MD-ratios'!$AA12,5+5*LOG(1+('MD-ratios'!$U12-1)*('MD-ratios'!AH12-'MD-ratios'!$AA12)/('MD-ratios'!$AC12-'MD-ratios'!$AA12))/LOG('MD-ratios'!$U12),IF('MD-ratios'!AH12&gt;'MD-ratios'!$Y12,5-5*LOG(1+('MD-ratios'!$U12-1)*('MD-ratios'!AH12-'MD-ratios'!$AA12)/('MD-ratios'!$Y12-'MD-ratios'!$AA12))/LOG('MD-ratios'!$U12),0)))</f>
        <v>0.50122350359964596</v>
      </c>
      <c r="Z9" s="242">
        <f>IF('MD-ratios'!AI12&gt;'MD-ratios'!$AC12,10,IF('MD-ratios'!AI12&gt;='MD-ratios'!$AA12,5+5*LOG(1+('MD-ratios'!$U12-1)*('MD-ratios'!AI12-'MD-ratios'!$AA12)/('MD-ratios'!$AC12-'MD-ratios'!$AA12))/LOG('MD-ratios'!$U12),IF('MD-ratios'!AI12&gt;'MD-ratios'!$Y12,5-5*LOG(1+('MD-ratios'!$U12-1)*('MD-ratios'!AI12-'MD-ratios'!$AA12)/('MD-ratios'!$Y12-'MD-ratios'!$AA12))/LOG('MD-ratios'!$U12),0)))</f>
        <v>5.2242797661217129</v>
      </c>
      <c r="AA9" s="242">
        <f>IF('MD-ratios'!AJ12&gt;'MD-ratios'!$AC12,10,IF('MD-ratios'!AJ12&gt;='MD-ratios'!$AA12,5+5*LOG(1+('MD-ratios'!$U12-1)*('MD-ratios'!AJ12-'MD-ratios'!$AA12)/('MD-ratios'!$AC12-'MD-ratios'!$AA12))/LOG('MD-ratios'!$U12),IF('MD-ratios'!AJ12&gt;'MD-ratios'!$Y12,5-5*LOG(1+('MD-ratios'!$U12-1)*('MD-ratios'!AJ12-'MD-ratios'!$AA12)/('MD-ratios'!$Y12-'MD-ratios'!$AA12))/LOG('MD-ratios'!$U12),0)))</f>
        <v>8.8355864453676549</v>
      </c>
      <c r="AB9" s="242">
        <f>IF('MD-ratios'!AK12&gt;'MD-ratios'!$AC12,10,IF('MD-ratios'!AK12&gt;='MD-ratios'!$AA12,5+5*LOG(1+('MD-ratios'!$U12-1)*('MD-ratios'!AK12-'MD-ratios'!$AA12)/('MD-ratios'!$AC12-'MD-ratios'!$AA12))/LOG('MD-ratios'!$U12),IF('MD-ratios'!AK12&gt;'MD-ratios'!$Y12,5-5*LOG(1+('MD-ratios'!$U12-1)*('MD-ratios'!AK12-'MD-ratios'!$AA12)/('MD-ratios'!$Y12-'MD-ratios'!$AA12))/LOG('MD-ratios'!$U12),0)))</f>
        <v>2.890047392210171E-2</v>
      </c>
      <c r="AC9" s="242">
        <f>IF('MD-ratios'!AL12&gt;'MD-ratios'!$AC12,10,IF('MD-ratios'!AL12&gt;='MD-ratios'!$AA12,5+5*LOG(1+('MD-ratios'!$U12-1)*('MD-ratios'!AL12-'MD-ratios'!$AA12)/('MD-ratios'!$AC12-'MD-ratios'!$AA12))/LOG('MD-ratios'!$U12),IF('MD-ratios'!AL12&gt;'MD-ratios'!$Y12,5-5*LOG(1+('MD-ratios'!$U12-1)*('MD-ratios'!AL12-'MD-ratios'!$AA12)/('MD-ratios'!$Y12-'MD-ratios'!$AA12))/LOG('MD-ratios'!$U12),0)))</f>
        <v>7.0616452796499853</v>
      </c>
      <c r="AD9" s="242">
        <f>IF('MD-ratios'!AM12&gt;'MD-ratios'!$AC12,10,IF('MD-ratios'!AM12&gt;='MD-ratios'!$AA12,5+5*LOG(1+('MD-ratios'!$U12-1)*('MD-ratios'!AM12-'MD-ratios'!$AA12)/('MD-ratios'!$AC12-'MD-ratios'!$AA12))/LOG('MD-ratios'!$U12),IF('MD-ratios'!AM12&gt;'MD-ratios'!$Y12,5-5*LOG(1+('MD-ratios'!$U12-1)*('MD-ratios'!AM12-'MD-ratios'!$AA12)/('MD-ratios'!$Y12-'MD-ratios'!$AA12))/LOG('MD-ratios'!$U12),0)))</f>
        <v>6.8438526165038311</v>
      </c>
      <c r="AE9" s="242">
        <f>IF('MD-ratios'!AN12&gt;'MD-ratios'!$AC12,10,IF('MD-ratios'!AN12&gt;='MD-ratios'!$AA12,5+5*LOG(1+('MD-ratios'!$U12-1)*('MD-ratios'!AN12-'MD-ratios'!$AA12)/('MD-ratios'!$AC12-'MD-ratios'!$AA12))/LOG('MD-ratios'!$U12),IF('MD-ratios'!AN12&gt;'MD-ratios'!$Y12,5-5*LOG(1+('MD-ratios'!$U12-1)*('MD-ratios'!AN12-'MD-ratios'!$AA12)/('MD-ratios'!$Y12-'MD-ratios'!$AA12))/LOG('MD-ratios'!$U12),0)))</f>
        <v>6.2950313968250597</v>
      </c>
      <c r="AF9" s="242">
        <f>IF('MD-ratios'!AO12&gt;'MD-ratios'!$AC12,10,IF('MD-ratios'!AO12&gt;='MD-ratios'!$AA12,5+5*LOG(1+('MD-ratios'!$U12-1)*('MD-ratios'!AO12-'MD-ratios'!$AA12)/('MD-ratios'!$AC12-'MD-ratios'!$AA12))/LOG('MD-ratios'!$U12),IF('MD-ratios'!AO12&gt;'MD-ratios'!$Y12,5-5*LOG(1+('MD-ratios'!$U12-1)*('MD-ratios'!AO12-'MD-ratios'!$AA12)/('MD-ratios'!$Y12-'MD-ratios'!$AA12))/LOG('MD-ratios'!$U12),0)))</f>
        <v>2.3124167615999016</v>
      </c>
      <c r="AG9" s="242">
        <f>IF('MD-ratios'!AP12&gt;'MD-ratios'!$AC12,10,IF('MD-ratios'!AP12&gt;='MD-ratios'!$AA12,5+5*LOG(1+('MD-ratios'!$U12-1)*('MD-ratios'!AP12-'MD-ratios'!$AA12)/('MD-ratios'!$AC12-'MD-ratios'!$AA12))/LOG('MD-ratios'!$U12),IF('MD-ratios'!AP12&gt;'MD-ratios'!$Y12,5-5*LOG(1+('MD-ratios'!$U12-1)*('MD-ratios'!AP12-'MD-ratios'!$AA12)/('MD-ratios'!$Y12-'MD-ratios'!$AA12))/LOG('MD-ratios'!$U12),0)))</f>
        <v>5.0549271462013881</v>
      </c>
      <c r="AH9" s="242">
        <f>IF('MD-ratios'!AQ12&gt;'MD-ratios'!$AC12,10,IF('MD-ratios'!AQ12&gt;='MD-ratios'!$AA12,5+5*LOG(1+('MD-ratios'!$U12-1)*('MD-ratios'!AQ12-'MD-ratios'!$AA12)/('MD-ratios'!$AC12-'MD-ratios'!$AA12))/LOG('MD-ratios'!$U12),IF('MD-ratios'!AQ12&gt;'MD-ratios'!$Y12,5-5*LOG(1+('MD-ratios'!$U12-1)*('MD-ratios'!AQ12-'MD-ratios'!$AA12)/('MD-ratios'!$Y12-'MD-ratios'!$AA12))/LOG('MD-ratios'!$U12),0)))</f>
        <v>7.2895448491288342</v>
      </c>
      <c r="AI9" s="242">
        <f>IF('MD-ratios'!AR12&gt;'MD-ratios'!$AC12,10,IF('MD-ratios'!AR12&gt;='MD-ratios'!$AA12,5+5*LOG(1+('MD-ratios'!$U12-1)*('MD-ratios'!AR12-'MD-ratios'!$AA12)/('MD-ratios'!$AC12-'MD-ratios'!$AA12))/LOG('MD-ratios'!$U12),IF('MD-ratios'!AR12&gt;'MD-ratios'!$Y12,5-5*LOG(1+('MD-ratios'!$U12-1)*('MD-ratios'!AR12-'MD-ratios'!$AA12)/('MD-ratios'!$Y12-'MD-ratios'!$AA12))/LOG('MD-ratios'!$U12),0)))</f>
        <v>8.9456748665158834</v>
      </c>
      <c r="AJ9" s="242">
        <f>IF('MD-ratios'!AS12&gt;'MD-ratios'!$AC12,10,IF('MD-ratios'!AS12&gt;='MD-ratios'!$AA12,5+5*LOG(1+('MD-ratios'!$U12-1)*('MD-ratios'!AS12-'MD-ratios'!$AA12)/('MD-ratios'!$AC12-'MD-ratios'!$AA12))/LOG('MD-ratios'!$U12),IF('MD-ratios'!AS12&gt;'MD-ratios'!$Y12,5-5*LOG(1+('MD-ratios'!$U12-1)*('MD-ratios'!AS12-'MD-ratios'!$AA12)/('MD-ratios'!$Y12-'MD-ratios'!$AA12))/LOG('MD-ratios'!$U12),0)))</f>
        <v>0</v>
      </c>
      <c r="AK9" s="242">
        <f>IF('MD-ratios'!AT12&gt;'MD-ratios'!$AC12,10,IF('MD-ratios'!AT12&gt;='MD-ratios'!$AA12,5+5*LOG(1+('MD-ratios'!$U12-1)*('MD-ratios'!AT12-'MD-ratios'!$AA12)/('MD-ratios'!$AC12-'MD-ratios'!$AA12))/LOG('MD-ratios'!$U12),IF('MD-ratios'!AT12&gt;'MD-ratios'!$Y12,5-5*LOG(1+('MD-ratios'!$U12-1)*('MD-ratios'!AT12-'MD-ratios'!$AA12)/('MD-ratios'!$Y12-'MD-ratios'!$AA12))/LOG('MD-ratios'!$U12),0)))</f>
        <v>8.8446724965172603</v>
      </c>
      <c r="AL9" s="242">
        <f>IF('MD-ratios'!AU12&gt;'MD-ratios'!$AC12,10,IF('MD-ratios'!AU12&gt;='MD-ratios'!$AA12,5+5*LOG(1+('MD-ratios'!$U12-1)*('MD-ratios'!AU12-'MD-ratios'!$AA12)/('MD-ratios'!$AC12-'MD-ratios'!$AA12))/LOG('MD-ratios'!$U12),IF('MD-ratios'!AU12&gt;'MD-ratios'!$Y12,5-5*LOG(1+('MD-ratios'!$U12-1)*('MD-ratios'!AU12-'MD-ratios'!$AA12)/('MD-ratios'!$Y12-'MD-ratios'!$AA12))/LOG('MD-ratios'!$U12),0)))</f>
        <v>3.0910237391607582</v>
      </c>
      <c r="AM9" s="242">
        <f>IF('MD-ratios'!AV12&gt;'MD-ratios'!$AC12,10,IF('MD-ratios'!AV12&gt;='MD-ratios'!$AA12,5+5*LOG(1+('MD-ratios'!$U12-1)*('MD-ratios'!AV12-'MD-ratios'!$AA12)/('MD-ratios'!$AC12-'MD-ratios'!$AA12))/LOG('MD-ratios'!$U12),IF('MD-ratios'!AV12&gt;'MD-ratios'!$Y12,5-5*LOG(1+('MD-ratios'!$U12-1)*('MD-ratios'!AV12-'MD-ratios'!$AA12)/('MD-ratios'!$Y12-'MD-ratios'!$AA12))/LOG('MD-ratios'!$U12),0)))</f>
        <v>7.2994421017058908</v>
      </c>
      <c r="AN9" s="242">
        <f>IF('MD-ratios'!AW12&gt;'MD-ratios'!$AC12,10,IF('MD-ratios'!AW12&gt;='MD-ratios'!$AA12,5+5*LOG(1+('MD-ratios'!$U12-1)*('MD-ratios'!AW12-'MD-ratios'!$AA12)/('MD-ratios'!$AC12-'MD-ratios'!$AA12))/LOG('MD-ratios'!$U12),IF('MD-ratios'!AW12&gt;'MD-ratios'!$Y12,5-5*LOG(1+('MD-ratios'!$U12-1)*('MD-ratios'!AW12-'MD-ratios'!$AA12)/('MD-ratios'!$Y12-'MD-ratios'!$AA12))/LOG('MD-ratios'!$U12),0)))</f>
        <v>9.4052049314376198</v>
      </c>
      <c r="AO9" s="242">
        <f>IF('MD-ratios'!AX12&gt;'MD-ratios'!$AC12,10,IF('MD-ratios'!AX12&gt;='MD-ratios'!$AA12,5+5*LOG(1+('MD-ratios'!$U12-1)*('MD-ratios'!AX12-'MD-ratios'!$AA12)/('MD-ratios'!$AC12-'MD-ratios'!$AA12))/LOG('MD-ratios'!$U12),IF('MD-ratios'!AX12&gt;'MD-ratios'!$Y12,5-5*LOG(1+('MD-ratios'!$U12-1)*('MD-ratios'!AX12-'MD-ratios'!$AA12)/('MD-ratios'!$Y12-'MD-ratios'!$AA12))/LOG('MD-ratios'!$U12),0)))</f>
        <v>5.1207566815033454</v>
      </c>
      <c r="AP9" s="242">
        <f>IF('MD-ratios'!AY12&gt;'MD-ratios'!$AC12,10,IF('MD-ratios'!AY12&gt;='MD-ratios'!$AA12,5+5*LOG(1+('MD-ratios'!$U12-1)*('MD-ratios'!AY12-'MD-ratios'!$AA12)/('MD-ratios'!$AC12-'MD-ratios'!$AA12))/LOG('MD-ratios'!$U12),IF('MD-ratios'!AY12&gt;'MD-ratios'!$Y12,5-5*LOG(1+('MD-ratios'!$U12-1)*('MD-ratios'!AY12-'MD-ratios'!$AA12)/('MD-ratios'!$Y12-'MD-ratios'!$AA12))/LOG('MD-ratios'!$U12),0)))</f>
        <v>5.4115529541694389</v>
      </c>
      <c r="AQ9" s="242">
        <f>IF('MD-ratios'!AZ12&gt;'MD-ratios'!$AC12,10,IF('MD-ratios'!AZ12&gt;='MD-ratios'!$AA12,5+5*LOG(1+('MD-ratios'!$U12-1)*('MD-ratios'!AZ12-'MD-ratios'!$AA12)/('MD-ratios'!$AC12-'MD-ratios'!$AA12))/LOG('MD-ratios'!$U12),IF('MD-ratios'!AZ12&gt;'MD-ratios'!$Y12,5-5*LOG(1+('MD-ratios'!$U12-1)*('MD-ratios'!AZ12-'MD-ratios'!$AA12)/('MD-ratios'!$Y12-'MD-ratios'!$AA12))/LOG('MD-ratios'!$U12),0)))</f>
        <v>5.1964199147390975</v>
      </c>
      <c r="AR9" s="242">
        <f>IF('MD-ratios'!BA12&gt;'MD-ratios'!$AC12,10,IF('MD-ratios'!BA12&gt;='MD-ratios'!$AA12,5+5*LOG(1+('MD-ratios'!$U12-1)*('MD-ratios'!BA12-'MD-ratios'!$AA12)/('MD-ratios'!$AC12-'MD-ratios'!$AA12))/LOG('MD-ratios'!$U12),IF('MD-ratios'!BA12&gt;'MD-ratios'!$Y12,5-5*LOG(1+('MD-ratios'!$U12-1)*('MD-ratios'!BA12-'MD-ratios'!$AA12)/('MD-ratios'!$Y12-'MD-ratios'!$AA12))/LOG('MD-ratios'!$U12),0)))</f>
        <v>9.4556517965217797</v>
      </c>
      <c r="AS9" s="242">
        <f>IF('MD-ratios'!BB12&gt;'MD-ratios'!$AC12,10,IF('MD-ratios'!BB12&gt;='MD-ratios'!$AA12,5+5*LOG(1+('MD-ratios'!$U12-1)*('MD-ratios'!BB12-'MD-ratios'!$AA12)/('MD-ratios'!$AC12-'MD-ratios'!$AA12))/LOG('MD-ratios'!$U12),IF('MD-ratios'!BB12&gt;'MD-ratios'!$Y12,5-5*LOG(1+('MD-ratios'!$U12-1)*('MD-ratios'!BB12-'MD-ratios'!$AA12)/('MD-ratios'!$Y12-'MD-ratios'!$AA12))/LOG('MD-ratios'!$U12),0)))</f>
        <v>3.7448022966074115</v>
      </c>
      <c r="AT9" s="242">
        <f>IF('MD-ratios'!BC12&gt;'MD-ratios'!$AC12,10,IF('MD-ratios'!BC12&gt;='MD-ratios'!$AA12,5+5*LOG(1+('MD-ratios'!$U12-1)*('MD-ratios'!BC12-'MD-ratios'!$AA12)/('MD-ratios'!$AC12-'MD-ratios'!$AA12))/LOG('MD-ratios'!$U12),IF('MD-ratios'!BC12&gt;'MD-ratios'!$Y12,5-5*LOG(1+('MD-ratios'!$U12-1)*('MD-ratios'!BC12-'MD-ratios'!$AA12)/('MD-ratios'!$Y12-'MD-ratios'!$AA12))/LOG('MD-ratios'!$U12),0)))</f>
        <v>8.073535082691409</v>
      </c>
      <c r="AU9" s="242">
        <f>IF('MD-ratios'!BD12&gt;'MD-ratios'!$AC12,10,IF('MD-ratios'!BD12&gt;='MD-ratios'!$AA12,5+5*LOG(1+('MD-ratios'!$U12-1)*('MD-ratios'!BD12-'MD-ratios'!$AA12)/('MD-ratios'!$AC12-'MD-ratios'!$AA12))/LOG('MD-ratios'!$U12),IF('MD-ratios'!BD12&gt;'MD-ratios'!$Y12,5-5*LOG(1+('MD-ratios'!$U12-1)*('MD-ratios'!BD12-'MD-ratios'!$AA12)/('MD-ratios'!$Y12-'MD-ratios'!$AA12))/LOG('MD-ratios'!$U12),0)))</f>
        <v>10</v>
      </c>
      <c r="AV9" s="242">
        <f>IF('MD-ratios'!BE12&gt;'MD-ratios'!$AC12,10,IF('MD-ratios'!BE12&gt;='MD-ratios'!$AA12,5+5*LOG(1+('MD-ratios'!$U12-1)*('MD-ratios'!BE12-'MD-ratios'!$AA12)/('MD-ratios'!$AC12-'MD-ratios'!$AA12))/LOG('MD-ratios'!$U12),IF('MD-ratios'!BE12&gt;'MD-ratios'!$Y12,5-5*LOG(1+('MD-ratios'!$U12-1)*('MD-ratios'!BE12-'MD-ratios'!$AA12)/('MD-ratios'!$Y12-'MD-ratios'!$AA12))/LOG('MD-ratios'!$U12),0)))</f>
        <v>9.0266846434117571</v>
      </c>
      <c r="AW9" s="242">
        <f>IF('MD-ratios'!BF12&gt;'MD-ratios'!$AC12,10,IF('MD-ratios'!BF12&gt;='MD-ratios'!$AA12,5+5*LOG(1+('MD-ratios'!$U12-1)*('MD-ratios'!BF12-'MD-ratios'!$AA12)/('MD-ratios'!$AC12-'MD-ratios'!$AA12))/LOG('MD-ratios'!$U12),IF('MD-ratios'!BF12&gt;'MD-ratios'!$Y12,5-5*LOG(1+('MD-ratios'!$U12-1)*('MD-ratios'!BF12-'MD-ratios'!$AA12)/('MD-ratios'!$Y12-'MD-ratios'!$AA12))/LOG('MD-ratios'!$U12),0)))</f>
        <v>9.1056358376443924</v>
      </c>
      <c r="AX9" s="242">
        <f>IF('MD-ratios'!BG12&gt;'MD-ratios'!$AC12,10,IF('MD-ratios'!BG12&gt;='MD-ratios'!$AA12,5+5*LOG(1+('MD-ratios'!$U12-1)*('MD-ratios'!BG12-'MD-ratios'!$AA12)/('MD-ratios'!$AC12-'MD-ratios'!$AA12))/LOG('MD-ratios'!$U12),IF('MD-ratios'!BG12&gt;'MD-ratios'!$Y12,5-5*LOG(1+('MD-ratios'!$U12-1)*('MD-ratios'!BG12-'MD-ratios'!$AA12)/('MD-ratios'!$Y12-'MD-ratios'!$AA12))/LOG('MD-ratios'!$U12),0)))</f>
        <v>3.1841975263768889</v>
      </c>
      <c r="AY9" s="242">
        <f>IF('MD-ratios'!BH12&gt;'MD-ratios'!$AC12,10,IF('MD-ratios'!BH12&gt;='MD-ratios'!$AA12,5+5*LOG(1+('MD-ratios'!$U12-1)*('MD-ratios'!BH12-'MD-ratios'!$AA12)/('MD-ratios'!$AC12-'MD-ratios'!$AA12))/LOG('MD-ratios'!$U12),IF('MD-ratios'!BH12&gt;'MD-ratios'!$Y12,5-5*LOG(1+('MD-ratios'!$U12-1)*('MD-ratios'!BH12-'MD-ratios'!$AA12)/('MD-ratios'!$Y12-'MD-ratios'!$AA12))/LOG('MD-ratios'!$U12),0)))</f>
        <v>7.5022802703380371</v>
      </c>
      <c r="AZ9" s="242">
        <f>IF('MD-ratios'!BI12&gt;'MD-ratios'!$AC12,10,IF('MD-ratios'!BI12&gt;='MD-ratios'!$AA12,5+5*LOG(1+('MD-ratios'!$U12-1)*('MD-ratios'!BI12-'MD-ratios'!$AA12)/('MD-ratios'!$AC12-'MD-ratios'!$AA12))/LOG('MD-ratios'!$U12),IF('MD-ratios'!BI12&gt;'MD-ratios'!$Y12,5-5*LOG(1+('MD-ratios'!$U12-1)*('MD-ratios'!BI12-'MD-ratios'!$AA12)/('MD-ratios'!$Y12-'MD-ratios'!$AA12))/LOG('MD-ratios'!$U12),0)))</f>
        <v>6.1185964511676953</v>
      </c>
      <c r="BA9" s="242">
        <f>IF('MD-ratios'!BJ12&gt;'MD-ratios'!$AC12,10,IF('MD-ratios'!BJ12&gt;='MD-ratios'!$AA12,5+5*LOG(1+('MD-ratios'!$U12-1)*('MD-ratios'!BJ12-'MD-ratios'!$AA12)/('MD-ratios'!$AC12-'MD-ratios'!$AA12))/LOG('MD-ratios'!$U12),IF('MD-ratios'!BJ12&gt;'MD-ratios'!$Y12,5-5*LOG(1+('MD-ratios'!$U12-1)*('MD-ratios'!BJ12-'MD-ratios'!$AA12)/('MD-ratios'!$Y12-'MD-ratios'!$AA12))/LOG('MD-ratios'!$U12),0)))</f>
        <v>9.4564379738268958</v>
      </c>
      <c r="BB9" s="242">
        <f>IF('MD-ratios'!BK12&gt;'MD-ratios'!$AC12,10,IF('MD-ratios'!BK12&gt;='MD-ratios'!$AA12,5+5*LOG(1+('MD-ratios'!$U12-1)*('MD-ratios'!BK12-'MD-ratios'!$AA12)/('MD-ratios'!$AC12-'MD-ratios'!$AA12))/LOG('MD-ratios'!$U12),IF('MD-ratios'!BK12&gt;'MD-ratios'!$Y12,5-5*LOG(1+('MD-ratios'!$U12-1)*('MD-ratios'!BK12-'MD-ratios'!$AA12)/('MD-ratios'!$Y12-'MD-ratios'!$AA12))/LOG('MD-ratios'!$U12),0)))</f>
        <v>5.4707696329385076</v>
      </c>
      <c r="BC9" s="242">
        <f>IF('MD-ratios'!BL12&gt;'MD-ratios'!$AC12,10,IF('MD-ratios'!BL12&gt;='MD-ratios'!$AA12,5+5*LOG(1+('MD-ratios'!$U12-1)*('MD-ratios'!BL12-'MD-ratios'!$AA12)/('MD-ratios'!$AC12-'MD-ratios'!$AA12))/LOG('MD-ratios'!$U12),IF('MD-ratios'!BL12&gt;'MD-ratios'!$Y12,5-5*LOG(1+('MD-ratios'!$U12-1)*('MD-ratios'!BL12-'MD-ratios'!$AA12)/('MD-ratios'!$Y12-'MD-ratios'!$AA12))/LOG('MD-ratios'!$U12),0)))</f>
        <v>9.1148177736111453</v>
      </c>
      <c r="BD9" s="242">
        <f>IF('MD-ratios'!BM12&gt;'MD-ratios'!$AC12,10,IF('MD-ratios'!BM12&gt;='MD-ratios'!$AA12,5+5*LOG(1+('MD-ratios'!$U12-1)*('MD-ratios'!BM12-'MD-ratios'!$AA12)/('MD-ratios'!$AC12-'MD-ratios'!$AA12))/LOG('MD-ratios'!$U12),IF('MD-ratios'!BM12&gt;'MD-ratios'!$Y12,5-5*LOG(1+('MD-ratios'!$U12-1)*('MD-ratios'!BM12-'MD-ratios'!$AA12)/('MD-ratios'!$Y12-'MD-ratios'!$AA12))/LOG('MD-ratios'!$U12),0)))</f>
        <v>8.5257159632405397</v>
      </c>
      <c r="BE9" s="242">
        <f>IF('MD-ratios'!BN12&gt;'MD-ratios'!$AC12,10,IF('MD-ratios'!BN12&gt;='MD-ratios'!$AA12,5+5*LOG(1+('MD-ratios'!$U12-1)*('MD-ratios'!BN12-'MD-ratios'!$AA12)/('MD-ratios'!$AC12-'MD-ratios'!$AA12))/LOG('MD-ratios'!$U12),IF('MD-ratios'!BN12&gt;'MD-ratios'!$Y12,5-5*LOG(1+('MD-ratios'!$U12-1)*('MD-ratios'!BN12-'MD-ratios'!$AA12)/('MD-ratios'!$Y12-'MD-ratios'!$AA12))/LOG('MD-ratios'!$U12),0)))</f>
        <v>8.4508019470999365</v>
      </c>
      <c r="BF9" s="242">
        <f>IF('MD-ratios'!BO12&gt;'MD-ratios'!$AC12,10,IF('MD-ratios'!BO12&gt;='MD-ratios'!$AA12,5+5*LOG(1+('MD-ratios'!$U12-1)*('MD-ratios'!BO12-'MD-ratios'!$AA12)/('MD-ratios'!$AC12-'MD-ratios'!$AA12))/LOG('MD-ratios'!$U12),IF('MD-ratios'!BO12&gt;'MD-ratios'!$Y12,5-5*LOG(1+('MD-ratios'!$U12-1)*('MD-ratios'!BO12-'MD-ratios'!$AA12)/('MD-ratios'!$Y12-'MD-ratios'!$AA12))/LOG('MD-ratios'!$U12),0)))</f>
        <v>6.6106759899911589</v>
      </c>
      <c r="BG9" s="242">
        <f>IF('MD-ratios'!BP12&gt;'MD-ratios'!$AC12,10,IF('MD-ratios'!BP12&gt;='MD-ratios'!$AA12,5+5*LOG(1+('MD-ratios'!$U12-1)*('MD-ratios'!BP12-'MD-ratios'!$AA12)/('MD-ratios'!$AC12-'MD-ratios'!$AA12))/LOG('MD-ratios'!$U12),IF('MD-ratios'!BP12&gt;'MD-ratios'!$Y12,5-5*LOG(1+('MD-ratios'!$U12-1)*('MD-ratios'!BP12-'MD-ratios'!$AA12)/('MD-ratios'!$Y12-'MD-ratios'!$AA12))/LOG('MD-ratios'!$U12),0)))</f>
        <v>9.2791959366536148</v>
      </c>
      <c r="BH9" s="242">
        <f>IF('MD-ratios'!BQ12&gt;'MD-ratios'!$AC12,10,IF('MD-ratios'!BQ12&gt;='MD-ratios'!$AA12,5+5*LOG(1+('MD-ratios'!$U12-1)*('MD-ratios'!BQ12-'MD-ratios'!$AA12)/('MD-ratios'!$AC12-'MD-ratios'!$AA12))/LOG('MD-ratios'!$U12),IF('MD-ratios'!BQ12&gt;'MD-ratios'!$Y12,5-5*LOG(1+('MD-ratios'!$U12-1)*('MD-ratios'!BQ12-'MD-ratios'!$AA12)/('MD-ratios'!$Y12-'MD-ratios'!$AA12))/LOG('MD-ratios'!$U12),0)))</f>
        <v>4.5426999444837337</v>
      </c>
      <c r="BI9" s="242">
        <f>IF('MD-ratios'!BR12&gt;'MD-ratios'!$AC12,10,IF('MD-ratios'!BR12&gt;='MD-ratios'!$AA12,5+5*LOG(1+('MD-ratios'!$U12-1)*('MD-ratios'!BR12-'MD-ratios'!$AA12)/('MD-ratios'!$AC12-'MD-ratios'!$AA12))/LOG('MD-ratios'!$U12),IF('MD-ratios'!BR12&gt;'MD-ratios'!$Y12,5-5*LOG(1+('MD-ratios'!$U12-1)*('MD-ratios'!BR12-'MD-ratios'!$AA12)/('MD-ratios'!$Y12-'MD-ratios'!$AA12))/LOG('MD-ratios'!$U12),0)))</f>
        <v>7.7035233761698816</v>
      </c>
      <c r="BJ9" s="242">
        <f>IF('MD-ratios'!BS12&gt;'MD-ratios'!$AC12,10,IF('MD-ratios'!BS12&gt;='MD-ratios'!$AA12,5+5*LOG(1+('MD-ratios'!$U12-1)*('MD-ratios'!BS12-'MD-ratios'!$AA12)/('MD-ratios'!$AC12-'MD-ratios'!$AA12))/LOG('MD-ratios'!$U12),IF('MD-ratios'!BS12&gt;'MD-ratios'!$Y12,5-5*LOG(1+('MD-ratios'!$U12-1)*('MD-ratios'!BS12-'MD-ratios'!$AA12)/('MD-ratios'!$Y12-'MD-ratios'!$AA12))/LOG('MD-ratios'!$U12),0)))</f>
        <v>4.396221779780455</v>
      </c>
      <c r="BK9" s="242">
        <f>IF('MD-ratios'!BT12&gt;'MD-ratios'!$AC12,10,IF('MD-ratios'!BT12&gt;='MD-ratios'!$AA12,5+5*LOG(1+('MD-ratios'!$U12-1)*('MD-ratios'!BT12-'MD-ratios'!$AA12)/('MD-ratios'!$AC12-'MD-ratios'!$AA12))/LOG('MD-ratios'!$U12),IF('MD-ratios'!BT12&gt;'MD-ratios'!$Y12,5-5*LOG(1+('MD-ratios'!$U12-1)*('MD-ratios'!BT12-'MD-ratios'!$AA12)/('MD-ratios'!$Y12-'MD-ratios'!$AA12))/LOG('MD-ratios'!$U12),0)))</f>
        <v>8.6928785395122592</v>
      </c>
      <c r="BL9" s="242">
        <f>IF('MD-ratios'!BU12&gt;'MD-ratios'!$AC12,10,IF('MD-ratios'!BU12&gt;='MD-ratios'!$AA12,5+5*LOG(1+('MD-ratios'!$U12-1)*('MD-ratios'!BU12-'MD-ratios'!$AA12)/('MD-ratios'!$AC12-'MD-ratios'!$AA12))/LOG('MD-ratios'!$U12),IF('MD-ratios'!BU12&gt;'MD-ratios'!$Y12,5-5*LOG(1+('MD-ratios'!$U12-1)*('MD-ratios'!BU12-'MD-ratios'!$AA12)/('MD-ratios'!$Y12-'MD-ratios'!$AA12))/LOG('MD-ratios'!$U12),0)))</f>
        <v>6.839813758419635</v>
      </c>
      <c r="BM9" s="242">
        <f>IF('MD-ratios'!BV12&gt;'MD-ratios'!$AC12,10,IF('MD-ratios'!BV12&gt;='MD-ratios'!$AA12,5+5*LOG(1+('MD-ratios'!$U12-1)*('MD-ratios'!BV12-'MD-ratios'!$AA12)/('MD-ratios'!$AC12-'MD-ratios'!$AA12))/LOG('MD-ratios'!$U12),IF('MD-ratios'!BV12&gt;'MD-ratios'!$Y12,5-5*LOG(1+('MD-ratios'!$U12-1)*('MD-ratios'!BV12-'MD-ratios'!$AA12)/('MD-ratios'!$Y12-'MD-ratios'!$AA12))/LOG('MD-ratios'!$U12),0)))</f>
        <v>7.3285614214789501</v>
      </c>
      <c r="BN9" s="242">
        <f>IF('MD-ratios'!BW12&gt;'MD-ratios'!$AC12,10,IF('MD-ratios'!BW12&gt;='MD-ratios'!$AA12,5+5*LOG(1+('MD-ratios'!$U12-1)*('MD-ratios'!BW12-'MD-ratios'!$AA12)/('MD-ratios'!$AC12-'MD-ratios'!$AA12))/LOG('MD-ratios'!$U12),IF('MD-ratios'!BW12&gt;'MD-ratios'!$Y12,5-5*LOG(1+('MD-ratios'!$U12-1)*('MD-ratios'!BW12-'MD-ratios'!$AA12)/('MD-ratios'!$Y12-'MD-ratios'!$AA12))/LOG('MD-ratios'!$U12),0)))</f>
        <v>5.4516977438484311</v>
      </c>
      <c r="BO9" s="242">
        <f>IF('MD-ratios'!BX12&gt;'MD-ratios'!$AC12,10,IF('MD-ratios'!BX12&gt;='MD-ratios'!$AA12,5+5*LOG(1+('MD-ratios'!$U12-1)*('MD-ratios'!BX12-'MD-ratios'!$AA12)/('MD-ratios'!$AC12-'MD-ratios'!$AA12))/LOG('MD-ratios'!$U12),IF('MD-ratios'!BX12&gt;'MD-ratios'!$Y12,5-5*LOG(1+('MD-ratios'!$U12-1)*('MD-ratios'!BX12-'MD-ratios'!$AA12)/('MD-ratios'!$Y12-'MD-ratios'!$AA12))/LOG('MD-ratios'!$U12),0)))</f>
        <v>0</v>
      </c>
      <c r="BP9" s="242">
        <f>IF('MD-ratios'!BY12&gt;'MD-ratios'!$AC12,10,IF('MD-ratios'!BY12&gt;='MD-ratios'!$AA12,5+5*LOG(1+('MD-ratios'!$U12-1)*('MD-ratios'!BY12-'MD-ratios'!$AA12)/('MD-ratios'!$AC12-'MD-ratios'!$AA12))/LOG('MD-ratios'!$U12),IF('MD-ratios'!BY12&gt;'MD-ratios'!$Y12,5-5*LOG(1+('MD-ratios'!$U12-1)*('MD-ratios'!BY12-'MD-ratios'!$AA12)/('MD-ratios'!$Y12-'MD-ratios'!$AA12))/LOG('MD-ratios'!$U12),0)))</f>
        <v>4.3695334618231838</v>
      </c>
      <c r="BQ9" s="242">
        <f>IF('MD-ratios'!BZ12&gt;'MD-ratios'!$AC12,10,IF('MD-ratios'!BZ12&gt;='MD-ratios'!$AA12,5+5*LOG(1+('MD-ratios'!$U12-1)*('MD-ratios'!BZ12-'MD-ratios'!$AA12)/('MD-ratios'!$AC12-'MD-ratios'!$AA12))/LOG('MD-ratios'!$U12),IF('MD-ratios'!BZ12&gt;'MD-ratios'!$Y12,5-5*LOG(1+('MD-ratios'!$U12-1)*('MD-ratios'!BZ12-'MD-ratios'!$AA12)/('MD-ratios'!$Y12-'MD-ratios'!$AA12))/LOG('MD-ratios'!$U12),0)))</f>
        <v>8.1202186141287598</v>
      </c>
      <c r="BR9" s="242">
        <f>IF('MD-ratios'!CA12&gt;'MD-ratios'!$AC12,10,IF('MD-ratios'!CA12&gt;='MD-ratios'!$AA12,5+5*LOG(1+('MD-ratios'!$U12-1)*('MD-ratios'!CA12-'MD-ratios'!$AA12)/('MD-ratios'!$AC12-'MD-ratios'!$AA12))/LOG('MD-ratios'!$U12),IF('MD-ratios'!CA12&gt;'MD-ratios'!$Y12,5-5*LOG(1+('MD-ratios'!$U12-1)*('MD-ratios'!CA12-'MD-ratios'!$AA12)/('MD-ratios'!$Y12-'MD-ratios'!$AA12))/LOG('MD-ratios'!$U12),0)))</f>
        <v>7.7811363608334263</v>
      </c>
      <c r="BS9" s="242">
        <f>IF('MD-ratios'!CB12&gt;'MD-ratios'!$AC12,10,IF('MD-ratios'!CB12&gt;='MD-ratios'!$AA12,5+5*LOG(1+('MD-ratios'!$U12-1)*('MD-ratios'!CB12-'MD-ratios'!$AA12)/('MD-ratios'!$AC12-'MD-ratios'!$AA12))/LOG('MD-ratios'!$U12),IF('MD-ratios'!CB12&gt;'MD-ratios'!$Y12,5-5*LOG(1+('MD-ratios'!$U12-1)*('MD-ratios'!CB12-'MD-ratios'!$AA12)/('MD-ratios'!$Y12-'MD-ratios'!$AA12))/LOG('MD-ratios'!$U12),0)))</f>
        <v>3.2130305043732008</v>
      </c>
      <c r="BT9" s="242">
        <f>IF('MD-ratios'!CC12&gt;'MD-ratios'!$AC12,10,IF('MD-ratios'!CC12&gt;='MD-ratios'!$AA12,5+5*LOG(1+('MD-ratios'!$U12-1)*('MD-ratios'!CC12-'MD-ratios'!$AA12)/('MD-ratios'!$AC12-'MD-ratios'!$AA12))/LOG('MD-ratios'!$U12),IF('MD-ratios'!CC12&gt;'MD-ratios'!$Y12,5-5*LOG(1+('MD-ratios'!$U12-1)*('MD-ratios'!CC12-'MD-ratios'!$AA12)/('MD-ratios'!$Y12-'MD-ratios'!$AA12))/LOG('MD-ratios'!$U12),0)))</f>
        <v>5.4305078685614161</v>
      </c>
    </row>
    <row r="10" spans="1:72" ht="15.75" thickBot="1" x14ac:dyDescent="0.3">
      <c r="A10" s="640"/>
      <c r="B10" s="659"/>
      <c r="C10" s="518">
        <f>'MD-ranking'!O3</f>
        <v>0.1</v>
      </c>
      <c r="D10" s="409" t="s">
        <v>116</v>
      </c>
      <c r="E10" s="414" t="s">
        <v>117</v>
      </c>
      <c r="F10" s="417">
        <v>1</v>
      </c>
      <c r="G10" s="417">
        <v>2</v>
      </c>
      <c r="H10" s="417">
        <v>3</v>
      </c>
      <c r="I10" s="417">
        <v>4</v>
      </c>
      <c r="K10" s="595" t="s">
        <v>386</v>
      </c>
      <c r="L10" s="224" t="s">
        <v>389</v>
      </c>
      <c r="N10" s="653"/>
      <c r="P10" s="226">
        <f>'MD-ratios'!Y13</f>
        <v>-0.14571660974295453</v>
      </c>
      <c r="Q10" s="566">
        <f>'MD-ratios'!Z13</f>
        <v>-7.2858304871477264E-2</v>
      </c>
      <c r="R10" s="226">
        <f>'MD-ratios'!AA13</f>
        <v>0</v>
      </c>
      <c r="S10" s="566">
        <f>'MD-ratios'!AB13</f>
        <v>7.2858304871477264E-2</v>
      </c>
      <c r="T10" s="226">
        <f>'MD-ratios'!AC13</f>
        <v>0.14571660974295453</v>
      </c>
      <c r="W10" s="242">
        <f>IF('MD-ratios'!AF13&gt;'MD-ratios'!$AC13,10,IF('MD-ratios'!AF13&gt;='MD-ratios'!$AA13,5+5*LOG(1+('MD-ratios'!$U13-1)*('MD-ratios'!AF13-'MD-ratios'!$AA13)/('MD-ratios'!$AC13-'MD-ratios'!$AA13))/LOG('MD-ratios'!$U13),IF('MD-ratios'!AF13&gt;'MD-ratios'!$Y13,5-5*LOG(1+('MD-ratios'!$U13-1)*('MD-ratios'!AF13-'MD-ratios'!$AA13)/('MD-ratios'!$Y13-'MD-ratios'!$AA13))/LOG('MD-ratios'!$U13),0)))</f>
        <v>9.4965227159962389</v>
      </c>
      <c r="X10" s="242">
        <f>IF('MD-ratios'!AG13&gt;'MD-ratios'!$AC13,10,IF('MD-ratios'!AG13&gt;='MD-ratios'!$AA13,5+5*LOG(1+('MD-ratios'!$U13-1)*('MD-ratios'!AG13-'MD-ratios'!$AA13)/('MD-ratios'!$AC13-'MD-ratios'!$AA13))/LOG('MD-ratios'!$U13),IF('MD-ratios'!AG13&gt;'MD-ratios'!$Y13,5-5*LOG(1+('MD-ratios'!$U13-1)*('MD-ratios'!AG13-'MD-ratios'!$AA13)/('MD-ratios'!$Y13-'MD-ratios'!$AA13))/LOG('MD-ratios'!$U13),0)))</f>
        <v>5.5463756618840874</v>
      </c>
      <c r="Y10" s="242">
        <f>IF('MD-ratios'!AH13&gt;'MD-ratios'!$AC13,10,IF('MD-ratios'!AH13&gt;='MD-ratios'!$AA13,5+5*LOG(1+('MD-ratios'!$U13-1)*('MD-ratios'!AH13-'MD-ratios'!$AA13)/('MD-ratios'!$AC13-'MD-ratios'!$AA13))/LOG('MD-ratios'!$U13),IF('MD-ratios'!AH13&gt;'MD-ratios'!$Y13,5-5*LOG(1+('MD-ratios'!$U13-1)*('MD-ratios'!AH13-'MD-ratios'!$AA13)/('MD-ratios'!$Y13-'MD-ratios'!$AA13))/LOG('MD-ratios'!$U13),0)))</f>
        <v>0</v>
      </c>
      <c r="Z10" s="242">
        <f>IF('MD-ratios'!AI13&gt;'MD-ratios'!$AC13,10,IF('MD-ratios'!AI13&gt;='MD-ratios'!$AA13,5+5*LOG(1+('MD-ratios'!$U13-1)*('MD-ratios'!AI13-'MD-ratios'!$AA13)/('MD-ratios'!$AC13-'MD-ratios'!$AA13))/LOG('MD-ratios'!$U13),IF('MD-ratios'!AI13&gt;'MD-ratios'!$Y13,5-5*LOG(1+('MD-ratios'!$U13-1)*('MD-ratios'!AI13-'MD-ratios'!$AA13)/('MD-ratios'!$Y13-'MD-ratios'!$AA13))/LOG('MD-ratios'!$U13),0)))</f>
        <v>5.9982565831022345</v>
      </c>
      <c r="AA10" s="242">
        <f>IF('MD-ratios'!AJ13&gt;'MD-ratios'!$AC13,10,IF('MD-ratios'!AJ13&gt;='MD-ratios'!$AA13,5+5*LOG(1+('MD-ratios'!$U13-1)*('MD-ratios'!AJ13-'MD-ratios'!$AA13)/('MD-ratios'!$AC13-'MD-ratios'!$AA13))/LOG('MD-ratios'!$U13),IF('MD-ratios'!AJ13&gt;'MD-ratios'!$Y13,5-5*LOG(1+('MD-ratios'!$U13-1)*('MD-ratios'!AJ13-'MD-ratios'!$AA13)/('MD-ratios'!$Y13-'MD-ratios'!$AA13))/LOG('MD-ratios'!$U13),0)))</f>
        <v>10</v>
      </c>
      <c r="AB10" s="242">
        <f>IF('MD-ratios'!AK13&gt;'MD-ratios'!$AC13,10,IF('MD-ratios'!AK13&gt;='MD-ratios'!$AA13,5+5*LOG(1+('MD-ratios'!$U13-1)*('MD-ratios'!AK13-'MD-ratios'!$AA13)/('MD-ratios'!$AC13-'MD-ratios'!$AA13))/LOG('MD-ratios'!$U13),IF('MD-ratios'!AK13&gt;'MD-ratios'!$Y13,5-5*LOG(1+('MD-ratios'!$U13-1)*('MD-ratios'!AK13-'MD-ratios'!$AA13)/('MD-ratios'!$Y13-'MD-ratios'!$AA13))/LOG('MD-ratios'!$U13),0)))</f>
        <v>0</v>
      </c>
      <c r="AC10" s="242">
        <f>IF('MD-ratios'!AL13&gt;'MD-ratios'!$AC13,10,IF('MD-ratios'!AL13&gt;='MD-ratios'!$AA13,5+5*LOG(1+('MD-ratios'!$U13-1)*('MD-ratios'!AL13-'MD-ratios'!$AA13)/('MD-ratios'!$AC13-'MD-ratios'!$AA13))/LOG('MD-ratios'!$U13),IF('MD-ratios'!AL13&gt;'MD-ratios'!$Y13,5-5*LOG(1+('MD-ratios'!$U13-1)*('MD-ratios'!AL13-'MD-ratios'!$AA13)/('MD-ratios'!$Y13-'MD-ratios'!$AA13))/LOG('MD-ratios'!$U13),0)))</f>
        <v>7.718007030784789</v>
      </c>
      <c r="AD10" s="242">
        <f>IF('MD-ratios'!AM13&gt;'MD-ratios'!$AC13,10,IF('MD-ratios'!AM13&gt;='MD-ratios'!$AA13,5+5*LOG(1+('MD-ratios'!$U13-1)*('MD-ratios'!AM13-'MD-ratios'!$AA13)/('MD-ratios'!$AC13-'MD-ratios'!$AA13))/LOG('MD-ratios'!$U13),IF('MD-ratios'!AM13&gt;'MD-ratios'!$Y13,5-5*LOG(1+('MD-ratios'!$U13-1)*('MD-ratios'!AM13-'MD-ratios'!$AA13)/('MD-ratios'!$Y13-'MD-ratios'!$AA13))/LOG('MD-ratios'!$U13),0)))</f>
        <v>8.5081604033380422</v>
      </c>
      <c r="AE10" s="242">
        <f>IF('MD-ratios'!AN13&gt;'MD-ratios'!$AC13,10,IF('MD-ratios'!AN13&gt;='MD-ratios'!$AA13,5+5*LOG(1+('MD-ratios'!$U13-1)*('MD-ratios'!AN13-'MD-ratios'!$AA13)/('MD-ratios'!$AC13-'MD-ratios'!$AA13))/LOG('MD-ratios'!$U13),IF('MD-ratios'!AN13&gt;'MD-ratios'!$Y13,5-5*LOG(1+('MD-ratios'!$U13-1)*('MD-ratios'!AN13-'MD-ratios'!$AA13)/('MD-ratios'!$Y13-'MD-ratios'!$AA13))/LOG('MD-ratios'!$U13),0)))</f>
        <v>7.4463141914135083</v>
      </c>
      <c r="AF10" s="242">
        <f>IF('MD-ratios'!AO13&gt;'MD-ratios'!$AC13,10,IF('MD-ratios'!AO13&gt;='MD-ratios'!$AA13,5+5*LOG(1+('MD-ratios'!$U13-1)*('MD-ratios'!AO13-'MD-ratios'!$AA13)/('MD-ratios'!$AC13-'MD-ratios'!$AA13))/LOG('MD-ratios'!$U13),IF('MD-ratios'!AO13&gt;'MD-ratios'!$Y13,5-5*LOG(1+('MD-ratios'!$U13-1)*('MD-ratios'!AO13-'MD-ratios'!$AA13)/('MD-ratios'!$Y13-'MD-ratios'!$AA13))/LOG('MD-ratios'!$U13),0)))</f>
        <v>0.68906536099967486</v>
      </c>
      <c r="AG10" s="242">
        <f>IF('MD-ratios'!AP13&gt;'MD-ratios'!$AC13,10,IF('MD-ratios'!AP13&gt;='MD-ratios'!$AA13,5+5*LOG(1+('MD-ratios'!$U13-1)*('MD-ratios'!AP13-'MD-ratios'!$AA13)/('MD-ratios'!$AC13-'MD-ratios'!$AA13))/LOG('MD-ratios'!$U13),IF('MD-ratios'!AP13&gt;'MD-ratios'!$Y13,5-5*LOG(1+('MD-ratios'!$U13-1)*('MD-ratios'!AP13-'MD-ratios'!$AA13)/('MD-ratios'!$Y13-'MD-ratios'!$AA13))/LOG('MD-ratios'!$U13),0)))</f>
        <v>8.1937824079983876</v>
      </c>
      <c r="AH10" s="242">
        <f>IF('MD-ratios'!AQ13&gt;'MD-ratios'!$AC13,10,IF('MD-ratios'!AQ13&gt;='MD-ratios'!$AA13,5+5*LOG(1+('MD-ratios'!$U13-1)*('MD-ratios'!AQ13-'MD-ratios'!$AA13)/('MD-ratios'!$AC13-'MD-ratios'!$AA13))/LOG('MD-ratios'!$U13),IF('MD-ratios'!AQ13&gt;'MD-ratios'!$Y13,5-5*LOG(1+('MD-ratios'!$U13-1)*('MD-ratios'!AQ13-'MD-ratios'!$AA13)/('MD-ratios'!$Y13-'MD-ratios'!$AA13))/LOG('MD-ratios'!$U13),0)))</f>
        <v>8.4580265299351467</v>
      </c>
      <c r="AI10" s="242">
        <f>IF('MD-ratios'!AR13&gt;'MD-ratios'!$AC13,10,IF('MD-ratios'!AR13&gt;='MD-ratios'!$AA13,5+5*LOG(1+('MD-ratios'!$U13-1)*('MD-ratios'!AR13-'MD-ratios'!$AA13)/('MD-ratios'!$AC13-'MD-ratios'!$AA13))/LOG('MD-ratios'!$U13),IF('MD-ratios'!AR13&gt;'MD-ratios'!$Y13,5-5*LOG(1+('MD-ratios'!$U13-1)*('MD-ratios'!AR13-'MD-ratios'!$AA13)/('MD-ratios'!$Y13-'MD-ratios'!$AA13))/LOG('MD-ratios'!$U13),0)))</f>
        <v>10</v>
      </c>
      <c r="AJ10" s="242">
        <f>IF('MD-ratios'!AS13&gt;'MD-ratios'!$AC13,10,IF('MD-ratios'!AS13&gt;='MD-ratios'!$AA13,5+5*LOG(1+('MD-ratios'!$U13-1)*('MD-ratios'!AS13-'MD-ratios'!$AA13)/('MD-ratios'!$AC13-'MD-ratios'!$AA13))/LOG('MD-ratios'!$U13),IF('MD-ratios'!AS13&gt;'MD-ratios'!$Y13,5-5*LOG(1+('MD-ratios'!$U13-1)*('MD-ratios'!AS13-'MD-ratios'!$AA13)/('MD-ratios'!$Y13-'MD-ratios'!$AA13))/LOG('MD-ratios'!$U13),0)))</f>
        <v>0</v>
      </c>
      <c r="AK10" s="242">
        <f>IF('MD-ratios'!AT13&gt;'MD-ratios'!$AC13,10,IF('MD-ratios'!AT13&gt;='MD-ratios'!$AA13,5+5*LOG(1+('MD-ratios'!$U13-1)*('MD-ratios'!AT13-'MD-ratios'!$AA13)/('MD-ratios'!$AC13-'MD-ratios'!$AA13))/LOG('MD-ratios'!$U13),IF('MD-ratios'!AT13&gt;'MD-ratios'!$Y13,5-5*LOG(1+('MD-ratios'!$U13-1)*('MD-ratios'!AT13-'MD-ratios'!$AA13)/('MD-ratios'!$Y13-'MD-ratios'!$AA13))/LOG('MD-ratios'!$U13),0)))</f>
        <v>6.3157768108402683</v>
      </c>
      <c r="AL10" s="242">
        <f>IF('MD-ratios'!AU13&gt;'MD-ratios'!$AC13,10,IF('MD-ratios'!AU13&gt;='MD-ratios'!$AA13,5+5*LOG(1+('MD-ratios'!$U13-1)*('MD-ratios'!AU13-'MD-ratios'!$AA13)/('MD-ratios'!$AC13-'MD-ratios'!$AA13))/LOG('MD-ratios'!$U13),IF('MD-ratios'!AU13&gt;'MD-ratios'!$Y13,5-5*LOG(1+('MD-ratios'!$U13-1)*('MD-ratios'!AU13-'MD-ratios'!$AA13)/('MD-ratios'!$Y13-'MD-ratios'!$AA13))/LOG('MD-ratios'!$U13),0)))</f>
        <v>2.0965092443788982</v>
      </c>
      <c r="AM10" s="242">
        <f>IF('MD-ratios'!AV13&gt;'MD-ratios'!$AC13,10,IF('MD-ratios'!AV13&gt;='MD-ratios'!$AA13,5+5*LOG(1+('MD-ratios'!$U13-1)*('MD-ratios'!AV13-'MD-ratios'!$AA13)/('MD-ratios'!$AC13-'MD-ratios'!$AA13))/LOG('MD-ratios'!$U13),IF('MD-ratios'!AV13&gt;'MD-ratios'!$Y13,5-5*LOG(1+('MD-ratios'!$U13-1)*('MD-ratios'!AV13-'MD-ratios'!$AA13)/('MD-ratios'!$Y13-'MD-ratios'!$AA13))/LOG('MD-ratios'!$U13),0)))</f>
        <v>6.9799817043145973</v>
      </c>
      <c r="AN10" s="242">
        <f>IF('MD-ratios'!AW13&gt;'MD-ratios'!$AC13,10,IF('MD-ratios'!AW13&gt;='MD-ratios'!$AA13,5+5*LOG(1+('MD-ratios'!$U13-1)*('MD-ratios'!AW13-'MD-ratios'!$AA13)/('MD-ratios'!$AC13-'MD-ratios'!$AA13))/LOG('MD-ratios'!$U13),IF('MD-ratios'!AW13&gt;'MD-ratios'!$Y13,5-5*LOG(1+('MD-ratios'!$U13-1)*('MD-ratios'!AW13-'MD-ratios'!$AA13)/('MD-ratios'!$Y13-'MD-ratios'!$AA13))/LOG('MD-ratios'!$U13),0)))</f>
        <v>6.8954084486719358</v>
      </c>
      <c r="AO10" s="242">
        <f>IF('MD-ratios'!AX13&gt;'MD-ratios'!$AC13,10,IF('MD-ratios'!AX13&gt;='MD-ratios'!$AA13,5+5*LOG(1+('MD-ratios'!$U13-1)*('MD-ratios'!AX13-'MD-ratios'!$AA13)/('MD-ratios'!$AC13-'MD-ratios'!$AA13))/LOG('MD-ratios'!$U13),IF('MD-ratios'!AX13&gt;'MD-ratios'!$Y13,5-5*LOG(1+('MD-ratios'!$U13-1)*('MD-ratios'!AX13-'MD-ratios'!$AA13)/('MD-ratios'!$Y13-'MD-ratios'!$AA13))/LOG('MD-ratios'!$U13),0)))</f>
        <v>5.2419516133654946</v>
      </c>
      <c r="AP10" s="242">
        <f>IF('MD-ratios'!AY13&gt;'MD-ratios'!$AC13,10,IF('MD-ratios'!AY13&gt;='MD-ratios'!$AA13,5+5*LOG(1+('MD-ratios'!$U13-1)*('MD-ratios'!AY13-'MD-ratios'!$AA13)/('MD-ratios'!$AC13-'MD-ratios'!$AA13))/LOG('MD-ratios'!$U13),IF('MD-ratios'!AY13&gt;'MD-ratios'!$Y13,5-5*LOG(1+('MD-ratios'!$U13-1)*('MD-ratios'!AY13-'MD-ratios'!$AA13)/('MD-ratios'!$Y13-'MD-ratios'!$AA13))/LOG('MD-ratios'!$U13),0)))</f>
        <v>5.2626950447691279</v>
      </c>
      <c r="AQ10" s="242">
        <f>IF('MD-ratios'!AZ13&gt;'MD-ratios'!$AC13,10,IF('MD-ratios'!AZ13&gt;='MD-ratios'!$AA13,5+5*LOG(1+('MD-ratios'!$U13-1)*('MD-ratios'!AZ13-'MD-ratios'!$AA13)/('MD-ratios'!$AC13-'MD-ratios'!$AA13))/LOG('MD-ratios'!$U13),IF('MD-ratios'!AZ13&gt;'MD-ratios'!$Y13,5-5*LOG(1+('MD-ratios'!$U13-1)*('MD-ratios'!AZ13-'MD-ratios'!$AA13)/('MD-ratios'!$Y13-'MD-ratios'!$AA13))/LOG('MD-ratios'!$U13),0)))</f>
        <v>5.1776252441278539</v>
      </c>
      <c r="AR10" s="242">
        <f>IF('MD-ratios'!BA13&gt;'MD-ratios'!$AC13,10,IF('MD-ratios'!BA13&gt;='MD-ratios'!$AA13,5+5*LOG(1+('MD-ratios'!$U13-1)*('MD-ratios'!BA13-'MD-ratios'!$AA13)/('MD-ratios'!$AC13-'MD-ratios'!$AA13))/LOG('MD-ratios'!$U13),IF('MD-ratios'!BA13&gt;'MD-ratios'!$Y13,5-5*LOG(1+('MD-ratios'!$U13-1)*('MD-ratios'!BA13-'MD-ratios'!$AA13)/('MD-ratios'!$Y13-'MD-ratios'!$AA13))/LOG('MD-ratios'!$U13),0)))</f>
        <v>8.1814988562036568</v>
      </c>
      <c r="AS10" s="242">
        <f>IF('MD-ratios'!BB13&gt;'MD-ratios'!$AC13,10,IF('MD-ratios'!BB13&gt;='MD-ratios'!$AA13,5+5*LOG(1+('MD-ratios'!$U13-1)*('MD-ratios'!BB13-'MD-ratios'!$AA13)/('MD-ratios'!$AC13-'MD-ratios'!$AA13))/LOG('MD-ratios'!$U13),IF('MD-ratios'!BB13&gt;'MD-ratios'!$Y13,5-5*LOG(1+('MD-ratios'!$U13-1)*('MD-ratios'!BB13-'MD-ratios'!$AA13)/('MD-ratios'!$Y13-'MD-ratios'!$AA13))/LOG('MD-ratios'!$U13),0)))</f>
        <v>3.9256666162428138</v>
      </c>
      <c r="AT10" s="242">
        <f>IF('MD-ratios'!BC13&gt;'MD-ratios'!$AC13,10,IF('MD-ratios'!BC13&gt;='MD-ratios'!$AA13,5+5*LOG(1+('MD-ratios'!$U13-1)*('MD-ratios'!BC13-'MD-ratios'!$AA13)/('MD-ratios'!$AC13-'MD-ratios'!$AA13))/LOG('MD-ratios'!$U13),IF('MD-ratios'!BC13&gt;'MD-ratios'!$Y13,5-5*LOG(1+('MD-ratios'!$U13-1)*('MD-ratios'!BC13-'MD-ratios'!$AA13)/('MD-ratios'!$Y13-'MD-ratios'!$AA13))/LOG('MD-ratios'!$U13),0)))</f>
        <v>6.4614742994605123</v>
      </c>
      <c r="AU10" s="242">
        <f>IF('MD-ratios'!BD13&gt;'MD-ratios'!$AC13,10,IF('MD-ratios'!BD13&gt;='MD-ratios'!$AA13,5+5*LOG(1+('MD-ratios'!$U13-1)*('MD-ratios'!BD13-'MD-ratios'!$AA13)/('MD-ratios'!$AC13-'MD-ratios'!$AA13))/LOG('MD-ratios'!$U13),IF('MD-ratios'!BD13&gt;'MD-ratios'!$Y13,5-5*LOG(1+('MD-ratios'!$U13-1)*('MD-ratios'!BD13-'MD-ratios'!$AA13)/('MD-ratios'!$Y13-'MD-ratios'!$AA13))/LOG('MD-ratios'!$U13),0)))</f>
        <v>0</v>
      </c>
      <c r="AV10" s="242">
        <f>IF('MD-ratios'!BE13&gt;'MD-ratios'!$AC13,10,IF('MD-ratios'!BE13&gt;='MD-ratios'!$AA13,5+5*LOG(1+('MD-ratios'!$U13-1)*('MD-ratios'!BE13-'MD-ratios'!$AA13)/('MD-ratios'!$AC13-'MD-ratios'!$AA13))/LOG('MD-ratios'!$U13),IF('MD-ratios'!BE13&gt;'MD-ratios'!$Y13,5-5*LOG(1+('MD-ratios'!$U13-1)*('MD-ratios'!BE13-'MD-ratios'!$AA13)/('MD-ratios'!$Y13-'MD-ratios'!$AA13))/LOG('MD-ratios'!$U13),0)))</f>
        <v>5.1083628942406287</v>
      </c>
      <c r="AW10" s="242">
        <f>IF('MD-ratios'!BF13&gt;'MD-ratios'!$AC13,10,IF('MD-ratios'!BF13&gt;='MD-ratios'!$AA13,5+5*LOG(1+('MD-ratios'!$U13-1)*('MD-ratios'!BF13-'MD-ratios'!$AA13)/('MD-ratios'!$AC13-'MD-ratios'!$AA13))/LOG('MD-ratios'!$U13),IF('MD-ratios'!BF13&gt;'MD-ratios'!$Y13,5-5*LOG(1+('MD-ratios'!$U13-1)*('MD-ratios'!BF13-'MD-ratios'!$AA13)/('MD-ratios'!$Y13-'MD-ratios'!$AA13))/LOG('MD-ratios'!$U13),0)))</f>
        <v>9.1656445517328997</v>
      </c>
      <c r="AX10" s="242">
        <f>IF('MD-ratios'!BG13&gt;'MD-ratios'!$AC13,10,IF('MD-ratios'!BG13&gt;='MD-ratios'!$AA13,5+5*LOG(1+('MD-ratios'!$U13-1)*('MD-ratios'!BG13-'MD-ratios'!$AA13)/('MD-ratios'!$AC13-'MD-ratios'!$AA13))/LOG('MD-ratios'!$U13),IF('MD-ratios'!BG13&gt;'MD-ratios'!$Y13,5-5*LOG(1+('MD-ratios'!$U13-1)*('MD-ratios'!BG13-'MD-ratios'!$AA13)/('MD-ratios'!$Y13-'MD-ratios'!$AA13))/LOG('MD-ratios'!$U13),0)))</f>
        <v>1.1078981829661707</v>
      </c>
      <c r="AY10" s="242">
        <f>IF('MD-ratios'!BH13&gt;'MD-ratios'!$AC13,10,IF('MD-ratios'!BH13&gt;='MD-ratios'!$AA13,5+5*LOG(1+('MD-ratios'!$U13-1)*('MD-ratios'!BH13-'MD-ratios'!$AA13)/('MD-ratios'!$AC13-'MD-ratios'!$AA13))/LOG('MD-ratios'!$U13),IF('MD-ratios'!BH13&gt;'MD-ratios'!$Y13,5-5*LOG(1+('MD-ratios'!$U13-1)*('MD-ratios'!BH13-'MD-ratios'!$AA13)/('MD-ratios'!$Y13-'MD-ratios'!$AA13))/LOG('MD-ratios'!$U13),0)))</f>
        <v>9.0184247456724158</v>
      </c>
      <c r="AZ10" s="242">
        <f>IF('MD-ratios'!BI13&gt;'MD-ratios'!$AC13,10,IF('MD-ratios'!BI13&gt;='MD-ratios'!$AA13,5+5*LOG(1+('MD-ratios'!$U13-1)*('MD-ratios'!BI13-'MD-ratios'!$AA13)/('MD-ratios'!$AC13-'MD-ratios'!$AA13))/LOG('MD-ratios'!$U13),IF('MD-ratios'!BI13&gt;'MD-ratios'!$Y13,5-5*LOG(1+('MD-ratios'!$U13-1)*('MD-ratios'!BI13-'MD-ratios'!$AA13)/('MD-ratios'!$Y13-'MD-ratios'!$AA13))/LOG('MD-ratios'!$U13),0)))</f>
        <v>6.2264543487086197</v>
      </c>
      <c r="BA10" s="242">
        <f>IF('MD-ratios'!BJ13&gt;'MD-ratios'!$AC13,10,IF('MD-ratios'!BJ13&gt;='MD-ratios'!$AA13,5+5*LOG(1+('MD-ratios'!$U13-1)*('MD-ratios'!BJ13-'MD-ratios'!$AA13)/('MD-ratios'!$AC13-'MD-ratios'!$AA13))/LOG('MD-ratios'!$U13),IF('MD-ratios'!BJ13&gt;'MD-ratios'!$Y13,5-5*LOG(1+('MD-ratios'!$U13-1)*('MD-ratios'!BJ13-'MD-ratios'!$AA13)/('MD-ratios'!$Y13-'MD-ratios'!$AA13))/LOG('MD-ratios'!$U13),0)))</f>
        <v>9.2580598853235117</v>
      </c>
      <c r="BB10" s="242">
        <f>IF('MD-ratios'!BK13&gt;'MD-ratios'!$AC13,10,IF('MD-ratios'!BK13&gt;='MD-ratios'!$AA13,5+5*LOG(1+('MD-ratios'!$U13-1)*('MD-ratios'!BK13-'MD-ratios'!$AA13)/('MD-ratios'!$AC13-'MD-ratios'!$AA13))/LOG('MD-ratios'!$U13),IF('MD-ratios'!BK13&gt;'MD-ratios'!$Y13,5-5*LOG(1+('MD-ratios'!$U13-1)*('MD-ratios'!BK13-'MD-ratios'!$AA13)/('MD-ratios'!$Y13-'MD-ratios'!$AA13))/LOG('MD-ratios'!$U13),0)))</f>
        <v>5.1057722990017291</v>
      </c>
      <c r="BC10" s="242">
        <f>IF('MD-ratios'!BL13&gt;'MD-ratios'!$AC13,10,IF('MD-ratios'!BL13&gt;='MD-ratios'!$AA13,5+5*LOG(1+('MD-ratios'!$U13-1)*('MD-ratios'!BL13-'MD-ratios'!$AA13)/('MD-ratios'!$AC13-'MD-ratios'!$AA13))/LOG('MD-ratios'!$U13),IF('MD-ratios'!BL13&gt;'MD-ratios'!$Y13,5-5*LOG(1+('MD-ratios'!$U13-1)*('MD-ratios'!BL13-'MD-ratios'!$AA13)/('MD-ratios'!$Y13-'MD-ratios'!$AA13))/LOG('MD-ratios'!$U13),0)))</f>
        <v>9.6385620386608508</v>
      </c>
      <c r="BD10" s="242">
        <f>IF('MD-ratios'!BM13&gt;'MD-ratios'!$AC13,10,IF('MD-ratios'!BM13&gt;='MD-ratios'!$AA13,5+5*LOG(1+('MD-ratios'!$U13-1)*('MD-ratios'!BM13-'MD-ratios'!$AA13)/('MD-ratios'!$AC13-'MD-ratios'!$AA13))/LOG('MD-ratios'!$U13),IF('MD-ratios'!BM13&gt;'MD-ratios'!$Y13,5-5*LOG(1+('MD-ratios'!$U13-1)*('MD-ratios'!BM13-'MD-ratios'!$AA13)/('MD-ratios'!$Y13-'MD-ratios'!$AA13))/LOG('MD-ratios'!$U13),0)))</f>
        <v>7.3473709252192752</v>
      </c>
      <c r="BE10" s="242">
        <f>IF('MD-ratios'!BN13&gt;'MD-ratios'!$AC13,10,IF('MD-ratios'!BN13&gt;='MD-ratios'!$AA13,5+5*LOG(1+('MD-ratios'!$U13-1)*('MD-ratios'!BN13-'MD-ratios'!$AA13)/('MD-ratios'!$AC13-'MD-ratios'!$AA13))/LOG('MD-ratios'!$U13),IF('MD-ratios'!BN13&gt;'MD-ratios'!$Y13,5-5*LOG(1+('MD-ratios'!$U13-1)*('MD-ratios'!BN13-'MD-ratios'!$AA13)/('MD-ratios'!$Y13-'MD-ratios'!$AA13))/LOG('MD-ratios'!$U13),0)))</f>
        <v>7.8022951530695099</v>
      </c>
      <c r="BF10" s="242">
        <f>IF('MD-ratios'!BO13&gt;'MD-ratios'!$AC13,10,IF('MD-ratios'!BO13&gt;='MD-ratios'!$AA13,5+5*LOG(1+('MD-ratios'!$U13-1)*('MD-ratios'!BO13-'MD-ratios'!$AA13)/('MD-ratios'!$AC13-'MD-ratios'!$AA13))/LOG('MD-ratios'!$U13),IF('MD-ratios'!BO13&gt;'MD-ratios'!$Y13,5-5*LOG(1+('MD-ratios'!$U13-1)*('MD-ratios'!BO13-'MD-ratios'!$AA13)/('MD-ratios'!$Y13-'MD-ratios'!$AA13))/LOG('MD-ratios'!$U13),0)))</f>
        <v>7.1561101201257671</v>
      </c>
      <c r="BG10" s="242">
        <f>IF('MD-ratios'!BP13&gt;'MD-ratios'!$AC13,10,IF('MD-ratios'!BP13&gt;='MD-ratios'!$AA13,5+5*LOG(1+('MD-ratios'!$U13-1)*('MD-ratios'!BP13-'MD-ratios'!$AA13)/('MD-ratios'!$AC13-'MD-ratios'!$AA13))/LOG('MD-ratios'!$U13),IF('MD-ratios'!BP13&gt;'MD-ratios'!$Y13,5-5*LOG(1+('MD-ratios'!$U13-1)*('MD-ratios'!BP13-'MD-ratios'!$AA13)/('MD-ratios'!$Y13-'MD-ratios'!$AA13))/LOG('MD-ratios'!$U13),0)))</f>
        <v>10</v>
      </c>
      <c r="BH10" s="242">
        <f>IF('MD-ratios'!BQ13&gt;'MD-ratios'!$AC13,10,IF('MD-ratios'!BQ13&gt;='MD-ratios'!$AA13,5+5*LOG(1+('MD-ratios'!$U13-1)*('MD-ratios'!BQ13-'MD-ratios'!$AA13)/('MD-ratios'!$AC13-'MD-ratios'!$AA13))/LOG('MD-ratios'!$U13),IF('MD-ratios'!BQ13&gt;'MD-ratios'!$Y13,5-5*LOG(1+('MD-ratios'!$U13-1)*('MD-ratios'!BQ13-'MD-ratios'!$AA13)/('MD-ratios'!$Y13-'MD-ratios'!$AA13))/LOG('MD-ratios'!$U13),0)))</f>
        <v>1.0942716780362143</v>
      </c>
      <c r="BI10" s="242">
        <f>IF('MD-ratios'!BR13&gt;'MD-ratios'!$AC13,10,IF('MD-ratios'!BR13&gt;='MD-ratios'!$AA13,5+5*LOG(1+('MD-ratios'!$U13-1)*('MD-ratios'!BR13-'MD-ratios'!$AA13)/('MD-ratios'!$AC13-'MD-ratios'!$AA13))/LOG('MD-ratios'!$U13),IF('MD-ratios'!BR13&gt;'MD-ratios'!$Y13,5-5*LOG(1+('MD-ratios'!$U13-1)*('MD-ratios'!BR13-'MD-ratios'!$AA13)/('MD-ratios'!$Y13-'MD-ratios'!$AA13))/LOG('MD-ratios'!$U13),0)))</f>
        <v>9.6621787292963077</v>
      </c>
      <c r="BJ10" s="242">
        <f>IF('MD-ratios'!BS13&gt;'MD-ratios'!$AC13,10,IF('MD-ratios'!BS13&gt;='MD-ratios'!$AA13,5+5*LOG(1+('MD-ratios'!$U13-1)*('MD-ratios'!BS13-'MD-ratios'!$AA13)/('MD-ratios'!$AC13-'MD-ratios'!$AA13))/LOG('MD-ratios'!$U13),IF('MD-ratios'!BS13&gt;'MD-ratios'!$Y13,5-5*LOG(1+('MD-ratios'!$U13-1)*('MD-ratios'!BS13-'MD-ratios'!$AA13)/('MD-ratios'!$Y13-'MD-ratios'!$AA13))/LOG('MD-ratios'!$U13),0)))</f>
        <v>2.0209521632749889</v>
      </c>
      <c r="BK10" s="242">
        <f>IF('MD-ratios'!BT13&gt;'MD-ratios'!$AC13,10,IF('MD-ratios'!BT13&gt;='MD-ratios'!$AA13,5+5*LOG(1+('MD-ratios'!$U13-1)*('MD-ratios'!BT13-'MD-ratios'!$AA13)/('MD-ratios'!$AC13-'MD-ratios'!$AA13))/LOG('MD-ratios'!$U13),IF('MD-ratios'!BT13&gt;'MD-ratios'!$Y13,5-5*LOG(1+('MD-ratios'!$U13-1)*('MD-ratios'!BT13-'MD-ratios'!$AA13)/('MD-ratios'!$Y13-'MD-ratios'!$AA13))/LOG('MD-ratios'!$U13),0)))</f>
        <v>9.7213640730807676</v>
      </c>
      <c r="BL10" s="242">
        <f>IF('MD-ratios'!BU13&gt;'MD-ratios'!$AC13,10,IF('MD-ratios'!BU13&gt;='MD-ratios'!$AA13,5+5*LOG(1+('MD-ratios'!$U13-1)*('MD-ratios'!BU13-'MD-ratios'!$AA13)/('MD-ratios'!$AC13-'MD-ratios'!$AA13))/LOG('MD-ratios'!$U13),IF('MD-ratios'!BU13&gt;'MD-ratios'!$Y13,5-5*LOG(1+('MD-ratios'!$U13-1)*('MD-ratios'!BU13-'MD-ratios'!$AA13)/('MD-ratios'!$Y13-'MD-ratios'!$AA13))/LOG('MD-ratios'!$U13),0)))</f>
        <v>7.1779905234423449</v>
      </c>
      <c r="BM10" s="242">
        <f>IF('MD-ratios'!BV13&gt;'MD-ratios'!$AC13,10,IF('MD-ratios'!BV13&gt;='MD-ratios'!$AA13,5+5*LOG(1+('MD-ratios'!$U13-1)*('MD-ratios'!BV13-'MD-ratios'!$AA13)/('MD-ratios'!$AC13-'MD-ratios'!$AA13))/LOG('MD-ratios'!$U13),IF('MD-ratios'!BV13&gt;'MD-ratios'!$Y13,5-5*LOG(1+('MD-ratios'!$U13-1)*('MD-ratios'!BV13-'MD-ratios'!$AA13)/('MD-ratios'!$Y13-'MD-ratios'!$AA13))/LOG('MD-ratios'!$U13),0)))</f>
        <v>5.9756064383179508</v>
      </c>
      <c r="BN10" s="242">
        <f>IF('MD-ratios'!BW13&gt;'MD-ratios'!$AC13,10,IF('MD-ratios'!BW13&gt;='MD-ratios'!$AA13,5+5*LOG(1+('MD-ratios'!$U13-1)*('MD-ratios'!BW13-'MD-ratios'!$AA13)/('MD-ratios'!$AC13-'MD-ratios'!$AA13))/LOG('MD-ratios'!$U13),IF('MD-ratios'!BW13&gt;'MD-ratios'!$Y13,5-5*LOG(1+('MD-ratios'!$U13-1)*('MD-ratios'!BW13-'MD-ratios'!$AA13)/('MD-ratios'!$Y13-'MD-ratios'!$AA13))/LOG('MD-ratios'!$U13),0)))</f>
        <v>5.4310885176044623</v>
      </c>
      <c r="BO10" s="242">
        <f>IF('MD-ratios'!BX13&gt;'MD-ratios'!$AC13,10,IF('MD-ratios'!BX13&gt;='MD-ratios'!$AA13,5+5*LOG(1+('MD-ratios'!$U13-1)*('MD-ratios'!BX13-'MD-ratios'!$AA13)/('MD-ratios'!$AC13-'MD-ratios'!$AA13))/LOG('MD-ratios'!$U13),IF('MD-ratios'!BX13&gt;'MD-ratios'!$Y13,5-5*LOG(1+('MD-ratios'!$U13-1)*('MD-ratios'!BX13-'MD-ratios'!$AA13)/('MD-ratios'!$Y13-'MD-ratios'!$AA13))/LOG('MD-ratios'!$U13),0)))</f>
        <v>0</v>
      </c>
      <c r="BP10" s="242">
        <f>IF('MD-ratios'!BY13&gt;'MD-ratios'!$AC13,10,IF('MD-ratios'!BY13&gt;='MD-ratios'!$AA13,5+5*LOG(1+('MD-ratios'!$U13-1)*('MD-ratios'!BY13-'MD-ratios'!$AA13)/('MD-ratios'!$AC13-'MD-ratios'!$AA13))/LOG('MD-ratios'!$U13),IF('MD-ratios'!BY13&gt;'MD-ratios'!$Y13,5-5*LOG(1+('MD-ratios'!$U13-1)*('MD-ratios'!BY13-'MD-ratios'!$AA13)/('MD-ratios'!$Y13-'MD-ratios'!$AA13))/LOG('MD-ratios'!$U13),0)))</f>
        <v>4.4404989541421713</v>
      </c>
      <c r="BQ10" s="242">
        <f>IF('MD-ratios'!BZ13&gt;'MD-ratios'!$AC13,10,IF('MD-ratios'!BZ13&gt;='MD-ratios'!$AA13,5+5*LOG(1+('MD-ratios'!$U13-1)*('MD-ratios'!BZ13-'MD-ratios'!$AA13)/('MD-ratios'!$AC13-'MD-ratios'!$AA13))/LOG('MD-ratios'!$U13),IF('MD-ratios'!BZ13&gt;'MD-ratios'!$Y13,5-5*LOG(1+('MD-ratios'!$U13-1)*('MD-ratios'!BZ13-'MD-ratios'!$AA13)/('MD-ratios'!$Y13-'MD-ratios'!$AA13))/LOG('MD-ratios'!$U13),0)))</f>
        <v>7.9065367669299889</v>
      </c>
      <c r="BR10" s="242">
        <f>IF('MD-ratios'!CA13&gt;'MD-ratios'!$AC13,10,IF('MD-ratios'!CA13&gt;='MD-ratios'!$AA13,5+5*LOG(1+('MD-ratios'!$U13-1)*('MD-ratios'!CA13-'MD-ratios'!$AA13)/('MD-ratios'!$AC13-'MD-ratios'!$AA13))/LOG('MD-ratios'!$U13),IF('MD-ratios'!CA13&gt;'MD-ratios'!$Y13,5-5*LOG(1+('MD-ratios'!$U13-1)*('MD-ratios'!CA13-'MD-ratios'!$AA13)/('MD-ratios'!$Y13-'MD-ratios'!$AA13))/LOG('MD-ratios'!$U13),0)))</f>
        <v>7.872080909411352</v>
      </c>
      <c r="BS10" s="242">
        <f>IF('MD-ratios'!CB13&gt;'MD-ratios'!$AC13,10,IF('MD-ratios'!CB13&gt;='MD-ratios'!$AA13,5+5*LOG(1+('MD-ratios'!$U13-1)*('MD-ratios'!CB13-'MD-ratios'!$AA13)/('MD-ratios'!$AC13-'MD-ratios'!$AA13))/LOG('MD-ratios'!$U13),IF('MD-ratios'!CB13&gt;'MD-ratios'!$Y13,5-5*LOG(1+('MD-ratios'!$U13-1)*('MD-ratios'!CB13-'MD-ratios'!$AA13)/('MD-ratios'!$Y13-'MD-ratios'!$AA13))/LOG('MD-ratios'!$U13),0)))</f>
        <v>0</v>
      </c>
      <c r="BT10" s="242">
        <f>IF('MD-ratios'!CC13&gt;'MD-ratios'!$AC13,10,IF('MD-ratios'!CC13&gt;='MD-ratios'!$AA13,5+5*LOG(1+('MD-ratios'!$U13-1)*('MD-ratios'!CC13-'MD-ratios'!$AA13)/('MD-ratios'!$AC13-'MD-ratios'!$AA13))/LOG('MD-ratios'!$U13),IF('MD-ratios'!CC13&gt;'MD-ratios'!$Y13,5-5*LOG(1+('MD-ratios'!$U13-1)*('MD-ratios'!CC13-'MD-ratios'!$AA13)/('MD-ratios'!$Y13-'MD-ratios'!$AA13))/LOG('MD-ratios'!$U13),0)))</f>
        <v>5.3736583182090909</v>
      </c>
    </row>
    <row r="11" spans="1:72" s="270" customFormat="1" ht="15.75" thickBot="1" x14ac:dyDescent="0.3">
      <c r="A11" s="641"/>
      <c r="B11" s="660"/>
      <c r="C11" s="664" t="s">
        <v>396</v>
      </c>
      <c r="D11" s="665"/>
      <c r="E11" s="666"/>
      <c r="F11" s="276"/>
      <c r="G11" s="276"/>
      <c r="H11" s="276"/>
      <c r="I11" s="276"/>
      <c r="K11" s="599"/>
      <c r="N11" s="653"/>
      <c r="P11" s="271"/>
      <c r="Q11" s="271"/>
      <c r="R11" s="271"/>
      <c r="S11" s="271"/>
      <c r="T11" s="271"/>
      <c r="V11" s="254"/>
      <c r="W11" s="269">
        <f>SUMPRODUCT(W8:W10,$C8:$C10)/SUM($C8:$C10)</f>
        <v>8.7281831775708092</v>
      </c>
      <c r="X11" s="269">
        <f t="shared" ref="X11:BT11" si="1">SUMPRODUCT(X8:X10,$C8:$C10)/SUM($C8:$C10)</f>
        <v>5.8948073981188038</v>
      </c>
      <c r="Y11" s="269">
        <f t="shared" si="1"/>
        <v>0.32716643593096018</v>
      </c>
      <c r="Z11" s="269">
        <f t="shared" si="1"/>
        <v>5.621679396929057</v>
      </c>
      <c r="AA11" s="269">
        <f t="shared" si="1"/>
        <v>9.767117289073532</v>
      </c>
      <c r="AB11" s="269">
        <f t="shared" si="1"/>
        <v>5.7800947844203424E-3</v>
      </c>
      <c r="AC11" s="269">
        <f t="shared" si="1"/>
        <v>6.9500096732232723</v>
      </c>
      <c r="AD11" s="269">
        <f t="shared" si="1"/>
        <v>7.9313314663566024</v>
      </c>
      <c r="AE11" s="269">
        <f t="shared" si="1"/>
        <v>7.1111966088733602</v>
      </c>
      <c r="AF11" s="269">
        <f t="shared" si="1"/>
        <v>1.3240424779318183</v>
      </c>
      <c r="AG11" s="269">
        <f t="shared" si="1"/>
        <v>6.3229986792671315</v>
      </c>
      <c r="AH11" s="269">
        <f t="shared" si="1"/>
        <v>8.0808407123060739</v>
      </c>
      <c r="AI11" s="269">
        <f t="shared" si="1"/>
        <v>9.7891349733031774</v>
      </c>
      <c r="AJ11" s="269">
        <f t="shared" si="1"/>
        <v>0</v>
      </c>
      <c r="AK11" s="269">
        <f t="shared" si="1"/>
        <v>7.6793040154133525</v>
      </c>
      <c r="AL11" s="269">
        <f t="shared" si="1"/>
        <v>2.312667580309741</v>
      </c>
      <c r="AM11" s="269">
        <f t="shared" si="1"/>
        <v>7.5302990877235558</v>
      </c>
      <c r="AN11" s="269">
        <f t="shared" si="1"/>
        <v>7.7870505869718949</v>
      </c>
      <c r="AO11" s="269">
        <f t="shared" si="1"/>
        <v>5.2234287106211319</v>
      </c>
      <c r="AP11" s="269">
        <f t="shared" si="1"/>
        <v>5.4547354185658277</v>
      </c>
      <c r="AQ11" s="269">
        <f t="shared" si="1"/>
        <v>5.2645571513701501</v>
      </c>
      <c r="AR11" s="269">
        <f t="shared" si="1"/>
        <v>9.1637299017858176</v>
      </c>
      <c r="AS11" s="269">
        <f t="shared" si="1"/>
        <v>3.6875108290011571</v>
      </c>
      <c r="AT11" s="269">
        <f t="shared" si="1"/>
        <v>7.0439527238101229</v>
      </c>
      <c r="AU11" s="269">
        <f t="shared" si="1"/>
        <v>2</v>
      </c>
      <c r="AV11" s="269">
        <f t="shared" si="1"/>
        <v>6.3511891242951481</v>
      </c>
      <c r="AW11" s="269">
        <f t="shared" si="1"/>
        <v>9.487384988222038</v>
      </c>
      <c r="AX11" s="269">
        <f t="shared" si="1"/>
        <v>1.9834364197139687</v>
      </c>
      <c r="AY11" s="269">
        <f t="shared" si="1"/>
        <v>8.4715110570125152</v>
      </c>
      <c r="AZ11" s="269">
        <f t="shared" si="1"/>
        <v>6.4294769190957339</v>
      </c>
      <c r="BA11" s="269">
        <f t="shared" si="1"/>
        <v>9.5945115488947845</v>
      </c>
      <c r="BB11" s="269">
        <f t="shared" si="1"/>
        <v>5.2818886803347462</v>
      </c>
      <c r="BC11" s="269">
        <f t="shared" si="1"/>
        <v>8.7307660035882968</v>
      </c>
      <c r="BD11" s="269">
        <f t="shared" si="1"/>
        <v>8.3870731579974152</v>
      </c>
      <c r="BE11" s="269">
        <f t="shared" si="1"/>
        <v>8.1850244368449232</v>
      </c>
      <c r="BF11" s="269">
        <f t="shared" si="1"/>
        <v>7.2074313275128636</v>
      </c>
      <c r="BG11" s="269">
        <f t="shared" si="1"/>
        <v>9.855839187330723</v>
      </c>
      <c r="BH11" s="269">
        <f t="shared" si="1"/>
        <v>2.9776816349756192</v>
      </c>
      <c r="BI11" s="269">
        <f t="shared" si="1"/>
        <v>8.9058642710329607</v>
      </c>
      <c r="BJ11" s="269">
        <f t="shared" si="1"/>
        <v>3.2336750990704033</v>
      </c>
      <c r="BK11" s="269">
        <f t="shared" si="1"/>
        <v>9.6271213371347599</v>
      </c>
      <c r="BL11" s="269">
        <f t="shared" si="1"/>
        <v>7.1765163767418239</v>
      </c>
      <c r="BM11" s="269">
        <f t="shared" si="1"/>
        <v>6.6442623913334691</v>
      </c>
      <c r="BN11" s="269">
        <f t="shared" si="1"/>
        <v>5.5832004274892588</v>
      </c>
      <c r="BO11" s="269">
        <f t="shared" si="1"/>
        <v>0</v>
      </c>
      <c r="BP11" s="269">
        <f t="shared" si="1"/>
        <v>4.3547399606335109</v>
      </c>
      <c r="BQ11" s="269">
        <f t="shared" si="1"/>
        <v>7.6578715748835755</v>
      </c>
      <c r="BR11" s="269">
        <f t="shared" si="1"/>
        <v>7.9206304661206186</v>
      </c>
      <c r="BS11" s="269">
        <f t="shared" si="1"/>
        <v>1.5264150685365001</v>
      </c>
      <c r="BT11" s="269">
        <f t="shared" si="1"/>
        <v>5.5336352589473474</v>
      </c>
    </row>
    <row r="12" spans="1:72" s="259" customFormat="1" ht="15.75" thickBot="1" x14ac:dyDescent="0.3">
      <c r="A12" s="639">
        <f>C12+C13</f>
        <v>0.3</v>
      </c>
      <c r="B12" s="658" t="s">
        <v>392</v>
      </c>
      <c r="C12" s="520">
        <f>'MD-ranking'!R3</f>
        <v>0.15</v>
      </c>
      <c r="D12" s="409" t="s">
        <v>142</v>
      </c>
      <c r="E12" s="414" t="s">
        <v>143</v>
      </c>
      <c r="F12" s="416">
        <v>1</v>
      </c>
      <c r="G12" s="416">
        <v>2</v>
      </c>
      <c r="H12" s="416">
        <v>3</v>
      </c>
      <c r="I12" s="416">
        <v>4</v>
      </c>
      <c r="K12" s="596" t="s">
        <v>311</v>
      </c>
      <c r="L12" s="259" t="s">
        <v>388</v>
      </c>
      <c r="N12" s="653"/>
      <c r="P12" s="260">
        <f>'MD-ratios'!Y15</f>
        <v>0.42915244238690342</v>
      </c>
      <c r="Q12" s="567">
        <f>'MD-ratios'!Z15</f>
        <v>7.2526757140747924E-2</v>
      </c>
      <c r="R12" s="567">
        <f>'MD-ratios'!AA15</f>
        <v>2.2741136275318621E-2</v>
      </c>
      <c r="S12" s="567">
        <f>'MD-ratios'!AB15</f>
        <v>7.1305997880064496E-3</v>
      </c>
      <c r="T12" s="260">
        <f>'MD-ratios'!AC15</f>
        <v>0</v>
      </c>
      <c r="V12" s="261"/>
      <c r="W12" s="262">
        <f>IF('MD-ratios'!AF15&lt;0,IF(ABS('MD-ratios'!AF15)&gt;'MD-ratios'!$Y15,0,10-10*LOG(1+('MD-ratios'!$U15-1)*(ABS('MD-ratios'!AF15)-'MD-ratios'!$AC15)/('MD-ratios'!$Y15-'MD-ratios'!$AC15))/LOG('MD-ratios'!$U15))/2,IF('MD-ratios'!AF15&gt;'MD-ratios'!$Y15,0,10-10*LOG(1+('MD-ratios'!$U15-1)*('MD-ratios'!AF15-'MD-ratios'!$AC15)/('MD-ratios'!$Y15-'MD-ratios'!$AC15))/LOG('MD-ratios'!$U15)))</f>
        <v>9.013536351447673</v>
      </c>
      <c r="X12" s="262">
        <f>IF('MD-ratios'!AG15&lt;0,IF(ABS('MD-ratios'!AG15)&gt;'MD-ratios'!$Y15,0,10-10*LOG(1+('MD-ratios'!$U15-1)*(ABS('MD-ratios'!AG15)-'MD-ratios'!$AC15)/('MD-ratios'!$Y15-'MD-ratios'!$AC15))/LOG('MD-ratios'!$U15))/2,IF('MD-ratios'!AG15&gt;'MD-ratios'!$Y15,0,10-10*LOG(1+('MD-ratios'!$U15-1)*('MD-ratios'!AG15-'MD-ratios'!$AC15)/('MD-ratios'!$Y15-'MD-ratios'!$AC15))/LOG('MD-ratios'!$U15)))</f>
        <v>1.0570099196130656</v>
      </c>
      <c r="Y12" s="262">
        <f>IF('MD-ratios'!AH15&lt;0,IF(ABS('MD-ratios'!AH15)&gt;'MD-ratios'!$Y15,0,10-10*LOG(1+('MD-ratios'!$U15-1)*(ABS('MD-ratios'!AH15)-'MD-ratios'!$AC15)/('MD-ratios'!$Y15-'MD-ratios'!$AC15))/LOG('MD-ratios'!$U15))/2,IF('MD-ratios'!AH15&gt;'MD-ratios'!$Y15,0,10-10*LOG(1+('MD-ratios'!$U15-1)*('MD-ratios'!AH15-'MD-ratios'!$AC15)/('MD-ratios'!$Y15-'MD-ratios'!$AC15))/LOG('MD-ratios'!$U15)))</f>
        <v>0.37384515000660379</v>
      </c>
      <c r="Z12" s="262">
        <f>IF('MD-ratios'!AI15&lt;0,IF(ABS('MD-ratios'!AI15)&gt;'MD-ratios'!$Y15,0,10-10*LOG(1+('MD-ratios'!$U15-1)*(ABS('MD-ratios'!AI15)-'MD-ratios'!$AC15)/('MD-ratios'!$Y15-'MD-ratios'!$AC15))/LOG('MD-ratios'!$U15))/2,IF('MD-ratios'!AI15&gt;'MD-ratios'!$Y15,0,10-10*LOG(1+('MD-ratios'!$U15-1)*('MD-ratios'!AI15-'MD-ratios'!$AC15)/('MD-ratios'!$Y15-'MD-ratios'!$AC15))/LOG('MD-ratios'!$U15)))</f>
        <v>4.5045597484989992</v>
      </c>
      <c r="AA12" s="262">
        <f>IF('MD-ratios'!AJ15&lt;0,IF(ABS('MD-ratios'!AJ15)&gt;'MD-ratios'!$Y15,0,10-10*LOG(1+('MD-ratios'!$U15-1)*(ABS('MD-ratios'!AJ15)-'MD-ratios'!$AC15)/('MD-ratios'!$Y15-'MD-ratios'!$AC15))/LOG('MD-ratios'!$U15))/2,IF('MD-ratios'!AJ15&gt;'MD-ratios'!$Y15,0,10-10*LOG(1+('MD-ratios'!$U15-1)*('MD-ratios'!AJ15-'MD-ratios'!$AC15)/('MD-ratios'!$Y15-'MD-ratios'!$AC15))/LOG('MD-ratios'!$U15)))</f>
        <v>3.147965157155137</v>
      </c>
      <c r="AB12" s="262">
        <f>IF('MD-ratios'!AK15&lt;0,IF(ABS('MD-ratios'!AK15)&gt;'MD-ratios'!$Y15,0,10-10*LOG(1+('MD-ratios'!$U15-1)*(ABS('MD-ratios'!AK15)-'MD-ratios'!$AC15)/('MD-ratios'!$Y15-'MD-ratios'!$AC15))/LOG('MD-ratios'!$U15))/2,IF('MD-ratios'!AK15&gt;'MD-ratios'!$Y15,0,10-10*LOG(1+('MD-ratios'!$U15-1)*('MD-ratios'!AK15-'MD-ratios'!$AC15)/('MD-ratios'!$Y15-'MD-ratios'!$AC15))/LOG('MD-ratios'!$U15)))</f>
        <v>5.5623650555135029</v>
      </c>
      <c r="AC12" s="262">
        <f>IF('MD-ratios'!AL15&lt;0,IF(ABS('MD-ratios'!AL15)&gt;'MD-ratios'!$Y15,0,10-10*LOG(1+('MD-ratios'!$U15-1)*(ABS('MD-ratios'!AL15)-'MD-ratios'!$AC15)/('MD-ratios'!$Y15-'MD-ratios'!$AC15))/LOG('MD-ratios'!$U15))/2,IF('MD-ratios'!AL15&gt;'MD-ratios'!$Y15,0,10-10*LOG(1+('MD-ratios'!$U15-1)*('MD-ratios'!AL15-'MD-ratios'!$AC15)/('MD-ratios'!$Y15-'MD-ratios'!$AC15))/LOG('MD-ratios'!$U15)))</f>
        <v>0</v>
      </c>
      <c r="AD12" s="262">
        <f>IF('MD-ratios'!AM15&lt;0,IF(ABS('MD-ratios'!AM15)&gt;'MD-ratios'!$Y15,0,10-10*LOG(1+('MD-ratios'!$U15-1)*(ABS('MD-ratios'!AM15)-'MD-ratios'!$AC15)/('MD-ratios'!$Y15-'MD-ratios'!$AC15))/LOG('MD-ratios'!$U15))/2,IF('MD-ratios'!AM15&gt;'MD-ratios'!$Y15,0,10-10*LOG(1+('MD-ratios'!$U15-1)*('MD-ratios'!AM15-'MD-ratios'!$AC15)/('MD-ratios'!$Y15-'MD-ratios'!$AC15))/LOG('MD-ratios'!$U15)))</f>
        <v>8.9907484019277213</v>
      </c>
      <c r="AE12" s="262">
        <f>IF('MD-ratios'!AN15&lt;0,IF(ABS('MD-ratios'!AN15)&gt;'MD-ratios'!$Y15,0,10-10*LOG(1+('MD-ratios'!$U15-1)*(ABS('MD-ratios'!AN15)-'MD-ratios'!$AC15)/('MD-ratios'!$Y15-'MD-ratios'!$AC15))/LOG('MD-ratios'!$U15))/2,IF('MD-ratios'!AN15&gt;'MD-ratios'!$Y15,0,10-10*LOG(1+('MD-ratios'!$U15-1)*('MD-ratios'!AN15-'MD-ratios'!$AC15)/('MD-ratios'!$Y15-'MD-ratios'!$AC15))/LOG('MD-ratios'!$U15)))</f>
        <v>8.6204671067271352</v>
      </c>
      <c r="AF12" s="262">
        <f>IF('MD-ratios'!AO15&lt;0,IF(ABS('MD-ratios'!AO15)&gt;'MD-ratios'!$Y15,0,10-10*LOG(1+('MD-ratios'!$U15-1)*(ABS('MD-ratios'!AO15)-'MD-ratios'!$AC15)/('MD-ratios'!$Y15-'MD-ratios'!$AC15))/LOG('MD-ratios'!$U15))/2,IF('MD-ratios'!AO15&gt;'MD-ratios'!$Y15,0,10-10*LOG(1+('MD-ratios'!$U15-1)*('MD-ratios'!AO15-'MD-ratios'!$AC15)/('MD-ratios'!$Y15-'MD-ratios'!$AC15))/LOG('MD-ratios'!$U15)))</f>
        <v>3.7156888746668599</v>
      </c>
      <c r="AG12" s="262">
        <f>IF('MD-ratios'!AP15&lt;0,IF(ABS('MD-ratios'!AP15)&gt;'MD-ratios'!$Y15,0,10-10*LOG(1+('MD-ratios'!$U15-1)*(ABS('MD-ratios'!AP15)-'MD-ratios'!$AC15)/('MD-ratios'!$Y15-'MD-ratios'!$AC15))/LOG('MD-ratios'!$U15))/2,IF('MD-ratios'!AP15&gt;'MD-ratios'!$Y15,0,10-10*LOG(1+('MD-ratios'!$U15-1)*('MD-ratios'!AP15-'MD-ratios'!$AC15)/('MD-ratios'!$Y15-'MD-ratios'!$AC15))/LOG('MD-ratios'!$U15)))</f>
        <v>1.0004404443309109</v>
      </c>
      <c r="AH12" s="262">
        <f>IF('MD-ratios'!AQ15&lt;0,IF(ABS('MD-ratios'!AQ15)&gt;'MD-ratios'!$Y15,0,10-10*LOG(1+('MD-ratios'!$U15-1)*(ABS('MD-ratios'!AQ15)-'MD-ratios'!$AC15)/('MD-ratios'!$Y15-'MD-ratios'!$AC15))/LOG('MD-ratios'!$U15))/2,IF('MD-ratios'!AQ15&gt;'MD-ratios'!$Y15,0,10-10*LOG(1+('MD-ratios'!$U15-1)*('MD-ratios'!AQ15-'MD-ratios'!$AC15)/('MD-ratios'!$Y15-'MD-ratios'!$AC15))/LOG('MD-ratios'!$U15)))</f>
        <v>3.6471830480400245</v>
      </c>
      <c r="AI12" s="262">
        <f>IF('MD-ratios'!AR15&lt;0,IF(ABS('MD-ratios'!AR15)&gt;'MD-ratios'!$Y15,0,10-10*LOG(1+('MD-ratios'!$U15-1)*(ABS('MD-ratios'!AR15)-'MD-ratios'!$AC15)/('MD-ratios'!$Y15-'MD-ratios'!$AC15))/LOG('MD-ratios'!$U15))/2,IF('MD-ratios'!AR15&gt;'MD-ratios'!$Y15,0,10-10*LOG(1+('MD-ratios'!$U15-1)*('MD-ratios'!AR15-'MD-ratios'!$AC15)/('MD-ratios'!$Y15-'MD-ratios'!$AC15))/LOG('MD-ratios'!$U15)))</f>
        <v>9.091409723969349</v>
      </c>
      <c r="AJ12" s="262">
        <f>IF('MD-ratios'!AS15&lt;0,IF(ABS('MD-ratios'!AS15)&gt;'MD-ratios'!$Y15,0,10-10*LOG(1+('MD-ratios'!$U15-1)*(ABS('MD-ratios'!AS15)-'MD-ratios'!$AC15)/('MD-ratios'!$Y15-'MD-ratios'!$AC15))/LOG('MD-ratios'!$U15))/2,IF('MD-ratios'!AS15&gt;'MD-ratios'!$Y15,0,10-10*LOG(1+('MD-ratios'!$U15-1)*('MD-ratios'!AS15-'MD-ratios'!$AC15)/('MD-ratios'!$Y15-'MD-ratios'!$AC15))/LOG('MD-ratios'!$U15)))</f>
        <v>1.8699908723517051</v>
      </c>
      <c r="AK12" s="262">
        <f>IF('MD-ratios'!AT15&lt;0,IF(ABS('MD-ratios'!AT15)&gt;'MD-ratios'!$Y15,0,10-10*LOG(1+('MD-ratios'!$U15-1)*(ABS('MD-ratios'!AT15)-'MD-ratios'!$AC15)/('MD-ratios'!$Y15-'MD-ratios'!$AC15))/LOG('MD-ratios'!$U15))/2,IF('MD-ratios'!AT15&gt;'MD-ratios'!$Y15,0,10-10*LOG(1+('MD-ratios'!$U15-1)*('MD-ratios'!AT15-'MD-ratios'!$AC15)/('MD-ratios'!$Y15-'MD-ratios'!$AC15))/LOG('MD-ratios'!$U15)))</f>
        <v>9.2136341323462592</v>
      </c>
      <c r="AL12" s="262">
        <f>IF('MD-ratios'!AU15&lt;0,IF(ABS('MD-ratios'!AU15)&gt;'MD-ratios'!$Y15,0,10-10*LOG(1+('MD-ratios'!$U15-1)*(ABS('MD-ratios'!AU15)-'MD-ratios'!$AC15)/('MD-ratios'!$Y15-'MD-ratios'!$AC15))/LOG('MD-ratios'!$U15))/2,IF('MD-ratios'!AU15&gt;'MD-ratios'!$Y15,0,10-10*LOG(1+('MD-ratios'!$U15-1)*('MD-ratios'!AU15-'MD-ratios'!$AC15)/('MD-ratios'!$Y15-'MD-ratios'!$AC15))/LOG('MD-ratios'!$U15)))</f>
        <v>9.3190317516003294</v>
      </c>
      <c r="AM12" s="262">
        <f>IF('MD-ratios'!AV15&lt;0,IF(ABS('MD-ratios'!AV15)&gt;'MD-ratios'!$Y15,0,10-10*LOG(1+('MD-ratios'!$U15-1)*(ABS('MD-ratios'!AV15)-'MD-ratios'!$AC15)/('MD-ratios'!$Y15-'MD-ratios'!$AC15))/LOG('MD-ratios'!$U15))/2,IF('MD-ratios'!AV15&gt;'MD-ratios'!$Y15,0,10-10*LOG(1+('MD-ratios'!$U15-1)*('MD-ratios'!AV15-'MD-ratios'!$AC15)/('MD-ratios'!$Y15-'MD-ratios'!$AC15))/LOG('MD-ratios'!$U15)))</f>
        <v>7.9448007615936671</v>
      </c>
      <c r="AN12" s="262">
        <f>IF('MD-ratios'!AW15&lt;0,IF(ABS('MD-ratios'!AW15)&gt;'MD-ratios'!$Y15,0,10-10*LOG(1+('MD-ratios'!$U15-1)*(ABS('MD-ratios'!AW15)-'MD-ratios'!$AC15)/('MD-ratios'!$Y15-'MD-ratios'!$AC15))/LOG('MD-ratios'!$U15))/2,IF('MD-ratios'!AW15&gt;'MD-ratios'!$Y15,0,10-10*LOG(1+('MD-ratios'!$U15-1)*('MD-ratios'!AW15-'MD-ratios'!$AC15)/('MD-ratios'!$Y15-'MD-ratios'!$AC15))/LOG('MD-ratios'!$U15)))</f>
        <v>7.8305701047946892</v>
      </c>
      <c r="AO12" s="262">
        <f>IF('MD-ratios'!AX15&lt;0,IF(ABS('MD-ratios'!AX15)&gt;'MD-ratios'!$Y15,0,10-10*LOG(1+('MD-ratios'!$U15-1)*(ABS('MD-ratios'!AX15)-'MD-ratios'!$AC15)/('MD-ratios'!$Y15-'MD-ratios'!$AC15))/LOG('MD-ratios'!$U15))/2,IF('MD-ratios'!AX15&gt;'MD-ratios'!$Y15,0,10-10*LOG(1+('MD-ratios'!$U15-1)*('MD-ratios'!AX15-'MD-ratios'!$AC15)/('MD-ratios'!$Y15-'MD-ratios'!$AC15))/LOG('MD-ratios'!$U15)))</f>
        <v>8.2670257414702633</v>
      </c>
      <c r="AP12" s="262">
        <f>IF('MD-ratios'!AY15&lt;0,IF(ABS('MD-ratios'!AY15)&gt;'MD-ratios'!$Y15,0,10-10*LOG(1+('MD-ratios'!$U15-1)*(ABS('MD-ratios'!AY15)-'MD-ratios'!$AC15)/('MD-ratios'!$Y15-'MD-ratios'!$AC15))/LOG('MD-ratios'!$U15))/2,IF('MD-ratios'!AY15&gt;'MD-ratios'!$Y15,0,10-10*LOG(1+('MD-ratios'!$U15-1)*('MD-ratios'!AY15-'MD-ratios'!$AC15)/('MD-ratios'!$Y15-'MD-ratios'!$AC15))/LOG('MD-ratios'!$U15)))</f>
        <v>8.5825614811346558</v>
      </c>
      <c r="AQ12" s="262">
        <f>IF('MD-ratios'!AZ15&lt;0,IF(ABS('MD-ratios'!AZ15)&gt;'MD-ratios'!$Y15,0,10-10*LOG(1+('MD-ratios'!$U15-1)*(ABS('MD-ratios'!AZ15)-'MD-ratios'!$AC15)/('MD-ratios'!$Y15-'MD-ratios'!$AC15))/LOG('MD-ratios'!$U15))/2,IF('MD-ratios'!AZ15&gt;'MD-ratios'!$Y15,0,10-10*LOG(1+('MD-ratios'!$U15-1)*('MD-ratios'!AZ15-'MD-ratios'!$AC15)/('MD-ratios'!$Y15-'MD-ratios'!$AC15))/LOG('MD-ratios'!$U15)))</f>
        <v>9.1250053289567443</v>
      </c>
      <c r="AR12" s="262">
        <f>IF('MD-ratios'!BA15&lt;0,IF(ABS('MD-ratios'!BA15)&gt;'MD-ratios'!$Y15,0,10-10*LOG(1+('MD-ratios'!$U15-1)*(ABS('MD-ratios'!BA15)-'MD-ratios'!$AC15)/('MD-ratios'!$Y15-'MD-ratios'!$AC15))/LOG('MD-ratios'!$U15))/2,IF('MD-ratios'!BA15&gt;'MD-ratios'!$Y15,0,10-10*LOG(1+('MD-ratios'!$U15-1)*('MD-ratios'!BA15-'MD-ratios'!$AC15)/('MD-ratios'!$Y15-'MD-ratios'!$AC15))/LOG('MD-ratios'!$U15)))</f>
        <v>9.3888062335606399</v>
      </c>
      <c r="AS12" s="262">
        <f>IF('MD-ratios'!BB15&lt;0,IF(ABS('MD-ratios'!BB15)&gt;'MD-ratios'!$Y15,0,10-10*LOG(1+('MD-ratios'!$U15-1)*(ABS('MD-ratios'!BB15)-'MD-ratios'!$AC15)/('MD-ratios'!$Y15-'MD-ratios'!$AC15))/LOG('MD-ratios'!$U15))/2,IF('MD-ratios'!BB15&gt;'MD-ratios'!$Y15,0,10-10*LOG(1+('MD-ratios'!$U15-1)*('MD-ratios'!BB15-'MD-ratios'!$AC15)/('MD-ratios'!$Y15-'MD-ratios'!$AC15))/LOG('MD-ratios'!$U15)))</f>
        <v>4.7945991765971971</v>
      </c>
      <c r="AT12" s="262">
        <f>IF('MD-ratios'!BC15&lt;0,IF(ABS('MD-ratios'!BC15)&gt;'MD-ratios'!$Y15,0,10-10*LOG(1+('MD-ratios'!$U15-1)*(ABS('MD-ratios'!BC15)-'MD-ratios'!$AC15)/('MD-ratios'!$Y15-'MD-ratios'!$AC15))/LOG('MD-ratios'!$U15))/2,IF('MD-ratios'!BC15&gt;'MD-ratios'!$Y15,0,10-10*LOG(1+('MD-ratios'!$U15-1)*('MD-ratios'!BC15-'MD-ratios'!$AC15)/('MD-ratios'!$Y15-'MD-ratios'!$AC15))/LOG('MD-ratios'!$U15)))</f>
        <v>5.2524202589180042</v>
      </c>
      <c r="AU12" s="262">
        <f>IF('MD-ratios'!BD15&lt;0,IF(ABS('MD-ratios'!BD15)&gt;'MD-ratios'!$Y15,0,10-10*LOG(1+('MD-ratios'!$U15-1)*(ABS('MD-ratios'!BD15)-'MD-ratios'!$AC15)/('MD-ratios'!$Y15-'MD-ratios'!$AC15))/LOG('MD-ratios'!$U15))/2,IF('MD-ratios'!BD15&gt;'MD-ratios'!$Y15,0,10-10*LOG(1+('MD-ratios'!$U15-1)*('MD-ratios'!BD15-'MD-ratios'!$AC15)/('MD-ratios'!$Y15-'MD-ratios'!$AC15))/LOG('MD-ratios'!$U15)))</f>
        <v>1.1464987884514741</v>
      </c>
      <c r="AV12" s="262">
        <f>IF('MD-ratios'!BE15&lt;0,IF(ABS('MD-ratios'!BE15)&gt;'MD-ratios'!$Y15,0,10-10*LOG(1+('MD-ratios'!$U15-1)*(ABS('MD-ratios'!BE15)-'MD-ratios'!$AC15)/('MD-ratios'!$Y15-'MD-ratios'!$AC15))/LOG('MD-ratios'!$U15))/2,IF('MD-ratios'!BE15&gt;'MD-ratios'!$Y15,0,10-10*LOG(1+('MD-ratios'!$U15-1)*('MD-ratios'!BE15-'MD-ratios'!$AC15)/('MD-ratios'!$Y15-'MD-ratios'!$AC15))/LOG('MD-ratios'!$U15)))</f>
        <v>9.9909299714973692</v>
      </c>
      <c r="AW12" s="262">
        <f>IF('MD-ratios'!BF15&lt;0,IF(ABS('MD-ratios'!BF15)&gt;'MD-ratios'!$Y15,0,10-10*LOG(1+('MD-ratios'!$U15-1)*(ABS('MD-ratios'!BF15)-'MD-ratios'!$AC15)/('MD-ratios'!$Y15-'MD-ratios'!$AC15))/LOG('MD-ratios'!$U15))/2,IF('MD-ratios'!BF15&gt;'MD-ratios'!$Y15,0,10-10*LOG(1+('MD-ratios'!$U15-1)*('MD-ratios'!BF15-'MD-ratios'!$AC15)/('MD-ratios'!$Y15-'MD-ratios'!$AC15))/LOG('MD-ratios'!$U15)))</f>
        <v>2.9819003870815441</v>
      </c>
      <c r="AX12" s="262">
        <f>IF('MD-ratios'!BG15&lt;0,IF(ABS('MD-ratios'!BG15)&gt;'MD-ratios'!$Y15,0,10-10*LOG(1+('MD-ratios'!$U15-1)*(ABS('MD-ratios'!BG15)-'MD-ratios'!$AC15)/('MD-ratios'!$Y15-'MD-ratios'!$AC15))/LOG('MD-ratios'!$U15))/2,IF('MD-ratios'!BG15&gt;'MD-ratios'!$Y15,0,10-10*LOG(1+('MD-ratios'!$U15-1)*('MD-ratios'!BG15-'MD-ratios'!$AC15)/('MD-ratios'!$Y15-'MD-ratios'!$AC15))/LOG('MD-ratios'!$U15)))</f>
        <v>9.0394517510354806</v>
      </c>
      <c r="AY12" s="262">
        <f>IF('MD-ratios'!BH15&lt;0,IF(ABS('MD-ratios'!BH15)&gt;'MD-ratios'!$Y15,0,10-10*LOG(1+('MD-ratios'!$U15-1)*(ABS('MD-ratios'!BH15)-'MD-ratios'!$AC15)/('MD-ratios'!$Y15-'MD-ratios'!$AC15))/LOG('MD-ratios'!$U15))/2,IF('MD-ratios'!BH15&gt;'MD-ratios'!$Y15,0,10-10*LOG(1+('MD-ratios'!$U15-1)*('MD-ratios'!BH15-'MD-ratios'!$AC15)/('MD-ratios'!$Y15-'MD-ratios'!$AC15))/LOG('MD-ratios'!$U15)))</f>
        <v>2.2982165101200049</v>
      </c>
      <c r="AZ12" s="262">
        <f>IF('MD-ratios'!BI15&lt;0,IF(ABS('MD-ratios'!BI15)&gt;'MD-ratios'!$Y15,0,10-10*LOG(1+('MD-ratios'!$U15-1)*(ABS('MD-ratios'!BI15)-'MD-ratios'!$AC15)/('MD-ratios'!$Y15-'MD-ratios'!$AC15))/LOG('MD-ratios'!$U15))/2,IF('MD-ratios'!BI15&gt;'MD-ratios'!$Y15,0,10-10*LOG(1+('MD-ratios'!$U15-1)*('MD-ratios'!BI15-'MD-ratios'!$AC15)/('MD-ratios'!$Y15-'MD-ratios'!$AC15))/LOG('MD-ratios'!$U15)))</f>
        <v>6.9628515629004095</v>
      </c>
      <c r="BA12" s="262">
        <f>IF('MD-ratios'!BJ15&lt;0,IF(ABS('MD-ratios'!BJ15)&gt;'MD-ratios'!$Y15,0,10-10*LOG(1+('MD-ratios'!$U15-1)*(ABS('MD-ratios'!BJ15)-'MD-ratios'!$AC15)/('MD-ratios'!$Y15-'MD-ratios'!$AC15))/LOG('MD-ratios'!$U15))/2,IF('MD-ratios'!BJ15&gt;'MD-ratios'!$Y15,0,10-10*LOG(1+('MD-ratios'!$U15-1)*('MD-ratios'!BJ15-'MD-ratios'!$AC15)/('MD-ratios'!$Y15-'MD-ratios'!$AC15))/LOG('MD-ratios'!$U15)))</f>
        <v>9.0131197724361378</v>
      </c>
      <c r="BB12" s="262">
        <f>IF('MD-ratios'!BK15&lt;0,IF(ABS('MD-ratios'!BK15)&gt;'MD-ratios'!$Y15,0,10-10*LOG(1+('MD-ratios'!$U15-1)*(ABS('MD-ratios'!BK15)-'MD-ratios'!$AC15)/('MD-ratios'!$Y15-'MD-ratios'!$AC15))/LOG('MD-ratios'!$U15))/2,IF('MD-ratios'!BK15&gt;'MD-ratios'!$Y15,0,10-10*LOG(1+('MD-ratios'!$U15-1)*('MD-ratios'!BK15-'MD-ratios'!$AC15)/('MD-ratios'!$Y15-'MD-ratios'!$AC15))/LOG('MD-ratios'!$U15)))</f>
        <v>0.53613097221260553</v>
      </c>
      <c r="BC12" s="262">
        <f>IF('MD-ratios'!BL15&lt;0,IF(ABS('MD-ratios'!BL15)&gt;'MD-ratios'!$Y15,0,10-10*LOG(1+('MD-ratios'!$U15-1)*(ABS('MD-ratios'!BL15)-'MD-ratios'!$AC15)/('MD-ratios'!$Y15-'MD-ratios'!$AC15))/LOG('MD-ratios'!$U15))/2,IF('MD-ratios'!BL15&gt;'MD-ratios'!$Y15,0,10-10*LOG(1+('MD-ratios'!$U15-1)*('MD-ratios'!BL15-'MD-ratios'!$AC15)/('MD-ratios'!$Y15-'MD-ratios'!$AC15))/LOG('MD-ratios'!$U15)))</f>
        <v>0</v>
      </c>
      <c r="BD12" s="262">
        <f>IF('MD-ratios'!BM15&lt;0,IF(ABS('MD-ratios'!BM15)&gt;'MD-ratios'!$Y15,0,10-10*LOG(1+('MD-ratios'!$U15-1)*(ABS('MD-ratios'!BM15)-'MD-ratios'!$AC15)/('MD-ratios'!$Y15-'MD-ratios'!$AC15))/LOG('MD-ratios'!$U15))/2,IF('MD-ratios'!BM15&gt;'MD-ratios'!$Y15,0,10-10*LOG(1+('MD-ratios'!$U15-1)*('MD-ratios'!BM15-'MD-ratios'!$AC15)/('MD-ratios'!$Y15-'MD-ratios'!$AC15))/LOG('MD-ratios'!$U15)))</f>
        <v>9.9872940315786209</v>
      </c>
      <c r="BE12" s="262">
        <f>IF('MD-ratios'!BN15&lt;0,IF(ABS('MD-ratios'!BN15)&gt;'MD-ratios'!$Y15,0,10-10*LOG(1+('MD-ratios'!$U15-1)*(ABS('MD-ratios'!BN15)-'MD-ratios'!$AC15)/('MD-ratios'!$Y15-'MD-ratios'!$AC15))/LOG('MD-ratios'!$U15))/2,IF('MD-ratios'!BN15&gt;'MD-ratios'!$Y15,0,10-10*LOG(1+('MD-ratios'!$U15-1)*('MD-ratios'!BN15-'MD-ratios'!$AC15)/('MD-ratios'!$Y15-'MD-ratios'!$AC15))/LOG('MD-ratios'!$U15)))</f>
        <v>4.472614922246394</v>
      </c>
      <c r="BF12" s="262">
        <f>IF('MD-ratios'!BO15&lt;0,IF(ABS('MD-ratios'!BO15)&gt;'MD-ratios'!$Y15,0,10-10*LOG(1+('MD-ratios'!$U15-1)*(ABS('MD-ratios'!BO15)-'MD-ratios'!$AC15)/('MD-ratios'!$Y15-'MD-ratios'!$AC15))/LOG('MD-ratios'!$U15))/2,IF('MD-ratios'!BO15&gt;'MD-ratios'!$Y15,0,10-10*LOG(1+('MD-ratios'!$U15-1)*('MD-ratios'!BO15-'MD-ratios'!$AC15)/('MD-ratios'!$Y15-'MD-ratios'!$AC15))/LOG('MD-ratios'!$U15)))</f>
        <v>9.8758172408247127</v>
      </c>
      <c r="BG12" s="262">
        <f>IF('MD-ratios'!BP15&lt;0,IF(ABS('MD-ratios'!BP15)&gt;'MD-ratios'!$Y15,0,10-10*LOG(1+('MD-ratios'!$U15-1)*(ABS('MD-ratios'!BP15)-'MD-ratios'!$AC15)/('MD-ratios'!$Y15-'MD-ratios'!$AC15))/LOG('MD-ratios'!$U15))/2,IF('MD-ratios'!BP15&gt;'MD-ratios'!$Y15,0,10-10*LOG(1+('MD-ratios'!$U15-1)*('MD-ratios'!BP15-'MD-ratios'!$AC15)/('MD-ratios'!$Y15-'MD-ratios'!$AC15))/LOG('MD-ratios'!$U15)))</f>
        <v>9.9785281228289939</v>
      </c>
      <c r="BH12" s="262">
        <f>IF('MD-ratios'!BQ15&lt;0,IF(ABS('MD-ratios'!BQ15)&gt;'MD-ratios'!$Y15,0,10-10*LOG(1+('MD-ratios'!$U15-1)*(ABS('MD-ratios'!BQ15)-'MD-ratios'!$AC15)/('MD-ratios'!$Y15-'MD-ratios'!$AC15))/LOG('MD-ratios'!$U15))/2,IF('MD-ratios'!BQ15&gt;'MD-ratios'!$Y15,0,10-10*LOG(1+('MD-ratios'!$U15-1)*('MD-ratios'!BQ15-'MD-ratios'!$AC15)/('MD-ratios'!$Y15-'MD-ratios'!$AC15))/LOG('MD-ratios'!$U15)))</f>
        <v>9.9841596518629512</v>
      </c>
      <c r="BI12" s="262">
        <f>IF('MD-ratios'!BR15&lt;0,IF(ABS('MD-ratios'!BR15)&gt;'MD-ratios'!$Y15,0,10-10*LOG(1+('MD-ratios'!$U15-1)*(ABS('MD-ratios'!BR15)-'MD-ratios'!$AC15)/('MD-ratios'!$Y15-'MD-ratios'!$AC15))/LOG('MD-ratios'!$U15))/2,IF('MD-ratios'!BR15&gt;'MD-ratios'!$Y15,0,10-10*LOG(1+('MD-ratios'!$U15-1)*('MD-ratios'!BR15-'MD-ratios'!$AC15)/('MD-ratios'!$Y15-'MD-ratios'!$AC15))/LOG('MD-ratios'!$U15)))</f>
        <v>9.941216037642155</v>
      </c>
      <c r="BJ12" s="262">
        <f>IF('MD-ratios'!BS15&lt;0,IF(ABS('MD-ratios'!BS15)&gt;'MD-ratios'!$Y15,0,10-10*LOG(1+('MD-ratios'!$U15-1)*(ABS('MD-ratios'!BS15)-'MD-ratios'!$AC15)/('MD-ratios'!$Y15-'MD-ratios'!$AC15))/LOG('MD-ratios'!$U15))/2,IF('MD-ratios'!BS15&gt;'MD-ratios'!$Y15,0,10-10*LOG(1+('MD-ratios'!$U15-1)*('MD-ratios'!BS15-'MD-ratios'!$AC15)/('MD-ratios'!$Y15-'MD-ratios'!$AC15))/LOG('MD-ratios'!$U15)))</f>
        <v>6.6298448107705514</v>
      </c>
      <c r="BK12" s="262">
        <f>IF('MD-ratios'!BT15&lt;0,IF(ABS('MD-ratios'!BT15)&gt;'MD-ratios'!$Y15,0,10-10*LOG(1+('MD-ratios'!$U15-1)*(ABS('MD-ratios'!BT15)-'MD-ratios'!$AC15)/('MD-ratios'!$Y15-'MD-ratios'!$AC15))/LOG('MD-ratios'!$U15))/2,IF('MD-ratios'!BT15&gt;'MD-ratios'!$Y15,0,10-10*LOG(1+('MD-ratios'!$U15-1)*('MD-ratios'!BT15-'MD-ratios'!$AC15)/('MD-ratios'!$Y15-'MD-ratios'!$AC15))/LOG('MD-ratios'!$U15)))</f>
        <v>10</v>
      </c>
      <c r="BL12" s="262">
        <f>IF('MD-ratios'!BU15&lt;0,IF(ABS('MD-ratios'!BU15)&gt;'MD-ratios'!$Y15,0,10-10*LOG(1+('MD-ratios'!$U15-1)*(ABS('MD-ratios'!BU15)-'MD-ratios'!$AC15)/('MD-ratios'!$Y15-'MD-ratios'!$AC15))/LOG('MD-ratios'!$U15))/2,IF('MD-ratios'!BU15&gt;'MD-ratios'!$Y15,0,10-10*LOG(1+('MD-ratios'!$U15-1)*('MD-ratios'!BU15-'MD-ratios'!$AC15)/('MD-ratios'!$Y15-'MD-ratios'!$AC15))/LOG('MD-ratios'!$U15)))</f>
        <v>3.3995177395361482</v>
      </c>
      <c r="BM12" s="262">
        <f>IF('MD-ratios'!BV15&lt;0,IF(ABS('MD-ratios'!BV15)&gt;'MD-ratios'!$Y15,0,10-10*LOG(1+('MD-ratios'!$U15-1)*(ABS('MD-ratios'!BV15)-'MD-ratios'!$AC15)/('MD-ratios'!$Y15-'MD-ratios'!$AC15))/LOG('MD-ratios'!$U15))/2,IF('MD-ratios'!BV15&gt;'MD-ratios'!$Y15,0,10-10*LOG(1+('MD-ratios'!$U15-1)*('MD-ratios'!BV15-'MD-ratios'!$AC15)/('MD-ratios'!$Y15-'MD-ratios'!$AC15))/LOG('MD-ratios'!$U15)))</f>
        <v>8.1126025175288579</v>
      </c>
      <c r="BN12" s="262">
        <f>IF('MD-ratios'!BW15&lt;0,IF(ABS('MD-ratios'!BW15)&gt;'MD-ratios'!$Y15,0,10-10*LOG(1+('MD-ratios'!$U15-1)*(ABS('MD-ratios'!BW15)-'MD-ratios'!$AC15)/('MD-ratios'!$Y15-'MD-ratios'!$AC15))/LOG('MD-ratios'!$U15))/2,IF('MD-ratios'!BW15&gt;'MD-ratios'!$Y15,0,10-10*LOG(1+('MD-ratios'!$U15-1)*('MD-ratios'!BW15-'MD-ratios'!$AC15)/('MD-ratios'!$Y15-'MD-ratios'!$AC15))/LOG('MD-ratios'!$U15)))</f>
        <v>6.2507410619986228</v>
      </c>
      <c r="BO12" s="262">
        <f>IF('MD-ratios'!BX15&lt;0,IF(ABS('MD-ratios'!BX15)&gt;'MD-ratios'!$Y15,0,10-10*LOG(1+('MD-ratios'!$U15-1)*(ABS('MD-ratios'!BX15)-'MD-ratios'!$AC15)/('MD-ratios'!$Y15-'MD-ratios'!$AC15))/LOG('MD-ratios'!$U15))/2,IF('MD-ratios'!BX15&gt;'MD-ratios'!$Y15,0,10-10*LOG(1+('MD-ratios'!$U15-1)*('MD-ratios'!BX15-'MD-ratios'!$AC15)/('MD-ratios'!$Y15-'MD-ratios'!$AC15))/LOG('MD-ratios'!$U15)))</f>
        <v>6.5638464883607508</v>
      </c>
      <c r="BP12" s="262">
        <f>IF('MD-ratios'!BY15&lt;0,IF(ABS('MD-ratios'!BY15)&gt;'MD-ratios'!$Y15,0,10-10*LOG(1+('MD-ratios'!$U15-1)*(ABS('MD-ratios'!BY15)-'MD-ratios'!$AC15)/('MD-ratios'!$Y15-'MD-ratios'!$AC15))/LOG('MD-ratios'!$U15))/2,IF('MD-ratios'!BY15&gt;'MD-ratios'!$Y15,0,10-10*LOG(1+('MD-ratios'!$U15-1)*('MD-ratios'!BY15-'MD-ratios'!$AC15)/('MD-ratios'!$Y15-'MD-ratios'!$AC15))/LOG('MD-ratios'!$U15)))</f>
        <v>6.1419651644451019</v>
      </c>
      <c r="BQ12" s="262">
        <f>IF('MD-ratios'!BZ15&lt;0,IF(ABS('MD-ratios'!BZ15)&gt;'MD-ratios'!$Y15,0,10-10*LOG(1+('MD-ratios'!$U15-1)*(ABS('MD-ratios'!BZ15)-'MD-ratios'!$AC15)/('MD-ratios'!$Y15-'MD-ratios'!$AC15))/LOG('MD-ratios'!$U15))/2,IF('MD-ratios'!BZ15&gt;'MD-ratios'!$Y15,0,10-10*LOG(1+('MD-ratios'!$U15-1)*('MD-ratios'!BZ15-'MD-ratios'!$AC15)/('MD-ratios'!$Y15-'MD-ratios'!$AC15))/LOG('MD-ratios'!$U15)))</f>
        <v>4.3174673917243389</v>
      </c>
      <c r="BR12" s="262">
        <f>IF('MD-ratios'!CA15&lt;0,IF(ABS('MD-ratios'!CA15)&gt;'MD-ratios'!$Y15,0,10-10*LOG(1+('MD-ratios'!$U15-1)*(ABS('MD-ratios'!CA15)-'MD-ratios'!$AC15)/('MD-ratios'!$Y15-'MD-ratios'!$AC15))/LOG('MD-ratios'!$U15))/2,IF('MD-ratios'!CA15&gt;'MD-ratios'!$Y15,0,10-10*LOG(1+('MD-ratios'!$U15-1)*('MD-ratios'!CA15-'MD-ratios'!$AC15)/('MD-ratios'!$Y15-'MD-ratios'!$AC15))/LOG('MD-ratios'!$U15)))</f>
        <v>0.32402259000056688</v>
      </c>
      <c r="BS12" s="262">
        <f>IF('MD-ratios'!CB15&lt;0,IF(ABS('MD-ratios'!CB15)&gt;'MD-ratios'!$Y15,0,10-10*LOG(1+('MD-ratios'!$U15-1)*(ABS('MD-ratios'!CB15)-'MD-ratios'!$AC15)/('MD-ratios'!$Y15-'MD-ratios'!$AC15))/LOG('MD-ratios'!$U15))/2,IF('MD-ratios'!CB15&gt;'MD-ratios'!$Y15,0,10-10*LOG(1+('MD-ratios'!$U15-1)*('MD-ratios'!CB15-'MD-ratios'!$AC15)/('MD-ratios'!$Y15-'MD-ratios'!$AC15))/LOG('MD-ratios'!$U15)))</f>
        <v>8.1120516731614476</v>
      </c>
      <c r="BT12" s="262">
        <f>IF('MD-ratios'!CC15&lt;0,IF(ABS('MD-ratios'!CC15)&gt;'MD-ratios'!$Y15,0,10-10*LOG(1+('MD-ratios'!$U15-1)*(ABS('MD-ratios'!CC15)-'MD-ratios'!$AC15)/('MD-ratios'!$Y15-'MD-ratios'!$AC15))/LOG('MD-ratios'!$U15))/2,IF('MD-ratios'!CC15&gt;'MD-ratios'!$Y15,0,10-10*LOG(1+('MD-ratios'!$U15-1)*('MD-ratios'!CC15-'MD-ratios'!$AC15)/('MD-ratios'!$Y15-'MD-ratios'!$AC15))/LOG('MD-ratios'!$U15)))</f>
        <v>9.3361705543536182</v>
      </c>
    </row>
    <row r="13" spans="1:72" s="243" customFormat="1" ht="30.75" thickBot="1" x14ac:dyDescent="0.3">
      <c r="A13" s="640"/>
      <c r="B13" s="659"/>
      <c r="C13" s="518">
        <f>'MD-ranking'!S3</f>
        <v>0.15</v>
      </c>
      <c r="D13" s="409" t="s">
        <v>174</v>
      </c>
      <c r="E13" s="414" t="s">
        <v>176</v>
      </c>
      <c r="F13" s="417">
        <v>1</v>
      </c>
      <c r="G13" s="417">
        <v>2</v>
      </c>
      <c r="H13" s="417">
        <v>3</v>
      </c>
      <c r="I13" s="417">
        <v>4</v>
      </c>
      <c r="K13" s="597" t="s">
        <v>1533</v>
      </c>
      <c r="L13" s="265" t="s">
        <v>388</v>
      </c>
      <c r="M13" s="265"/>
      <c r="N13" s="653"/>
      <c r="P13" s="258">
        <f>'MD-ratios'!Y16</f>
        <v>210.60483936461708</v>
      </c>
      <c r="Q13" s="568">
        <f>'MD-ratios'!Z16</f>
        <v>5.3219685148492397</v>
      </c>
      <c r="R13" s="568">
        <f>'MD-ratios'!AA16</f>
        <v>0.8898384879441904</v>
      </c>
      <c r="S13" s="568">
        <f>'MD-ratios'!AB16</f>
        <v>0.14878189008775705</v>
      </c>
      <c r="T13" s="258">
        <f>'MD-ratios'!AC16</f>
        <v>0</v>
      </c>
      <c r="V13" s="252"/>
      <c r="W13" s="242">
        <f>IF('MD-ratios'!AF16&lt;0,IF(ABS('MD-ratios'!AF16)&gt;'MD-ratios'!$Y16,0,10-10*LOG(1+('MD-ratios'!$U16-1)*(ABS('MD-ratios'!AF16)-'MD-ratios'!$AC16)/('MD-ratios'!$Y16-'MD-ratios'!$AC16))/LOG('MD-ratios'!$U16))/2,IF('MD-ratios'!AF16&gt;'MD-ratios'!$Y16,0,10-10*LOG(1+('MD-ratios'!$U16-1)*('MD-ratios'!AF16-'MD-ratios'!$AC16)/('MD-ratios'!$Y16-'MD-ratios'!$AC16))/LOG('MD-ratios'!$U16)))</f>
        <v>9.7339339254509305</v>
      </c>
      <c r="X13" s="242">
        <f>IF('MD-ratios'!AG16&lt;0,IF(ABS('MD-ratios'!AG16)&gt;'MD-ratios'!$Y16,0,10-10*LOG(1+('MD-ratios'!$U16-1)*(ABS('MD-ratios'!AG16)-'MD-ratios'!$AC16)/('MD-ratios'!$Y16-'MD-ratios'!$AC16))/LOG('MD-ratios'!$U16))/2,IF('MD-ratios'!AG16&gt;'MD-ratios'!$Y16,0,10-10*LOG(1+('MD-ratios'!$U16-1)*('MD-ratios'!AG16-'MD-ratios'!$AC16)/('MD-ratios'!$Y16-'MD-ratios'!$AC16))/LOG('MD-ratios'!$U16)))</f>
        <v>3.4718604346489936</v>
      </c>
      <c r="Y13" s="242">
        <f>IF('MD-ratios'!AH16&lt;0,IF(ABS('MD-ratios'!AH16)&gt;'MD-ratios'!$Y16,0,10-10*LOG(1+('MD-ratios'!$U16-1)*(ABS('MD-ratios'!AH16)-'MD-ratios'!$AC16)/('MD-ratios'!$Y16-'MD-ratios'!$AC16))/LOG('MD-ratios'!$U16))/2,IF('MD-ratios'!AH16&gt;'MD-ratios'!$Y16,0,10-10*LOG(1+('MD-ratios'!$U16-1)*('MD-ratios'!AH16-'MD-ratios'!$AC16)/('MD-ratios'!$Y16-'MD-ratios'!$AC16))/LOG('MD-ratios'!$U16)))</f>
        <v>3.1153236099258477</v>
      </c>
      <c r="Z13" s="242">
        <f>IF('MD-ratios'!AI16&lt;0,IF(ABS('MD-ratios'!AI16)&gt;'MD-ratios'!$Y16,0,10-10*LOG(1+('MD-ratios'!$U16-1)*(ABS('MD-ratios'!AI16)-'MD-ratios'!$AC16)/('MD-ratios'!$Y16-'MD-ratios'!$AC16))/LOG('MD-ratios'!$U16))/2,IF('MD-ratios'!AI16&gt;'MD-ratios'!$Y16,0,10-10*LOG(1+('MD-ratios'!$U16-1)*('MD-ratios'!AI16-'MD-ratios'!$AC16)/('MD-ratios'!$Y16-'MD-ratios'!$AC16))/LOG('MD-ratios'!$U16)))</f>
        <v>4.4327226776249189</v>
      </c>
      <c r="AA13" s="242">
        <f>IF('MD-ratios'!AJ16&lt;0,IF(ABS('MD-ratios'!AJ16)&gt;'MD-ratios'!$Y16,0,10-10*LOG(1+('MD-ratios'!$U16-1)*(ABS('MD-ratios'!AJ16)-'MD-ratios'!$AC16)/('MD-ratios'!$Y16-'MD-ratios'!$AC16))/LOG('MD-ratios'!$U16))/2,IF('MD-ratios'!AJ16&gt;'MD-ratios'!$Y16,0,10-10*LOG(1+('MD-ratios'!$U16-1)*('MD-ratios'!AJ16-'MD-ratios'!$AC16)/('MD-ratios'!$Y16-'MD-ratios'!$AC16))/LOG('MD-ratios'!$U16)))</f>
        <v>10</v>
      </c>
      <c r="AB13" s="242">
        <f>IF('MD-ratios'!AK16&lt;0,IF(ABS('MD-ratios'!AK16)&gt;'MD-ratios'!$Y16,0,10-10*LOG(1+('MD-ratios'!$U16-1)*(ABS('MD-ratios'!AK16)-'MD-ratios'!$AC16)/('MD-ratios'!$Y16-'MD-ratios'!$AC16))/LOG('MD-ratios'!$U16))/2,IF('MD-ratios'!AK16&gt;'MD-ratios'!$Y16,0,10-10*LOG(1+('MD-ratios'!$U16-1)*('MD-ratios'!AK16-'MD-ratios'!$AC16)/('MD-ratios'!$Y16-'MD-ratios'!$AC16))/LOG('MD-ratios'!$U16)))</f>
        <v>4.7856776711659297</v>
      </c>
      <c r="AC13" s="242">
        <f>IF('MD-ratios'!AL16&lt;0,IF(ABS('MD-ratios'!AL16)&gt;'MD-ratios'!$Y16,0,10-10*LOG(1+('MD-ratios'!$U16-1)*(ABS('MD-ratios'!AL16)-'MD-ratios'!$AC16)/('MD-ratios'!$Y16-'MD-ratios'!$AC16))/LOG('MD-ratios'!$U16))/2,IF('MD-ratios'!AL16&gt;'MD-ratios'!$Y16,0,10-10*LOG(1+('MD-ratios'!$U16-1)*('MD-ratios'!AL16-'MD-ratios'!$AC16)/('MD-ratios'!$Y16-'MD-ratios'!$AC16))/LOG('MD-ratios'!$U16)))</f>
        <v>0.58503116338230399</v>
      </c>
      <c r="AD13" s="242">
        <f>IF('MD-ratios'!AM16&lt;0,IF(ABS('MD-ratios'!AM16)&gt;'MD-ratios'!$Y16,0,10-10*LOG(1+('MD-ratios'!$U16-1)*(ABS('MD-ratios'!AM16)-'MD-ratios'!$AC16)/('MD-ratios'!$Y16-'MD-ratios'!$AC16))/LOG('MD-ratios'!$U16))/2,IF('MD-ratios'!AM16&gt;'MD-ratios'!$Y16,0,10-10*LOG(1+('MD-ratios'!$U16-1)*('MD-ratios'!AM16-'MD-ratios'!$AC16)/('MD-ratios'!$Y16-'MD-ratios'!$AC16))/LOG('MD-ratios'!$U16)))</f>
        <v>9.6623674517889011</v>
      </c>
      <c r="AE13" s="242">
        <f>IF('MD-ratios'!AN16&lt;0,IF(ABS('MD-ratios'!AN16)&gt;'MD-ratios'!$Y16,0,10-10*LOG(1+('MD-ratios'!$U16-1)*(ABS('MD-ratios'!AN16)-'MD-ratios'!$AC16)/('MD-ratios'!$Y16-'MD-ratios'!$AC16))/LOG('MD-ratios'!$U16))/2,IF('MD-ratios'!AN16&gt;'MD-ratios'!$Y16,0,10-10*LOG(1+('MD-ratios'!$U16-1)*('MD-ratios'!AN16-'MD-ratios'!$AC16)/('MD-ratios'!$Y16-'MD-ratios'!$AC16))/LOG('MD-ratios'!$U16)))</f>
        <v>9.1113913190462643</v>
      </c>
      <c r="AF13" s="242">
        <f>IF('MD-ratios'!AO16&lt;0,IF(ABS('MD-ratios'!AO16)&gt;'MD-ratios'!$Y16,0,10-10*LOG(1+('MD-ratios'!$U16-1)*(ABS('MD-ratios'!AO16)-'MD-ratios'!$AC16)/('MD-ratios'!$Y16-'MD-ratios'!$AC16))/LOG('MD-ratios'!$U16))/2,IF('MD-ratios'!AO16&gt;'MD-ratios'!$Y16,0,10-10*LOG(1+('MD-ratios'!$U16-1)*('MD-ratios'!AO16-'MD-ratios'!$AC16)/('MD-ratios'!$Y16-'MD-ratios'!$AC16))/LOG('MD-ratios'!$U16)))</f>
        <v>3.641774721921907</v>
      </c>
      <c r="AG13" s="242">
        <f>IF('MD-ratios'!AP16&lt;0,IF(ABS('MD-ratios'!AP16)&gt;'MD-ratios'!$Y16,0,10-10*LOG(1+('MD-ratios'!$U16-1)*(ABS('MD-ratios'!AP16)-'MD-ratios'!$AC16)/('MD-ratios'!$Y16-'MD-ratios'!$AC16))/LOG('MD-ratios'!$U16))/2,IF('MD-ratios'!AP16&gt;'MD-ratios'!$Y16,0,10-10*LOG(1+('MD-ratios'!$U16-1)*('MD-ratios'!AP16-'MD-ratios'!$AC16)/('MD-ratios'!$Y16-'MD-ratios'!$AC16))/LOG('MD-ratios'!$U16)))</f>
        <v>0</v>
      </c>
      <c r="AH13" s="242">
        <f>IF('MD-ratios'!AQ16&lt;0,IF(ABS('MD-ratios'!AQ16)&gt;'MD-ratios'!$Y16,0,10-10*LOG(1+('MD-ratios'!$U16-1)*(ABS('MD-ratios'!AQ16)-'MD-ratios'!$AC16)/('MD-ratios'!$Y16-'MD-ratios'!$AC16))/LOG('MD-ratios'!$U16))/2,IF('MD-ratios'!AQ16&gt;'MD-ratios'!$Y16,0,10-10*LOG(1+('MD-ratios'!$U16-1)*('MD-ratios'!AQ16-'MD-ratios'!$AC16)/('MD-ratios'!$Y16-'MD-ratios'!$AC16))/LOG('MD-ratios'!$U16)))</f>
        <v>7.2038507375839451</v>
      </c>
      <c r="AI13" s="242">
        <f>IF('MD-ratios'!AR16&lt;0,IF(ABS('MD-ratios'!AR16)&gt;'MD-ratios'!$Y16,0,10-10*LOG(1+('MD-ratios'!$U16-1)*(ABS('MD-ratios'!AR16)-'MD-ratios'!$AC16)/('MD-ratios'!$Y16-'MD-ratios'!$AC16))/LOG('MD-ratios'!$U16))/2,IF('MD-ratios'!AR16&gt;'MD-ratios'!$Y16,0,10-10*LOG(1+('MD-ratios'!$U16-1)*('MD-ratios'!AR16-'MD-ratios'!$AC16)/('MD-ratios'!$Y16-'MD-ratios'!$AC16))/LOG('MD-ratios'!$U16)))</f>
        <v>9.9313587118907698</v>
      </c>
      <c r="AJ13" s="242">
        <f>IF('MD-ratios'!AS16&lt;0,IF(ABS('MD-ratios'!AS16)&gt;'MD-ratios'!$Y16,0,10-10*LOG(1+('MD-ratios'!$U16-1)*(ABS('MD-ratios'!AS16)-'MD-ratios'!$AC16)/('MD-ratios'!$Y16-'MD-ratios'!$AC16))/LOG('MD-ratios'!$U16))/2,IF('MD-ratios'!AS16&gt;'MD-ratios'!$Y16,0,10-10*LOG(1+('MD-ratios'!$U16-1)*('MD-ratios'!AS16-'MD-ratios'!$AC16)/('MD-ratios'!$Y16-'MD-ratios'!$AC16))/LOG('MD-ratios'!$U16)))</f>
        <v>4.2864993861879181</v>
      </c>
      <c r="AK13" s="242">
        <f>IF('MD-ratios'!AT16&lt;0,IF(ABS('MD-ratios'!AT16)&gt;'MD-ratios'!$Y16,0,10-10*LOG(1+('MD-ratios'!$U16-1)*(ABS('MD-ratios'!AT16)-'MD-ratios'!$AC16)/('MD-ratios'!$Y16-'MD-ratios'!$AC16))/LOG('MD-ratios'!$U16))/2,IF('MD-ratios'!AT16&gt;'MD-ratios'!$Y16,0,10-10*LOG(1+('MD-ratios'!$U16-1)*('MD-ratios'!AT16-'MD-ratios'!$AC16)/('MD-ratios'!$Y16-'MD-ratios'!$AC16))/LOG('MD-ratios'!$U16)))</f>
        <v>9.9387160187021166</v>
      </c>
      <c r="AL13" s="242">
        <f>IF('MD-ratios'!AU16&lt;0,IF(ABS('MD-ratios'!AU16)&gt;'MD-ratios'!$Y16,0,10-10*LOG(1+('MD-ratios'!$U16-1)*(ABS('MD-ratios'!AU16)-'MD-ratios'!$AC16)/('MD-ratios'!$Y16-'MD-ratios'!$AC16))/LOG('MD-ratios'!$U16))/2,IF('MD-ratios'!AU16&gt;'MD-ratios'!$Y16,0,10-10*LOG(1+('MD-ratios'!$U16-1)*('MD-ratios'!AU16-'MD-ratios'!$AC16)/('MD-ratios'!$Y16-'MD-ratios'!$AC16))/LOG('MD-ratios'!$U16)))</f>
        <v>4.7848943068315064</v>
      </c>
      <c r="AM13" s="242">
        <f>IF('MD-ratios'!AV16&lt;0,IF(ABS('MD-ratios'!AV16)&gt;'MD-ratios'!$Y16,0,10-10*LOG(1+('MD-ratios'!$U16-1)*(ABS('MD-ratios'!AV16)-'MD-ratios'!$AC16)/('MD-ratios'!$Y16-'MD-ratios'!$AC16))/LOG('MD-ratios'!$U16))/2,IF('MD-ratios'!AV16&gt;'MD-ratios'!$Y16,0,10-10*LOG(1+('MD-ratios'!$U16-1)*('MD-ratios'!AV16-'MD-ratios'!$AC16)/('MD-ratios'!$Y16-'MD-ratios'!$AC16))/LOG('MD-ratios'!$U16)))</f>
        <v>9.385349490892466</v>
      </c>
      <c r="AN13" s="242">
        <f>IF('MD-ratios'!AW16&lt;0,IF(ABS('MD-ratios'!AW16)&gt;'MD-ratios'!$Y16,0,10-10*LOG(1+('MD-ratios'!$U16-1)*(ABS('MD-ratios'!AW16)-'MD-ratios'!$AC16)/('MD-ratios'!$Y16-'MD-ratios'!$AC16))/LOG('MD-ratios'!$U16))/2,IF('MD-ratios'!AW16&gt;'MD-ratios'!$Y16,0,10-10*LOG(1+('MD-ratios'!$U16-1)*('MD-ratios'!AW16-'MD-ratios'!$AC16)/('MD-ratios'!$Y16-'MD-ratios'!$AC16))/LOG('MD-ratios'!$U16)))</f>
        <v>9.1378672091219038</v>
      </c>
      <c r="AO13" s="242">
        <f>IF('MD-ratios'!AX16&lt;0,IF(ABS('MD-ratios'!AX16)&gt;'MD-ratios'!$Y16,0,10-10*LOG(1+('MD-ratios'!$U16-1)*(ABS('MD-ratios'!AX16)-'MD-ratios'!$AC16)/('MD-ratios'!$Y16-'MD-ratios'!$AC16))/LOG('MD-ratios'!$U16))/2,IF('MD-ratios'!AX16&gt;'MD-ratios'!$Y16,0,10-10*LOG(1+('MD-ratios'!$U16-1)*('MD-ratios'!AX16-'MD-ratios'!$AC16)/('MD-ratios'!$Y16-'MD-ratios'!$AC16))/LOG('MD-ratios'!$U16)))</f>
        <v>4.9378753327935412</v>
      </c>
      <c r="AP13" s="242">
        <f>IF('MD-ratios'!AY16&lt;0,IF(ABS('MD-ratios'!AY16)&gt;'MD-ratios'!$Y16,0,10-10*LOG(1+('MD-ratios'!$U16-1)*(ABS('MD-ratios'!AY16)-'MD-ratios'!$AC16)/('MD-ratios'!$Y16-'MD-ratios'!$AC16))/LOG('MD-ratios'!$U16))/2,IF('MD-ratios'!AY16&gt;'MD-ratios'!$Y16,0,10-10*LOG(1+('MD-ratios'!$U16-1)*('MD-ratios'!AY16-'MD-ratios'!$AC16)/('MD-ratios'!$Y16-'MD-ratios'!$AC16))/LOG('MD-ratios'!$U16)))</f>
        <v>9.3736948153677186</v>
      </c>
      <c r="AQ13" s="242">
        <f>IF('MD-ratios'!AZ16&lt;0,IF(ABS('MD-ratios'!AZ16)&gt;'MD-ratios'!$Y16,0,10-10*LOG(1+('MD-ratios'!$U16-1)*(ABS('MD-ratios'!AZ16)-'MD-ratios'!$AC16)/('MD-ratios'!$Y16-'MD-ratios'!$AC16))/LOG('MD-ratios'!$U16))/2,IF('MD-ratios'!AZ16&gt;'MD-ratios'!$Y16,0,10-10*LOG(1+('MD-ratios'!$U16-1)*('MD-ratios'!AZ16-'MD-ratios'!$AC16)/('MD-ratios'!$Y16-'MD-ratios'!$AC16))/LOG('MD-ratios'!$U16)))</f>
        <v>7.4995146523921052</v>
      </c>
      <c r="AR13" s="242">
        <f>IF('MD-ratios'!BA16&lt;0,IF(ABS('MD-ratios'!BA16)&gt;'MD-ratios'!$Y16,0,10-10*LOG(1+('MD-ratios'!$U16-1)*(ABS('MD-ratios'!BA16)-'MD-ratios'!$AC16)/('MD-ratios'!$Y16-'MD-ratios'!$AC16))/LOG('MD-ratios'!$U16))/2,IF('MD-ratios'!BA16&gt;'MD-ratios'!$Y16,0,10-10*LOG(1+('MD-ratios'!$U16-1)*('MD-ratios'!BA16-'MD-ratios'!$AC16)/('MD-ratios'!$Y16-'MD-ratios'!$AC16))/LOG('MD-ratios'!$U16)))</f>
        <v>9.9276203351111931</v>
      </c>
      <c r="AS13" s="242">
        <f>IF('MD-ratios'!BB16&lt;0,IF(ABS('MD-ratios'!BB16)&gt;'MD-ratios'!$Y16,0,10-10*LOG(1+('MD-ratios'!$U16-1)*(ABS('MD-ratios'!BB16)-'MD-ratios'!$AC16)/('MD-ratios'!$Y16-'MD-ratios'!$AC16))/LOG('MD-ratios'!$U16))/2,IF('MD-ratios'!BB16&gt;'MD-ratios'!$Y16,0,10-10*LOG(1+('MD-ratios'!$U16-1)*('MD-ratios'!BB16-'MD-ratios'!$AC16)/('MD-ratios'!$Y16-'MD-ratios'!$AC16))/LOG('MD-ratios'!$U16)))</f>
        <v>3.0419384211794909</v>
      </c>
      <c r="AT13" s="242">
        <f>IF('MD-ratios'!BC16&lt;0,IF(ABS('MD-ratios'!BC16)&gt;'MD-ratios'!$Y16,0,10-10*LOG(1+('MD-ratios'!$U16-1)*(ABS('MD-ratios'!BC16)-'MD-ratios'!$AC16)/('MD-ratios'!$Y16-'MD-ratios'!$AC16))/LOG('MD-ratios'!$U16))/2,IF('MD-ratios'!BC16&gt;'MD-ratios'!$Y16,0,10-10*LOG(1+('MD-ratios'!$U16-1)*('MD-ratios'!BC16-'MD-ratios'!$AC16)/('MD-ratios'!$Y16-'MD-ratios'!$AC16))/LOG('MD-ratios'!$U16)))</f>
        <v>6.9991741934248974</v>
      </c>
      <c r="AU13" s="242">
        <f>IF('MD-ratios'!BD16&lt;0,IF(ABS('MD-ratios'!BD16)&gt;'MD-ratios'!$Y16,0,10-10*LOG(1+('MD-ratios'!$U16-1)*(ABS('MD-ratios'!BD16)-'MD-ratios'!$AC16)/('MD-ratios'!$Y16-'MD-ratios'!$AC16))/LOG('MD-ratios'!$U16))/2,IF('MD-ratios'!BD16&gt;'MD-ratios'!$Y16,0,10-10*LOG(1+('MD-ratios'!$U16-1)*('MD-ratios'!BD16-'MD-ratios'!$AC16)/('MD-ratios'!$Y16-'MD-ratios'!$AC16))/LOG('MD-ratios'!$U16)))</f>
        <v>4.1837656814840098</v>
      </c>
      <c r="AV13" s="242">
        <f>IF('MD-ratios'!BE16&lt;0,IF(ABS('MD-ratios'!BE16)&gt;'MD-ratios'!$Y16,0,10-10*LOG(1+('MD-ratios'!$U16-1)*(ABS('MD-ratios'!BE16)-'MD-ratios'!$AC16)/('MD-ratios'!$Y16-'MD-ratios'!$AC16))/LOG('MD-ratios'!$U16))/2,IF('MD-ratios'!BE16&gt;'MD-ratios'!$Y16,0,10-10*LOG(1+('MD-ratios'!$U16-1)*('MD-ratios'!BE16-'MD-ratios'!$AC16)/('MD-ratios'!$Y16-'MD-ratios'!$AC16))/LOG('MD-ratios'!$U16)))</f>
        <v>9.9862335651462821</v>
      </c>
      <c r="AW13" s="242">
        <f>IF('MD-ratios'!BF16&lt;0,IF(ABS('MD-ratios'!BF16)&gt;'MD-ratios'!$Y16,0,10-10*LOG(1+('MD-ratios'!$U16-1)*(ABS('MD-ratios'!BF16)-'MD-ratios'!$AC16)/('MD-ratios'!$Y16-'MD-ratios'!$AC16))/LOG('MD-ratios'!$U16))/2,IF('MD-ratios'!BF16&gt;'MD-ratios'!$Y16,0,10-10*LOG(1+('MD-ratios'!$U16-1)*('MD-ratios'!BF16-'MD-ratios'!$AC16)/('MD-ratios'!$Y16-'MD-ratios'!$AC16))/LOG('MD-ratios'!$U16)))</f>
        <v>8.5235102884527123</v>
      </c>
      <c r="AX13" s="242">
        <f>IF('MD-ratios'!BG16&lt;0,IF(ABS('MD-ratios'!BG16)&gt;'MD-ratios'!$Y16,0,10-10*LOG(1+('MD-ratios'!$U16-1)*(ABS('MD-ratios'!BG16)-'MD-ratios'!$AC16)/('MD-ratios'!$Y16-'MD-ratios'!$AC16))/LOG('MD-ratios'!$U16))/2,IF('MD-ratios'!BG16&gt;'MD-ratios'!$Y16,0,10-10*LOG(1+('MD-ratios'!$U16-1)*('MD-ratios'!BG16-'MD-ratios'!$AC16)/('MD-ratios'!$Y16-'MD-ratios'!$AC16))/LOG('MD-ratios'!$U16)))</f>
        <v>4.772115362430994</v>
      </c>
      <c r="AY13" s="242">
        <f>IF('MD-ratios'!BH16&lt;0,IF(ABS('MD-ratios'!BH16)&gt;'MD-ratios'!$Y16,0,10-10*LOG(1+('MD-ratios'!$U16-1)*(ABS('MD-ratios'!BH16)-'MD-ratios'!$AC16)/('MD-ratios'!$Y16-'MD-ratios'!$AC16))/LOG('MD-ratios'!$U16))/2,IF('MD-ratios'!BH16&gt;'MD-ratios'!$Y16,0,10-10*LOG(1+('MD-ratios'!$U16-1)*('MD-ratios'!BH16-'MD-ratios'!$AC16)/('MD-ratios'!$Y16-'MD-ratios'!$AC16))/LOG('MD-ratios'!$U16)))</f>
        <v>6.5034149634606315</v>
      </c>
      <c r="AZ13" s="242">
        <f>IF('MD-ratios'!BI16&lt;0,IF(ABS('MD-ratios'!BI16)&gt;'MD-ratios'!$Y16,0,10-10*LOG(1+('MD-ratios'!$U16-1)*(ABS('MD-ratios'!BI16)-'MD-ratios'!$AC16)/('MD-ratios'!$Y16-'MD-ratios'!$AC16))/LOG('MD-ratios'!$U16))/2,IF('MD-ratios'!BI16&gt;'MD-ratios'!$Y16,0,10-10*LOG(1+('MD-ratios'!$U16-1)*('MD-ratios'!BI16-'MD-ratios'!$AC16)/('MD-ratios'!$Y16-'MD-ratios'!$AC16))/LOG('MD-ratios'!$U16)))</f>
        <v>8.1998582824940609</v>
      </c>
      <c r="BA13" s="242">
        <f>IF('MD-ratios'!BJ16&lt;0,IF(ABS('MD-ratios'!BJ16)&gt;'MD-ratios'!$Y16,0,10-10*LOG(1+('MD-ratios'!$U16-1)*(ABS('MD-ratios'!BJ16)-'MD-ratios'!$AC16)/('MD-ratios'!$Y16-'MD-ratios'!$AC16))/LOG('MD-ratios'!$U16))/2,IF('MD-ratios'!BJ16&gt;'MD-ratios'!$Y16,0,10-10*LOG(1+('MD-ratios'!$U16-1)*('MD-ratios'!BJ16-'MD-ratios'!$AC16)/('MD-ratios'!$Y16-'MD-ratios'!$AC16))/LOG('MD-ratios'!$U16)))</f>
        <v>9.944705314833854</v>
      </c>
      <c r="BB13" s="242">
        <f>IF('MD-ratios'!BK16&lt;0,IF(ABS('MD-ratios'!BK16)&gt;'MD-ratios'!$Y16,0,10-10*LOG(1+('MD-ratios'!$U16-1)*(ABS('MD-ratios'!BK16)-'MD-ratios'!$AC16)/('MD-ratios'!$Y16-'MD-ratios'!$AC16))/LOG('MD-ratios'!$U16))/2,IF('MD-ratios'!BK16&gt;'MD-ratios'!$Y16,0,10-10*LOG(1+('MD-ratios'!$U16-1)*('MD-ratios'!BK16-'MD-ratios'!$AC16)/('MD-ratios'!$Y16-'MD-ratios'!$AC16))/LOG('MD-ratios'!$U16)))</f>
        <v>1.7151739690649599</v>
      </c>
      <c r="BC13" s="242">
        <f>IF('MD-ratios'!BL16&lt;0,IF(ABS('MD-ratios'!BL16)&gt;'MD-ratios'!$Y16,0,10-10*LOG(1+('MD-ratios'!$U16-1)*(ABS('MD-ratios'!BL16)-'MD-ratios'!$AC16)/('MD-ratios'!$Y16-'MD-ratios'!$AC16))/LOG('MD-ratios'!$U16))/2,IF('MD-ratios'!BL16&gt;'MD-ratios'!$Y16,0,10-10*LOG(1+('MD-ratios'!$U16-1)*('MD-ratios'!BL16-'MD-ratios'!$AC16)/('MD-ratios'!$Y16-'MD-ratios'!$AC16))/LOG('MD-ratios'!$U16)))</f>
        <v>2.9838160161188778</v>
      </c>
      <c r="BD13" s="242">
        <f>IF('MD-ratios'!BM16&lt;0,IF(ABS('MD-ratios'!BM16)&gt;'MD-ratios'!$Y16,0,10-10*LOG(1+('MD-ratios'!$U16-1)*(ABS('MD-ratios'!BM16)-'MD-ratios'!$AC16)/('MD-ratios'!$Y16-'MD-ratios'!$AC16))/LOG('MD-ratios'!$U16))/2,IF('MD-ratios'!BM16&gt;'MD-ratios'!$Y16,0,10-10*LOG(1+('MD-ratios'!$U16-1)*('MD-ratios'!BM16-'MD-ratios'!$AC16)/('MD-ratios'!$Y16-'MD-ratios'!$AC16))/LOG('MD-ratios'!$U16)))</f>
        <v>9.9987988297817605</v>
      </c>
      <c r="BE13" s="242">
        <f>IF('MD-ratios'!BN16&lt;0,IF(ABS('MD-ratios'!BN16)&gt;'MD-ratios'!$Y16,0,10-10*LOG(1+('MD-ratios'!$U16-1)*(ABS('MD-ratios'!BN16)-'MD-ratios'!$AC16)/('MD-ratios'!$Y16-'MD-ratios'!$AC16))/LOG('MD-ratios'!$U16))/2,IF('MD-ratios'!BN16&gt;'MD-ratios'!$Y16,0,10-10*LOG(1+('MD-ratios'!$U16-1)*('MD-ratios'!BN16-'MD-ratios'!$AC16)/('MD-ratios'!$Y16-'MD-ratios'!$AC16))/LOG('MD-ratios'!$U16)))</f>
        <v>7.6583964435667333</v>
      </c>
      <c r="BF13" s="242">
        <f>IF('MD-ratios'!BO16&lt;0,IF(ABS('MD-ratios'!BO16)&gt;'MD-ratios'!$Y16,0,10-10*LOG(1+('MD-ratios'!$U16-1)*(ABS('MD-ratios'!BO16)-'MD-ratios'!$AC16)/('MD-ratios'!$Y16-'MD-ratios'!$AC16))/LOG('MD-ratios'!$U16))/2,IF('MD-ratios'!BO16&gt;'MD-ratios'!$Y16,0,10-10*LOG(1+('MD-ratios'!$U16-1)*('MD-ratios'!BO16-'MD-ratios'!$AC16)/('MD-ratios'!$Y16-'MD-ratios'!$AC16))/LOG('MD-ratios'!$U16)))</f>
        <v>9.9510464490924715</v>
      </c>
      <c r="BG13" s="242">
        <f>IF('MD-ratios'!BP16&lt;0,IF(ABS('MD-ratios'!BP16)&gt;'MD-ratios'!$Y16,0,10-10*LOG(1+('MD-ratios'!$U16-1)*(ABS('MD-ratios'!BP16)-'MD-ratios'!$AC16)/('MD-ratios'!$Y16-'MD-ratios'!$AC16))/LOG('MD-ratios'!$U16))/2,IF('MD-ratios'!BP16&gt;'MD-ratios'!$Y16,0,10-10*LOG(1+('MD-ratios'!$U16-1)*('MD-ratios'!BP16-'MD-ratios'!$AC16)/('MD-ratios'!$Y16-'MD-ratios'!$AC16))/LOG('MD-ratios'!$U16)))</f>
        <v>9.998917045680848</v>
      </c>
      <c r="BH13" s="242">
        <f>IF('MD-ratios'!BQ16&lt;0,IF(ABS('MD-ratios'!BQ16)&gt;'MD-ratios'!$Y16,0,10-10*LOG(1+('MD-ratios'!$U16-1)*(ABS('MD-ratios'!BQ16)-'MD-ratios'!$AC16)/('MD-ratios'!$Y16-'MD-ratios'!$AC16))/LOG('MD-ratios'!$U16))/2,IF('MD-ratios'!BQ16&gt;'MD-ratios'!$Y16,0,10-10*LOG(1+('MD-ratios'!$U16-1)*('MD-ratios'!BQ16-'MD-ratios'!$AC16)/('MD-ratios'!$Y16-'MD-ratios'!$AC16))/LOG('MD-ratios'!$U16)))</f>
        <v>4.9786766067373769</v>
      </c>
      <c r="BI13" s="242">
        <f>IF('MD-ratios'!BR16&lt;0,IF(ABS('MD-ratios'!BR16)&gt;'MD-ratios'!$Y16,0,10-10*LOG(1+('MD-ratios'!$U16-1)*(ABS('MD-ratios'!BR16)-'MD-ratios'!$AC16)/('MD-ratios'!$Y16-'MD-ratios'!$AC16))/LOG('MD-ratios'!$U16))/2,IF('MD-ratios'!BR16&gt;'MD-ratios'!$Y16,0,10-10*LOG(1+('MD-ratios'!$U16-1)*('MD-ratios'!BR16-'MD-ratios'!$AC16)/('MD-ratios'!$Y16-'MD-ratios'!$AC16))/LOG('MD-ratios'!$U16)))</f>
        <v>9.9898450723549246</v>
      </c>
      <c r="BJ13" s="242">
        <f>IF('MD-ratios'!BS16&lt;0,IF(ABS('MD-ratios'!BS16)&gt;'MD-ratios'!$Y16,0,10-10*LOG(1+('MD-ratios'!$U16-1)*(ABS('MD-ratios'!BS16)-'MD-ratios'!$AC16)/('MD-ratios'!$Y16-'MD-ratios'!$AC16))/LOG('MD-ratios'!$U16))/2,IF('MD-ratios'!BS16&gt;'MD-ratios'!$Y16,0,10-10*LOG(1+('MD-ratios'!$U16-1)*('MD-ratios'!BS16-'MD-ratios'!$AC16)/('MD-ratios'!$Y16-'MD-ratios'!$AC16))/LOG('MD-ratios'!$U16)))</f>
        <v>3.0812391434214126</v>
      </c>
      <c r="BK13" s="242">
        <f>IF('MD-ratios'!BT16&lt;0,IF(ABS('MD-ratios'!BT16)&gt;'MD-ratios'!$Y16,0,10-10*LOG(1+('MD-ratios'!$U16-1)*(ABS('MD-ratios'!BT16)-'MD-ratios'!$AC16)/('MD-ratios'!$Y16-'MD-ratios'!$AC16))/LOG('MD-ratios'!$U16))/2,IF('MD-ratios'!BT16&gt;'MD-ratios'!$Y16,0,10-10*LOG(1+('MD-ratios'!$U16-1)*('MD-ratios'!BT16-'MD-ratios'!$AC16)/('MD-ratios'!$Y16-'MD-ratios'!$AC16))/LOG('MD-ratios'!$U16)))</f>
        <v>10</v>
      </c>
      <c r="BL13" s="242">
        <f>IF('MD-ratios'!BU16&lt;0,IF(ABS('MD-ratios'!BU16)&gt;'MD-ratios'!$Y16,0,10-10*LOG(1+('MD-ratios'!$U16-1)*(ABS('MD-ratios'!BU16)-'MD-ratios'!$AC16)/('MD-ratios'!$Y16-'MD-ratios'!$AC16))/LOG('MD-ratios'!$U16))/2,IF('MD-ratios'!BU16&gt;'MD-ratios'!$Y16,0,10-10*LOG(1+('MD-ratios'!$U16-1)*('MD-ratios'!BU16-'MD-ratios'!$AC16)/('MD-ratios'!$Y16-'MD-ratios'!$AC16))/LOG('MD-ratios'!$U16)))</f>
        <v>6.3224563670581233</v>
      </c>
      <c r="BM13" s="242">
        <f>IF('MD-ratios'!BV16&lt;0,IF(ABS('MD-ratios'!BV16)&gt;'MD-ratios'!$Y16,0,10-10*LOG(1+('MD-ratios'!$U16-1)*(ABS('MD-ratios'!BV16)-'MD-ratios'!$AC16)/('MD-ratios'!$Y16-'MD-ratios'!$AC16))/LOG('MD-ratios'!$U16))/2,IF('MD-ratios'!BV16&gt;'MD-ratios'!$Y16,0,10-10*LOG(1+('MD-ratios'!$U16-1)*('MD-ratios'!BV16-'MD-ratios'!$AC16)/('MD-ratios'!$Y16-'MD-ratios'!$AC16))/LOG('MD-ratios'!$U16)))</f>
        <v>8.6587388248580339</v>
      </c>
      <c r="BN13" s="242">
        <f>IF('MD-ratios'!BW16&lt;0,IF(ABS('MD-ratios'!BW16)&gt;'MD-ratios'!$Y16,0,10-10*LOG(1+('MD-ratios'!$U16-1)*(ABS('MD-ratios'!BW16)-'MD-ratios'!$AC16)/('MD-ratios'!$Y16-'MD-ratios'!$AC16))/LOG('MD-ratios'!$U16))/2,IF('MD-ratios'!BW16&gt;'MD-ratios'!$Y16,0,10-10*LOG(1+('MD-ratios'!$U16-1)*('MD-ratios'!BW16-'MD-ratios'!$AC16)/('MD-ratios'!$Y16-'MD-ratios'!$AC16))/LOG('MD-ratios'!$U16)))</f>
        <v>5.103822835343375</v>
      </c>
      <c r="BO13" s="242">
        <f>IF('MD-ratios'!BX16&lt;0,IF(ABS('MD-ratios'!BX16)&gt;'MD-ratios'!$Y16,0,10-10*LOG(1+('MD-ratios'!$U16-1)*(ABS('MD-ratios'!BX16)-'MD-ratios'!$AC16)/('MD-ratios'!$Y16-'MD-ratios'!$AC16))/LOG('MD-ratios'!$U16))/2,IF('MD-ratios'!BX16&gt;'MD-ratios'!$Y16,0,10-10*LOG(1+('MD-ratios'!$U16-1)*('MD-ratios'!BX16-'MD-ratios'!$AC16)/('MD-ratios'!$Y16-'MD-ratios'!$AC16))/LOG('MD-ratios'!$U16)))</f>
        <v>4.9094302977006876</v>
      </c>
      <c r="BP13" s="242">
        <f>IF('MD-ratios'!BY16&lt;0,IF(ABS('MD-ratios'!BY16)&gt;'MD-ratios'!$Y16,0,10-10*LOG(1+('MD-ratios'!$U16-1)*(ABS('MD-ratios'!BY16)-'MD-ratios'!$AC16)/('MD-ratios'!$Y16-'MD-ratios'!$AC16))/LOG('MD-ratios'!$U16))/2,IF('MD-ratios'!BY16&gt;'MD-ratios'!$Y16,0,10-10*LOG(1+('MD-ratios'!$U16-1)*('MD-ratios'!BY16-'MD-ratios'!$AC16)/('MD-ratios'!$Y16-'MD-ratios'!$AC16))/LOG('MD-ratios'!$U16)))</f>
        <v>2.4223098660983222</v>
      </c>
      <c r="BQ13" s="242">
        <f>IF('MD-ratios'!BZ16&lt;0,IF(ABS('MD-ratios'!BZ16)&gt;'MD-ratios'!$Y16,0,10-10*LOG(1+('MD-ratios'!$U16-1)*(ABS('MD-ratios'!BZ16)-'MD-ratios'!$AC16)/('MD-ratios'!$Y16-'MD-ratios'!$AC16))/LOG('MD-ratios'!$U16))/2,IF('MD-ratios'!BZ16&gt;'MD-ratios'!$Y16,0,10-10*LOG(1+('MD-ratios'!$U16-1)*('MD-ratios'!BZ16-'MD-ratios'!$AC16)/('MD-ratios'!$Y16-'MD-ratios'!$AC16))/LOG('MD-ratios'!$U16)))</f>
        <v>6.9343780164928779</v>
      </c>
      <c r="BR13" s="242">
        <f>IF('MD-ratios'!CA16&lt;0,IF(ABS('MD-ratios'!CA16)&gt;'MD-ratios'!$Y16,0,10-10*LOG(1+('MD-ratios'!$U16-1)*(ABS('MD-ratios'!CA16)-'MD-ratios'!$AC16)/('MD-ratios'!$Y16-'MD-ratios'!$AC16))/LOG('MD-ratios'!$U16))/2,IF('MD-ratios'!CA16&gt;'MD-ratios'!$Y16,0,10-10*LOG(1+('MD-ratios'!$U16-1)*('MD-ratios'!CA16-'MD-ratios'!$AC16)/('MD-ratios'!$Y16-'MD-ratios'!$AC16))/LOG('MD-ratios'!$U16)))</f>
        <v>4.5878203345174615</v>
      </c>
      <c r="BS13" s="242">
        <f>IF('MD-ratios'!CB16&lt;0,IF(ABS('MD-ratios'!CB16)&gt;'MD-ratios'!$Y16,0,10-10*LOG(1+('MD-ratios'!$U16-1)*(ABS('MD-ratios'!CB16)-'MD-ratios'!$AC16)/('MD-ratios'!$Y16-'MD-ratios'!$AC16))/LOG('MD-ratios'!$U16))/2,IF('MD-ratios'!CB16&gt;'MD-ratios'!$Y16,0,10-10*LOG(1+('MD-ratios'!$U16-1)*('MD-ratios'!CB16-'MD-ratios'!$AC16)/('MD-ratios'!$Y16-'MD-ratios'!$AC16))/LOG('MD-ratios'!$U16)))</f>
        <v>4.5445529211117268</v>
      </c>
      <c r="BT13" s="242">
        <f>IF('MD-ratios'!CC16&lt;0,IF(ABS('MD-ratios'!CC16)&gt;'MD-ratios'!$Y16,0,10-10*LOG(1+('MD-ratios'!$U16-1)*(ABS('MD-ratios'!CC16)-'MD-ratios'!$AC16)/('MD-ratios'!$Y16-'MD-ratios'!$AC16))/LOG('MD-ratios'!$U16))/2,IF('MD-ratios'!CC16&gt;'MD-ratios'!$Y16,0,10-10*LOG(1+('MD-ratios'!$U16-1)*('MD-ratios'!CC16-'MD-ratios'!$AC16)/('MD-ratios'!$Y16-'MD-ratios'!$AC16))/LOG('MD-ratios'!$U16)))</f>
        <v>8.3690546678596949</v>
      </c>
    </row>
    <row r="14" spans="1:72" s="266" customFormat="1" ht="15.75" thickBot="1" x14ac:dyDescent="0.3">
      <c r="A14" s="641"/>
      <c r="B14" s="660"/>
      <c r="C14" s="661" t="s">
        <v>397</v>
      </c>
      <c r="D14" s="662"/>
      <c r="E14" s="663"/>
      <c r="F14" s="275"/>
      <c r="G14" s="275"/>
      <c r="H14" s="275"/>
      <c r="I14" s="275"/>
      <c r="K14" s="598"/>
      <c r="L14" s="272"/>
      <c r="M14" s="272"/>
      <c r="N14" s="653"/>
      <c r="P14" s="267"/>
      <c r="Q14" s="569"/>
      <c r="R14" s="569"/>
      <c r="S14" s="569"/>
      <c r="T14" s="267"/>
      <c r="V14" s="268"/>
      <c r="W14" s="269">
        <f>SUMPRODUCT(W12:W13,$C12:$C13)/SUM($C12:$C13)</f>
        <v>9.3737351384493017</v>
      </c>
      <c r="X14" s="269">
        <f t="shared" ref="X14:BT14" si="2">SUMPRODUCT(X12:X13,$C12:$C13)/SUM($C12:$C13)</f>
        <v>2.2644351771310296</v>
      </c>
      <c r="Y14" s="269">
        <f t="shared" si="2"/>
        <v>1.7445843799662257</v>
      </c>
      <c r="Z14" s="269">
        <f t="shared" si="2"/>
        <v>4.468641213061959</v>
      </c>
      <c r="AA14" s="269">
        <f t="shared" si="2"/>
        <v>6.573982578577569</v>
      </c>
      <c r="AB14" s="269">
        <f t="shared" si="2"/>
        <v>5.1740213633397172</v>
      </c>
      <c r="AC14" s="269">
        <f t="shared" si="2"/>
        <v>0.29251558169115199</v>
      </c>
      <c r="AD14" s="269">
        <f t="shared" si="2"/>
        <v>9.3265579268583103</v>
      </c>
      <c r="AE14" s="269">
        <f t="shared" si="2"/>
        <v>8.8659292128866998</v>
      </c>
      <c r="AF14" s="269">
        <f t="shared" si="2"/>
        <v>3.6787317982943835</v>
      </c>
      <c r="AG14" s="269">
        <f t="shared" si="2"/>
        <v>0.50022022216545547</v>
      </c>
      <c r="AH14" s="269">
        <f t="shared" si="2"/>
        <v>5.4255168928119852</v>
      </c>
      <c r="AI14" s="269">
        <f t="shared" si="2"/>
        <v>9.5113842179300594</v>
      </c>
      <c r="AJ14" s="269">
        <f t="shared" si="2"/>
        <v>3.0782451292698116</v>
      </c>
      <c r="AK14" s="269">
        <f t="shared" si="2"/>
        <v>9.576175075524187</v>
      </c>
      <c r="AL14" s="269">
        <f t="shared" si="2"/>
        <v>7.0519630292159174</v>
      </c>
      <c r="AM14" s="269">
        <f t="shared" si="2"/>
        <v>8.6650751262430674</v>
      </c>
      <c r="AN14" s="269">
        <f t="shared" si="2"/>
        <v>8.484218656958296</v>
      </c>
      <c r="AO14" s="269">
        <f t="shared" si="2"/>
        <v>6.6024505371319027</v>
      </c>
      <c r="AP14" s="269">
        <f t="shared" si="2"/>
        <v>8.9781281482511872</v>
      </c>
      <c r="AQ14" s="269">
        <f t="shared" si="2"/>
        <v>8.3122599906744252</v>
      </c>
      <c r="AR14" s="269">
        <f t="shared" si="2"/>
        <v>9.6582132843359165</v>
      </c>
      <c r="AS14" s="269">
        <f t="shared" si="2"/>
        <v>3.9182687988883442</v>
      </c>
      <c r="AT14" s="269">
        <f t="shared" si="2"/>
        <v>6.1257972261714508</v>
      </c>
      <c r="AU14" s="269">
        <f t="shared" si="2"/>
        <v>2.665132234967742</v>
      </c>
      <c r="AV14" s="269">
        <f t="shared" si="2"/>
        <v>9.9885817683218274</v>
      </c>
      <c r="AW14" s="269">
        <f t="shared" si="2"/>
        <v>5.7527053377671278</v>
      </c>
      <c r="AX14" s="269">
        <f t="shared" si="2"/>
        <v>6.9057835567332377</v>
      </c>
      <c r="AY14" s="269">
        <f t="shared" si="2"/>
        <v>4.4008157367903182</v>
      </c>
      <c r="AZ14" s="269">
        <f t="shared" si="2"/>
        <v>7.5813549226972361</v>
      </c>
      <c r="BA14" s="269">
        <f t="shared" si="2"/>
        <v>9.4789125436349959</v>
      </c>
      <c r="BB14" s="269">
        <f t="shared" si="2"/>
        <v>1.1256524706387827</v>
      </c>
      <c r="BC14" s="269">
        <f t="shared" si="2"/>
        <v>1.4919080080594389</v>
      </c>
      <c r="BD14" s="269">
        <f t="shared" si="2"/>
        <v>9.9930464306801916</v>
      </c>
      <c r="BE14" s="269">
        <f t="shared" si="2"/>
        <v>6.0655056829065641</v>
      </c>
      <c r="BF14" s="269">
        <f t="shared" si="2"/>
        <v>9.9134318449585912</v>
      </c>
      <c r="BG14" s="269">
        <f t="shared" si="2"/>
        <v>9.988722584254921</v>
      </c>
      <c r="BH14" s="269">
        <f t="shared" si="2"/>
        <v>7.4814181293001649</v>
      </c>
      <c r="BI14" s="269">
        <f t="shared" si="2"/>
        <v>9.9655305549985389</v>
      </c>
      <c r="BJ14" s="269">
        <f t="shared" si="2"/>
        <v>4.8555419770959825</v>
      </c>
      <c r="BK14" s="269">
        <f t="shared" si="2"/>
        <v>10</v>
      </c>
      <c r="BL14" s="269">
        <f t="shared" si="2"/>
        <v>4.8609870532971362</v>
      </c>
      <c r="BM14" s="269">
        <f t="shared" si="2"/>
        <v>8.3856706711934468</v>
      </c>
      <c r="BN14" s="269">
        <f t="shared" si="2"/>
        <v>5.6772819486709993</v>
      </c>
      <c r="BO14" s="269">
        <f t="shared" si="2"/>
        <v>5.7366383930307192</v>
      </c>
      <c r="BP14" s="269">
        <f t="shared" si="2"/>
        <v>4.282137515271712</v>
      </c>
      <c r="BQ14" s="269">
        <f t="shared" si="2"/>
        <v>5.625922704108608</v>
      </c>
      <c r="BR14" s="269">
        <f t="shared" si="2"/>
        <v>2.4559214622590142</v>
      </c>
      <c r="BS14" s="269">
        <f t="shared" si="2"/>
        <v>6.3283022971365872</v>
      </c>
      <c r="BT14" s="269">
        <f t="shared" si="2"/>
        <v>8.8526126111066574</v>
      </c>
    </row>
    <row r="15" spans="1:72" s="243" customFormat="1" ht="51.75" thickBot="1" x14ac:dyDescent="0.3">
      <c r="A15" s="630">
        <f>C15+C16</f>
        <v>0.2</v>
      </c>
      <c r="B15" s="658" t="s">
        <v>393</v>
      </c>
      <c r="C15" s="521">
        <f>'MD-ranking'!V3</f>
        <v>0.1</v>
      </c>
      <c r="D15" s="411" t="s">
        <v>202</v>
      </c>
      <c r="E15" s="415" t="s">
        <v>205</v>
      </c>
      <c r="F15" s="417">
        <v>1</v>
      </c>
      <c r="G15" s="417">
        <v>2</v>
      </c>
      <c r="H15" s="417">
        <v>3</v>
      </c>
      <c r="I15" s="417">
        <v>4</v>
      </c>
      <c r="K15" s="597" t="s">
        <v>1534</v>
      </c>
      <c r="L15" s="265" t="s">
        <v>388</v>
      </c>
      <c r="M15" s="265"/>
      <c r="N15" s="653"/>
      <c r="P15" s="258">
        <f>'MD-ratios'!Y18</f>
        <v>0</v>
      </c>
      <c r="Q15" s="568">
        <f>'MD-ratios'!Z18</f>
        <v>2.061040463386604</v>
      </c>
      <c r="R15" s="568">
        <f>'MD-ratios'!AA18</f>
        <v>3.9323917909714576</v>
      </c>
      <c r="S15" s="568">
        <f>'MD-ratios'!AB18</f>
        <v>7.5028634674597718</v>
      </c>
      <c r="T15" s="258">
        <f>'MD-ratios'!AC18</f>
        <v>39.064232400455559</v>
      </c>
      <c r="V15" s="252"/>
      <c r="W15" s="242">
        <f>IF(ABS('MD-ratios'!AF18)&lt;0,0,IF(ABS('MD-ratios'!AF18)&gt;'MD-ratios'!$AC18,10,10*LOG(1+('MD-ratios'!$U18-1)*(ABS('MD-ratios'!AF18)-'MD-ratios'!$Y18)/('MD-ratios'!$AC18-'MD-ratios'!$Y18))/LOG('MD-ratios'!$U18)))</f>
        <v>1.1401025128638123</v>
      </c>
      <c r="X15" s="242">
        <f>IF(ABS('MD-ratios'!AG18)&lt;0,0,IF(ABS('MD-ratios'!AG18)&gt;'MD-ratios'!$AC18,10,10*LOG(1+('MD-ratios'!$U18-1)*(ABS('MD-ratios'!AG18)-'MD-ratios'!$Y18)/('MD-ratios'!$AC18-'MD-ratios'!$Y18))/LOG('MD-ratios'!$U18)))</f>
        <v>7.320654911544108</v>
      </c>
      <c r="Y15" s="242">
        <f>IF(ABS('MD-ratios'!AH18)&lt;0,0,IF(ABS('MD-ratios'!AH18)&gt;'MD-ratios'!$AC18,10,10*LOG(1+('MD-ratios'!$U18-1)*(ABS('MD-ratios'!AH18)-'MD-ratios'!$Y18)/('MD-ratios'!$AC18-'MD-ratios'!$Y18))/LOG('MD-ratios'!$U18)))</f>
        <v>8.0925624390085442</v>
      </c>
      <c r="Z15" s="242">
        <f>IF(ABS('MD-ratios'!AI18)&lt;0,0,IF(ABS('MD-ratios'!AI18)&gt;'MD-ratios'!$AC18,10,10*LOG(1+('MD-ratios'!$U18-1)*(ABS('MD-ratios'!AI18)-'MD-ratios'!$Y18)/('MD-ratios'!$AC18-'MD-ratios'!$Y18))/LOG('MD-ratios'!$U18)))</f>
        <v>3.9820965558221015</v>
      </c>
      <c r="AA15" s="242">
        <f>IF(ABS('MD-ratios'!AJ18)&lt;0,0,IF(ABS('MD-ratios'!AJ18)&gt;'MD-ratios'!$AC18,10,10*LOG(1+('MD-ratios'!$U18-1)*(ABS('MD-ratios'!AJ18)-'MD-ratios'!$Y18)/('MD-ratios'!$AC18-'MD-ratios'!$Y18))/LOG('MD-ratios'!$U18)))</f>
        <v>3.8185465328210055</v>
      </c>
      <c r="AB15" s="242">
        <f>IF(ABS('MD-ratios'!AK18)&lt;0,0,IF(ABS('MD-ratios'!AK18)&gt;'MD-ratios'!$AC18,10,10*LOG(1+('MD-ratios'!$U18-1)*(ABS('MD-ratios'!AK18)-'MD-ratios'!$Y18)/('MD-ratios'!$AC18-'MD-ratios'!$Y18))/LOG('MD-ratios'!$U18)))</f>
        <v>3.3543420797617074</v>
      </c>
      <c r="AC15" s="242">
        <f>IF(ABS('MD-ratios'!AL18)&lt;0,0,IF(ABS('MD-ratios'!AL18)&gt;'MD-ratios'!$AC18,10,10*LOG(1+('MD-ratios'!$U18-1)*(ABS('MD-ratios'!AL18)-'MD-ratios'!$Y18)/('MD-ratios'!$AC18-'MD-ratios'!$Y18))/LOG('MD-ratios'!$U18)))</f>
        <v>0.36001630147520175</v>
      </c>
      <c r="AD15" s="242">
        <f>IF(ABS('MD-ratios'!AM18)&lt;0,0,IF(ABS('MD-ratios'!AM18)&gt;'MD-ratios'!$AC18,10,10*LOG(1+('MD-ratios'!$U18-1)*(ABS('MD-ratios'!AM18)-'MD-ratios'!$Y18)/('MD-ratios'!$AC18-'MD-ratios'!$Y18))/LOG('MD-ratios'!$U18)))</f>
        <v>1.5939489900605615</v>
      </c>
      <c r="AE15" s="242">
        <f>IF(ABS('MD-ratios'!AN18)&lt;0,0,IF(ABS('MD-ratios'!AN18)&gt;'MD-ratios'!$AC18,10,10*LOG(1+('MD-ratios'!$U18-1)*(ABS('MD-ratios'!AN18)-'MD-ratios'!$Y18)/('MD-ratios'!$AC18-'MD-ratios'!$Y18))/LOG('MD-ratios'!$U18)))</f>
        <v>0.4557624294071887</v>
      </c>
      <c r="AF15" s="242">
        <f>IF(ABS('MD-ratios'!AO18)&lt;0,0,IF(ABS('MD-ratios'!AO18)&gt;'MD-ratios'!$AC18,10,10*LOG(1+('MD-ratios'!$U18-1)*(ABS('MD-ratios'!AO18)-'MD-ratios'!$Y18)/('MD-ratios'!$AC18-'MD-ratios'!$Y18))/LOG('MD-ratios'!$U18)))</f>
        <v>7.9009375242413942</v>
      </c>
      <c r="AG15" s="242">
        <f>IF(ABS('MD-ratios'!AP18)&lt;0,0,IF(ABS('MD-ratios'!AP18)&gt;'MD-ratios'!$AC18,10,10*LOG(1+('MD-ratios'!$U18-1)*(ABS('MD-ratios'!AP18)-'MD-ratios'!$Y18)/('MD-ratios'!$AC18-'MD-ratios'!$Y18))/LOG('MD-ratios'!$U18)))</f>
        <v>1.1400133452698782</v>
      </c>
      <c r="AH15" s="242">
        <f>IF(ABS('MD-ratios'!AQ18)&lt;0,0,IF(ABS('MD-ratios'!AQ18)&gt;'MD-ratios'!$AC18,10,10*LOG(1+('MD-ratios'!$U18-1)*(ABS('MD-ratios'!AQ18)-'MD-ratios'!$Y18)/('MD-ratios'!$AC18-'MD-ratios'!$Y18))/LOG('MD-ratios'!$U18)))</f>
        <v>2.712893478407937</v>
      </c>
      <c r="AI15" s="242">
        <f>IF(ABS('MD-ratios'!AR18)&lt;0,0,IF(ABS('MD-ratios'!AR18)&gt;'MD-ratios'!$AC18,10,10*LOG(1+('MD-ratios'!$U18-1)*(ABS('MD-ratios'!AR18)-'MD-ratios'!$Y18)/('MD-ratios'!$AC18-'MD-ratios'!$Y18))/LOG('MD-ratios'!$U18)))</f>
        <v>3.2973060718495519</v>
      </c>
      <c r="AJ15" s="242">
        <f>IF(ABS('MD-ratios'!AS18)&lt;0,0,IF(ABS('MD-ratios'!AS18)&gt;'MD-ratios'!$AC18,10,10*LOG(1+('MD-ratios'!$U18-1)*(ABS('MD-ratios'!AS18)-'MD-ratios'!$Y18)/('MD-ratios'!$AC18-'MD-ratios'!$Y18))/LOG('MD-ratios'!$U18)))</f>
        <v>5.9427055231649026</v>
      </c>
      <c r="AK15" s="242">
        <f>IF(ABS('MD-ratios'!AT18)&lt;0,0,IF(ABS('MD-ratios'!AT18)&gt;'MD-ratios'!$AC18,10,10*LOG(1+('MD-ratios'!$U18-1)*(ABS('MD-ratios'!AT18)-'MD-ratios'!$Y18)/('MD-ratios'!$AC18-'MD-ratios'!$Y18))/LOG('MD-ratios'!$U18)))</f>
        <v>8.0431156624466844</v>
      </c>
      <c r="AL15" s="242">
        <f>IF(ABS('MD-ratios'!AU18)&lt;0,0,IF(ABS('MD-ratios'!AU18)&gt;'MD-ratios'!$AC18,10,10*LOG(1+('MD-ratios'!$U18-1)*(ABS('MD-ratios'!AU18)-'MD-ratios'!$Y18)/('MD-ratios'!$AC18-'MD-ratios'!$Y18))/LOG('MD-ratios'!$U18)))</f>
        <v>6.5529226906751274</v>
      </c>
      <c r="AM15" s="242">
        <f>IF(ABS('MD-ratios'!AV18)&lt;0,0,IF(ABS('MD-ratios'!AV18)&gt;'MD-ratios'!$AC18,10,10*LOG(1+('MD-ratios'!$U18-1)*(ABS('MD-ratios'!AV18)-'MD-ratios'!$Y18)/('MD-ratios'!$AC18-'MD-ratios'!$Y18))/LOG('MD-ratios'!$U18)))</f>
        <v>3.8095781194846094</v>
      </c>
      <c r="AN15" s="242">
        <f>IF(ABS('MD-ratios'!AW18)&lt;0,0,IF(ABS('MD-ratios'!AW18)&gt;'MD-ratios'!$AC18,10,10*LOG(1+('MD-ratios'!$U18-1)*(ABS('MD-ratios'!AW18)-'MD-ratios'!$Y18)/('MD-ratios'!$AC18-'MD-ratios'!$Y18))/LOG('MD-ratios'!$U18)))</f>
        <v>2.9445403121591145</v>
      </c>
      <c r="AO15" s="242">
        <f>IF(ABS('MD-ratios'!AX18)&lt;0,0,IF(ABS('MD-ratios'!AX18)&gt;'MD-ratios'!$AC18,10,10*LOG(1+('MD-ratios'!$U18-1)*(ABS('MD-ratios'!AX18)-'MD-ratios'!$Y18)/('MD-ratios'!$AC18-'MD-ratios'!$Y18))/LOG('MD-ratios'!$U18)))</f>
        <v>4.3917244555998103</v>
      </c>
      <c r="AP15" s="242">
        <f>IF(ABS('MD-ratios'!AY18)&lt;0,0,IF(ABS('MD-ratios'!AY18)&gt;'MD-ratios'!$AC18,10,10*LOG(1+('MD-ratios'!$U18-1)*(ABS('MD-ratios'!AY18)-'MD-ratios'!$Y18)/('MD-ratios'!$AC18-'MD-ratios'!$Y18))/LOG('MD-ratios'!$U18)))</f>
        <v>6.2817345789065646</v>
      </c>
      <c r="AQ15" s="242">
        <f>IF(ABS('MD-ratios'!AZ18)&lt;0,0,IF(ABS('MD-ratios'!AZ18)&gt;'MD-ratios'!$AC18,10,10*LOG(1+('MD-ratios'!$U18-1)*(ABS('MD-ratios'!AZ18)-'MD-ratios'!$Y18)/('MD-ratios'!$AC18-'MD-ratios'!$Y18))/LOG('MD-ratios'!$U18)))</f>
        <v>5.6264936977067546</v>
      </c>
      <c r="AR15" s="242">
        <f>IF(ABS('MD-ratios'!BA18)&lt;0,0,IF(ABS('MD-ratios'!BA18)&gt;'MD-ratios'!$AC18,10,10*LOG(1+('MD-ratios'!$U18-1)*(ABS('MD-ratios'!BA18)-'MD-ratios'!$Y18)/('MD-ratios'!$AC18-'MD-ratios'!$Y18))/LOG('MD-ratios'!$U18)))</f>
        <v>4.5435958901743625</v>
      </c>
      <c r="AS15" s="242">
        <f>IF(ABS('MD-ratios'!BB18)&lt;0,0,IF(ABS('MD-ratios'!BB18)&gt;'MD-ratios'!$AC18,10,10*LOG(1+('MD-ratios'!$U18-1)*(ABS('MD-ratios'!BB18)-'MD-ratios'!$Y18)/('MD-ratios'!$AC18-'MD-ratios'!$Y18))/LOG('MD-ratios'!$U18)))</f>
        <v>4.8151716911488691</v>
      </c>
      <c r="AT15" s="242">
        <f>IF(ABS('MD-ratios'!BC18)&lt;0,0,IF(ABS('MD-ratios'!BC18)&gt;'MD-ratios'!$AC18,10,10*LOG(1+('MD-ratios'!$U18-1)*(ABS('MD-ratios'!BC18)-'MD-ratios'!$Y18)/('MD-ratios'!$AC18-'MD-ratios'!$Y18))/LOG('MD-ratios'!$U18)))</f>
        <v>9.0040224144991949</v>
      </c>
      <c r="AU15" s="242">
        <f>IF(ABS('MD-ratios'!BD18)&lt;0,0,IF(ABS('MD-ratios'!BD18)&gt;'MD-ratios'!$AC18,10,10*LOG(1+('MD-ratios'!$U18-1)*(ABS('MD-ratios'!BD18)-'MD-ratios'!$Y18)/('MD-ratios'!$AC18-'MD-ratios'!$Y18))/LOG('MD-ratios'!$U18)))</f>
        <v>1.1641239875166665</v>
      </c>
      <c r="AV15" s="242">
        <f>IF(ABS('MD-ratios'!BE18)&lt;0,0,IF(ABS('MD-ratios'!BE18)&gt;'MD-ratios'!$AC18,10,10*LOG(1+('MD-ratios'!$U18-1)*(ABS('MD-ratios'!BE18)-'MD-ratios'!$Y18)/('MD-ratios'!$AC18-'MD-ratios'!$Y18))/LOG('MD-ratios'!$U18)))</f>
        <v>10</v>
      </c>
      <c r="AW15" s="242">
        <f>IF(ABS('MD-ratios'!BF18)&lt;0,0,IF(ABS('MD-ratios'!BF18)&gt;'MD-ratios'!$AC18,10,10*LOG(1+('MD-ratios'!$U18-1)*(ABS('MD-ratios'!BF18)-'MD-ratios'!$Y18)/('MD-ratios'!$AC18-'MD-ratios'!$Y18))/LOG('MD-ratios'!$U18)))</f>
        <v>4.7917240572120461</v>
      </c>
      <c r="AX15" s="242">
        <f>IF(ABS('MD-ratios'!BG18)&lt;0,0,IF(ABS('MD-ratios'!BG18)&gt;'MD-ratios'!$AC18,10,10*LOG(1+('MD-ratios'!$U18-1)*(ABS('MD-ratios'!BG18)-'MD-ratios'!$Y18)/('MD-ratios'!$AC18-'MD-ratios'!$Y18))/LOG('MD-ratios'!$U18)))</f>
        <v>8.771467027400746</v>
      </c>
      <c r="AY15" s="242">
        <f>IF(ABS('MD-ratios'!BH18)&lt;0,0,IF(ABS('MD-ratios'!BH18)&gt;'MD-ratios'!$AC18,10,10*LOG(1+('MD-ratios'!$U18-1)*(ABS('MD-ratios'!BH18)-'MD-ratios'!$Y18)/('MD-ratios'!$AC18-'MD-ratios'!$Y18))/LOG('MD-ratios'!$U18)))</f>
        <v>3.3700665019193585</v>
      </c>
      <c r="AZ15" s="242">
        <f>IF(ABS('MD-ratios'!BI18)&lt;0,0,IF(ABS('MD-ratios'!BI18)&gt;'MD-ratios'!$AC18,10,10*LOG(1+('MD-ratios'!$U18-1)*(ABS('MD-ratios'!BI18)-'MD-ratios'!$Y18)/('MD-ratios'!$AC18-'MD-ratios'!$Y18))/LOG('MD-ratios'!$U18)))</f>
        <v>4.0468763015214355</v>
      </c>
      <c r="BA15" s="242">
        <f>IF(ABS('MD-ratios'!BJ18)&lt;0,0,IF(ABS('MD-ratios'!BJ18)&gt;'MD-ratios'!$AC18,10,10*LOG(1+('MD-ratios'!$U18-1)*(ABS('MD-ratios'!BJ18)-'MD-ratios'!$Y18)/('MD-ratios'!$AC18-'MD-ratios'!$Y18))/LOG('MD-ratios'!$U18)))</f>
        <v>4.2329067651495276</v>
      </c>
      <c r="BB15" s="242">
        <f>IF(ABS('MD-ratios'!BK18)&lt;0,0,IF(ABS('MD-ratios'!BK18)&gt;'MD-ratios'!$AC18,10,10*LOG(1+('MD-ratios'!$U18-1)*(ABS('MD-ratios'!BK18)-'MD-ratios'!$Y18)/('MD-ratios'!$AC18-'MD-ratios'!$Y18))/LOG('MD-ratios'!$U18)))</f>
        <v>6.2604387075838623</v>
      </c>
      <c r="BC15" s="242">
        <f>IF(ABS('MD-ratios'!BL18)&lt;0,0,IF(ABS('MD-ratios'!BL18)&gt;'MD-ratios'!$AC18,10,10*LOG(1+('MD-ratios'!$U18-1)*(ABS('MD-ratios'!BL18)-'MD-ratios'!$Y18)/('MD-ratios'!$AC18-'MD-ratios'!$Y18))/LOG('MD-ratios'!$U18)))</f>
        <v>4.0502833054889091</v>
      </c>
      <c r="BD15" s="242">
        <f>IF(ABS('MD-ratios'!BM18)&lt;0,0,IF(ABS('MD-ratios'!BM18)&gt;'MD-ratios'!$AC18,10,10*LOG(1+('MD-ratios'!$U18-1)*(ABS('MD-ratios'!BM18)-'MD-ratios'!$Y18)/('MD-ratios'!$AC18-'MD-ratios'!$Y18))/LOG('MD-ratios'!$U18)))</f>
        <v>4.5812762092757158</v>
      </c>
      <c r="BE15" s="242">
        <f>IF(ABS('MD-ratios'!BN18)&lt;0,0,IF(ABS('MD-ratios'!BN18)&gt;'MD-ratios'!$AC18,10,10*LOG(1+('MD-ratios'!$U18-1)*(ABS('MD-ratios'!BN18)-'MD-ratios'!$Y18)/('MD-ratios'!$AC18-'MD-ratios'!$Y18))/LOG('MD-ratios'!$U18)))</f>
        <v>4.0478037136894036</v>
      </c>
      <c r="BF15" s="242">
        <f>IF(ABS('MD-ratios'!BO18)&lt;0,0,IF(ABS('MD-ratios'!BO18)&gt;'MD-ratios'!$AC18,10,10*LOG(1+('MD-ratios'!$U18-1)*(ABS('MD-ratios'!BO18)-'MD-ratios'!$Y18)/('MD-ratios'!$AC18-'MD-ratios'!$Y18))/LOG('MD-ratios'!$U18)))</f>
        <v>2.3340059578088539</v>
      </c>
      <c r="BG15" s="242">
        <f>IF(ABS('MD-ratios'!BP18)&lt;0,0,IF(ABS('MD-ratios'!BP18)&gt;'MD-ratios'!$AC18,10,10*LOG(1+('MD-ratios'!$U18-1)*(ABS('MD-ratios'!BP18)-'MD-ratios'!$Y18)/('MD-ratios'!$AC18-'MD-ratios'!$Y18))/LOG('MD-ratios'!$U18)))</f>
        <v>1.1180447169146444</v>
      </c>
      <c r="BH15" s="242">
        <f>IF(ABS('MD-ratios'!BQ18)&lt;0,0,IF(ABS('MD-ratios'!BQ18)&gt;'MD-ratios'!$AC18,10,10*LOG(1+('MD-ratios'!$U18-1)*(ABS('MD-ratios'!BQ18)-'MD-ratios'!$Y18)/('MD-ratios'!$AC18-'MD-ratios'!$Y18))/LOG('MD-ratios'!$U18)))</f>
        <v>3.3648039127532434</v>
      </c>
      <c r="BI15" s="242">
        <f>IF(ABS('MD-ratios'!BR18)&lt;0,0,IF(ABS('MD-ratios'!BR18)&gt;'MD-ratios'!$AC18,10,10*LOG(1+('MD-ratios'!$U18-1)*(ABS('MD-ratios'!BR18)-'MD-ratios'!$Y18)/('MD-ratios'!$AC18-'MD-ratios'!$Y18))/LOG('MD-ratios'!$U18)))</f>
        <v>4.8961914454266848</v>
      </c>
      <c r="BJ15" s="242">
        <f>IF(ABS('MD-ratios'!BS18)&lt;0,0,IF(ABS('MD-ratios'!BS18)&gt;'MD-ratios'!$AC18,10,10*LOG(1+('MD-ratios'!$U18-1)*(ABS('MD-ratios'!BS18)-'MD-ratios'!$Y18)/('MD-ratios'!$AC18-'MD-ratios'!$Y18))/LOG('MD-ratios'!$U18)))</f>
        <v>0.32711826566127006</v>
      </c>
      <c r="BK15" s="242">
        <f>IF(ABS('MD-ratios'!BT18)&lt;0,0,IF(ABS('MD-ratios'!BT18)&gt;'MD-ratios'!$AC18,10,10*LOG(1+('MD-ratios'!$U18-1)*(ABS('MD-ratios'!BT18)-'MD-ratios'!$Y18)/('MD-ratios'!$AC18-'MD-ratios'!$Y18))/LOG('MD-ratios'!$U18)))</f>
        <v>2.1873333649700912</v>
      </c>
      <c r="BL15" s="242">
        <f>IF(ABS('MD-ratios'!BU18)&lt;0,0,IF(ABS('MD-ratios'!BU18)&gt;'MD-ratios'!$AC18,10,10*LOG(1+('MD-ratios'!$U18-1)*(ABS('MD-ratios'!BU18)-'MD-ratios'!$Y18)/('MD-ratios'!$AC18-'MD-ratios'!$Y18))/LOG('MD-ratios'!$U18)))</f>
        <v>3.3065380671809885</v>
      </c>
      <c r="BM15" s="242">
        <f>IF(ABS('MD-ratios'!BV18)&lt;0,0,IF(ABS('MD-ratios'!BV18)&gt;'MD-ratios'!$AC18,10,10*LOG(1+('MD-ratios'!$U18-1)*(ABS('MD-ratios'!BV18)-'MD-ratios'!$Y18)/('MD-ratios'!$AC18-'MD-ratios'!$Y18))/LOG('MD-ratios'!$U18)))</f>
        <v>6.3604815627741917</v>
      </c>
      <c r="BN15" s="242">
        <f>IF(ABS('MD-ratios'!BW18)&lt;0,0,IF(ABS('MD-ratios'!BW18)&gt;'MD-ratios'!$AC18,10,10*LOG(1+('MD-ratios'!$U18-1)*(ABS('MD-ratios'!BW18)-'MD-ratios'!$Y18)/('MD-ratios'!$AC18-'MD-ratios'!$Y18))/LOG('MD-ratios'!$U18)))</f>
        <v>3.6514800457320633</v>
      </c>
      <c r="BO15" s="242">
        <f>IF(ABS('MD-ratios'!BX18)&lt;0,0,IF(ABS('MD-ratios'!BX18)&gt;'MD-ratios'!$AC18,10,10*LOG(1+('MD-ratios'!$U18-1)*(ABS('MD-ratios'!BX18)-'MD-ratios'!$Y18)/('MD-ratios'!$AC18-'MD-ratios'!$Y18))/LOG('MD-ratios'!$U18)))</f>
        <v>7.8537495197689271</v>
      </c>
      <c r="BP15" s="242">
        <f>IF(ABS('MD-ratios'!BY18)&lt;0,0,IF(ABS('MD-ratios'!BY18)&gt;'MD-ratios'!$AC18,10,10*LOG(1+('MD-ratios'!$U18-1)*(ABS('MD-ratios'!BY18)-'MD-ratios'!$Y18)/('MD-ratios'!$AC18-'MD-ratios'!$Y18))/LOG('MD-ratios'!$U18)))</f>
        <v>4.1810911534995254</v>
      </c>
      <c r="BQ15" s="242">
        <f>IF(ABS('MD-ratios'!BZ18)&lt;0,0,IF(ABS('MD-ratios'!BZ18)&gt;'MD-ratios'!$AC18,10,10*LOG(1+('MD-ratios'!$U18-1)*(ABS('MD-ratios'!BZ18)-'MD-ratios'!$Y18)/('MD-ratios'!$AC18-'MD-ratios'!$Y18))/LOG('MD-ratios'!$U18)))</f>
        <v>1.9547566191813197</v>
      </c>
      <c r="BR15" s="242">
        <f>IF(ABS('MD-ratios'!CA18)&lt;0,0,IF(ABS('MD-ratios'!CA18)&gt;'MD-ratios'!$AC18,10,10*LOG(1+('MD-ratios'!$U18-1)*(ABS('MD-ratios'!CA18)-'MD-ratios'!$Y18)/('MD-ratios'!$AC18-'MD-ratios'!$Y18))/LOG('MD-ratios'!$U18)))</f>
        <v>6.9706916386995728</v>
      </c>
      <c r="BS15" s="242">
        <f>IF(ABS('MD-ratios'!CB18)&lt;0,0,IF(ABS('MD-ratios'!CB18)&gt;'MD-ratios'!$AC18,10,10*LOG(1+('MD-ratios'!$U18-1)*(ABS('MD-ratios'!CB18)-'MD-ratios'!$Y18)/('MD-ratios'!$AC18-'MD-ratios'!$Y18))/LOG('MD-ratios'!$U18)))</f>
        <v>1.9947812082115468</v>
      </c>
      <c r="BT15" s="242">
        <f>IF(ABS('MD-ratios'!CC18)&lt;0,0,IF(ABS('MD-ratios'!CC18)&gt;'MD-ratios'!$AC18,10,10*LOG(1+('MD-ratios'!$U18-1)*(ABS('MD-ratios'!CC18)-'MD-ratios'!$Y18)/('MD-ratios'!$AC18-'MD-ratios'!$Y18))/LOG('MD-ratios'!$U18)))</f>
        <v>4.8739366769024448</v>
      </c>
    </row>
    <row r="16" spans="1:72" ht="30.75" thickBot="1" x14ac:dyDescent="0.3">
      <c r="A16" s="631"/>
      <c r="B16" s="659"/>
      <c r="C16" s="522">
        <f>'MD-ranking'!W3</f>
        <v>0.1</v>
      </c>
      <c r="D16" s="412" t="s">
        <v>206</v>
      </c>
      <c r="E16" s="415" t="s">
        <v>207</v>
      </c>
      <c r="F16" s="417">
        <v>1</v>
      </c>
      <c r="G16" s="417">
        <v>2</v>
      </c>
      <c r="H16" s="417">
        <v>3</v>
      </c>
      <c r="I16" s="417">
        <v>4</v>
      </c>
      <c r="K16" s="595" t="s">
        <v>386</v>
      </c>
      <c r="L16" s="224" t="s">
        <v>388</v>
      </c>
      <c r="N16" s="653"/>
      <c r="P16" s="226">
        <f>'MD-ratios'!Y19</f>
        <v>0</v>
      </c>
      <c r="Q16" s="566">
        <f>'MD-ratios'!Z19</f>
        <v>4.2912925109646984</v>
      </c>
      <c r="R16" s="566">
        <f>'MD-ratios'!AA19</f>
        <v>11.160496174367005</v>
      </c>
      <c r="S16" s="566">
        <f>'MD-ratios'!AB19</f>
        <v>29.025445023802337</v>
      </c>
      <c r="T16" s="226">
        <f>'MD-ratios'!AC19</f>
        <v>124.24324157322488</v>
      </c>
      <c r="W16" s="242">
        <f>IF('MD-ratios'!AF19&gt;'MD-ratios'!$AC19,10,10*LOG(1+('MD-ratios'!$U19-1)*('MD-ratios'!AF19-'MD-ratios'!$Y19)/('MD-ratios'!$AC19-'MD-ratios'!$Y19))/LOG('MD-ratios'!$U19))</f>
        <v>1.9390650245502259</v>
      </c>
      <c r="X16" s="242">
        <f>IF('MD-ratios'!AG19&gt;'MD-ratios'!$AC19,10,10*LOG(1+('MD-ratios'!$U19-1)*('MD-ratios'!AG19-'MD-ratios'!$Y19)/('MD-ratios'!$AC19-'MD-ratios'!$Y19))/LOG('MD-ratios'!$U19))</f>
        <v>7.6250032458164458</v>
      </c>
      <c r="Y16" s="242">
        <f>IF('MD-ratios'!AH19&gt;'MD-ratios'!$AC19,10,10*LOG(1+('MD-ratios'!$U19-1)*('MD-ratios'!AH19-'MD-ratios'!$Y19)/('MD-ratios'!$AC19-'MD-ratios'!$Y19))/LOG('MD-ratios'!$U19))</f>
        <v>1.7020205757837812</v>
      </c>
      <c r="Z16" s="242">
        <f>IF('MD-ratios'!AI19&gt;'MD-ratios'!$AC19,10,10*LOG(1+('MD-ratios'!$U19-1)*('MD-ratios'!AI19-'MD-ratios'!$Y19)/('MD-ratios'!$AC19-'MD-ratios'!$Y19))/LOG('MD-ratios'!$U19))</f>
        <v>3.3491331343243105</v>
      </c>
      <c r="AA16" s="242">
        <f>IF('MD-ratios'!AJ19&gt;'MD-ratios'!$AC19,10,10*LOG(1+('MD-ratios'!$U19-1)*('MD-ratios'!AJ19-'MD-ratios'!$Y19)/('MD-ratios'!$AC19-'MD-ratios'!$Y19))/LOG('MD-ratios'!$U19))</f>
        <v>8.6063919254308701</v>
      </c>
      <c r="AB16" s="242">
        <f>IF('MD-ratios'!AK19&gt;'MD-ratios'!$AC19,10,10*LOG(1+('MD-ratios'!$U19-1)*('MD-ratios'!AK19-'MD-ratios'!$Y19)/('MD-ratios'!$AC19-'MD-ratios'!$Y19))/LOG('MD-ratios'!$U19))</f>
        <v>6.7272787390078177</v>
      </c>
      <c r="AC16" s="242">
        <f>IF('MD-ratios'!AL19&gt;'MD-ratios'!$AC19,10,10*LOG(1+('MD-ratios'!$U19-1)*('MD-ratios'!AL19-'MD-ratios'!$Y19)/('MD-ratios'!$AC19-'MD-ratios'!$Y19))/LOG('MD-ratios'!$U19))</f>
        <v>4.3486614927180129</v>
      </c>
      <c r="AD16" s="242">
        <f>IF('MD-ratios'!AM19&gt;'MD-ratios'!$AC19,10,10*LOG(1+('MD-ratios'!$U19-1)*('MD-ratios'!AM19-'MD-ratios'!$Y19)/('MD-ratios'!$AC19-'MD-ratios'!$Y19))/LOG('MD-ratios'!$U19))</f>
        <v>4.2742972341091336</v>
      </c>
      <c r="AE16" s="242">
        <f>IF('MD-ratios'!AN19&gt;'MD-ratios'!$AC19,10,10*LOG(1+('MD-ratios'!$U19-1)*('MD-ratios'!AN19-'MD-ratios'!$Y19)/('MD-ratios'!$AC19-'MD-ratios'!$Y19))/LOG('MD-ratios'!$U19))</f>
        <v>9.4054504609784395</v>
      </c>
      <c r="AF16" s="242">
        <f>IF('MD-ratios'!AO19&gt;'MD-ratios'!$AC19,10,10*LOG(1+('MD-ratios'!$U19-1)*('MD-ratios'!AO19-'MD-ratios'!$Y19)/('MD-ratios'!$AC19-'MD-ratios'!$Y19))/LOG('MD-ratios'!$U19))</f>
        <v>6.335171612070968</v>
      </c>
      <c r="AG16" s="242">
        <f>IF('MD-ratios'!AP19&gt;'MD-ratios'!$AC19,10,10*LOG(1+('MD-ratios'!$U19-1)*('MD-ratios'!AP19-'MD-ratios'!$Y19)/('MD-ratios'!$AC19-'MD-ratios'!$Y19))/LOG('MD-ratios'!$U19))</f>
        <v>1.8869542977461156</v>
      </c>
      <c r="AH16" s="242">
        <f>IF('MD-ratios'!AQ19&gt;'MD-ratios'!$AC19,10,10*LOG(1+('MD-ratios'!$U19-1)*('MD-ratios'!AQ19-'MD-ratios'!$Y19)/('MD-ratios'!$AC19-'MD-ratios'!$Y19))/LOG('MD-ratios'!$U19))</f>
        <v>0.97122638683360429</v>
      </c>
      <c r="AI16" s="242">
        <f>IF('MD-ratios'!AR19&gt;'MD-ratios'!$AC19,10,10*LOG(1+('MD-ratios'!$U19-1)*('MD-ratios'!AR19-'MD-ratios'!$Y19)/('MD-ratios'!$AC19-'MD-ratios'!$Y19))/LOG('MD-ratios'!$U19))</f>
        <v>5.2070618145770133</v>
      </c>
      <c r="AJ16" s="242">
        <f>IF('MD-ratios'!AS19&gt;'MD-ratios'!$AC19,10,10*LOG(1+('MD-ratios'!$U19-1)*('MD-ratios'!AS19-'MD-ratios'!$Y19)/('MD-ratios'!$AC19-'MD-ratios'!$Y19))/LOG('MD-ratios'!$U19))</f>
        <v>2.8817117388027267</v>
      </c>
      <c r="AK16" s="242">
        <f>IF('MD-ratios'!AT19&gt;'MD-ratios'!$AC19,10,10*LOG(1+('MD-ratios'!$U19-1)*('MD-ratios'!AT19-'MD-ratios'!$Y19)/('MD-ratios'!$AC19-'MD-ratios'!$Y19))/LOG('MD-ratios'!$U19))</f>
        <v>8.029644370650221</v>
      </c>
      <c r="AL16" s="242">
        <f>IF('MD-ratios'!AU19&gt;'MD-ratios'!$AC19,10,10*LOG(1+('MD-ratios'!$U19-1)*('MD-ratios'!AU19-'MD-ratios'!$Y19)/('MD-ratios'!$AC19-'MD-ratios'!$Y19))/LOG('MD-ratios'!$U19))</f>
        <v>4.0731332826608764</v>
      </c>
      <c r="AM16" s="242">
        <f>IF('MD-ratios'!AV19&gt;'MD-ratios'!$AC19,10,10*LOG(1+('MD-ratios'!$U19-1)*('MD-ratios'!AV19-'MD-ratios'!$Y19)/('MD-ratios'!$AC19-'MD-ratios'!$Y19))/LOG('MD-ratios'!$U19))</f>
        <v>3.3053600751760794</v>
      </c>
      <c r="AN16" s="242">
        <f>IF('MD-ratios'!AW19&gt;'MD-ratios'!$AC19,10,10*LOG(1+('MD-ratios'!$U19-1)*('MD-ratios'!AW19-'MD-ratios'!$Y19)/('MD-ratios'!$AC19-'MD-ratios'!$Y19))/LOG('MD-ratios'!$U19))</f>
        <v>9.2984744191408897</v>
      </c>
      <c r="AO16" s="242">
        <f>IF('MD-ratios'!AX19&gt;'MD-ratios'!$AC19,10,10*LOG(1+('MD-ratios'!$U19-1)*('MD-ratios'!AX19-'MD-ratios'!$Y19)/('MD-ratios'!$AC19-'MD-ratios'!$Y19))/LOG('MD-ratios'!$U19))</f>
        <v>3.4232031891870003</v>
      </c>
      <c r="AP16" s="242">
        <f>IF('MD-ratios'!AY19&gt;'MD-ratios'!$AC19,10,10*LOG(1+('MD-ratios'!$U19-1)*('MD-ratios'!AY19-'MD-ratios'!$Y19)/('MD-ratios'!$AC19-'MD-ratios'!$Y19))/LOG('MD-ratios'!$U19))</f>
        <v>10</v>
      </c>
      <c r="AQ16" s="242">
        <f>IF('MD-ratios'!AZ19&gt;'MD-ratios'!$AC19,10,10*LOG(1+('MD-ratios'!$U19-1)*('MD-ratios'!AZ19-'MD-ratios'!$Y19)/('MD-ratios'!$AC19-'MD-ratios'!$Y19))/LOG('MD-ratios'!$U19))</f>
        <v>4.4627369608378151</v>
      </c>
      <c r="AR16" s="242">
        <f>IF('MD-ratios'!BA19&gt;'MD-ratios'!$AC19,10,10*LOG(1+('MD-ratios'!$U19-1)*('MD-ratios'!BA19-'MD-ratios'!$Y19)/('MD-ratios'!$AC19-'MD-ratios'!$Y19))/LOG('MD-ratios'!$U19))</f>
        <v>4.6887191008635902</v>
      </c>
      <c r="AS16" s="242">
        <f>IF('MD-ratios'!BB19&gt;'MD-ratios'!$AC19,10,10*LOG(1+('MD-ratios'!$U19-1)*('MD-ratios'!BB19-'MD-ratios'!$Y19)/('MD-ratios'!$AC19-'MD-ratios'!$Y19))/LOG('MD-ratios'!$U19))</f>
        <v>4.4516517256374613</v>
      </c>
      <c r="AT16" s="242">
        <f>IF('MD-ratios'!BC19&gt;'MD-ratios'!$AC19,10,10*LOG(1+('MD-ratios'!$U19-1)*('MD-ratios'!BC19-'MD-ratios'!$Y19)/('MD-ratios'!$AC19-'MD-ratios'!$Y19))/LOG('MD-ratios'!$U19))</f>
        <v>2.9447543374953247</v>
      </c>
      <c r="AU16" s="242">
        <f>IF('MD-ratios'!BD19&gt;'MD-ratios'!$AC19,10,10*LOG(1+('MD-ratios'!$U19-1)*('MD-ratios'!BD19-'MD-ratios'!$Y19)/('MD-ratios'!$AC19-'MD-ratios'!$Y19))/LOG('MD-ratios'!$U19))</f>
        <v>0.82166234558148143</v>
      </c>
      <c r="AV16" s="242">
        <f>IF('MD-ratios'!BE19&gt;'MD-ratios'!$AC19,10,10*LOG(1+('MD-ratios'!$U19-1)*('MD-ratios'!BE19-'MD-ratios'!$Y19)/('MD-ratios'!$AC19-'MD-ratios'!$Y19))/LOG('MD-ratios'!$U19))</f>
        <v>4.2756002376629922</v>
      </c>
      <c r="AW16" s="242">
        <f>IF('MD-ratios'!BF19&gt;'MD-ratios'!$AC19,10,10*LOG(1+('MD-ratios'!$U19-1)*('MD-ratios'!BF19-'MD-ratios'!$Y19)/('MD-ratios'!$AC19-'MD-ratios'!$Y19))/LOG('MD-ratios'!$U19))</f>
        <v>10</v>
      </c>
      <c r="AX16" s="242">
        <f>IF('MD-ratios'!BG19&gt;'MD-ratios'!$AC19,10,10*LOG(1+('MD-ratios'!$U19-1)*('MD-ratios'!BG19-'MD-ratios'!$Y19)/('MD-ratios'!$AC19-'MD-ratios'!$Y19))/LOG('MD-ratios'!$U19))</f>
        <v>3.0427494081116557</v>
      </c>
      <c r="AY16" s="242">
        <f>IF('MD-ratios'!BH19&gt;'MD-ratios'!$AC19,10,10*LOG(1+('MD-ratios'!$U19-1)*('MD-ratios'!BH19-'MD-ratios'!$Y19)/('MD-ratios'!$AC19-'MD-ratios'!$Y19))/LOG('MD-ratios'!$U19))</f>
        <v>0</v>
      </c>
      <c r="AZ16" s="242">
        <f>IF('MD-ratios'!BI19&gt;'MD-ratios'!$AC19,10,10*LOG(1+('MD-ratios'!$U19-1)*('MD-ratios'!BI19-'MD-ratios'!$Y19)/('MD-ratios'!$AC19-'MD-ratios'!$Y19))/LOG('MD-ratios'!$U19))</f>
        <v>9.8366078882679364</v>
      </c>
      <c r="BA16" s="242">
        <f>IF('MD-ratios'!BJ19&gt;'MD-ratios'!$AC19,10,10*LOG(1+('MD-ratios'!$U19-1)*('MD-ratios'!BJ19-'MD-ratios'!$Y19)/('MD-ratios'!$AC19-'MD-ratios'!$Y19))/LOG('MD-ratios'!$U19))</f>
        <v>10</v>
      </c>
      <c r="BB16" s="242">
        <f>IF('MD-ratios'!BK19&gt;'MD-ratios'!$AC19,10,10*LOG(1+('MD-ratios'!$U19-1)*('MD-ratios'!BK19-'MD-ratios'!$Y19)/('MD-ratios'!$AC19-'MD-ratios'!$Y19))/LOG('MD-ratios'!$U19))</f>
        <v>6.4374006902257648</v>
      </c>
      <c r="BC16" s="242">
        <f>IF('MD-ratios'!BL19&gt;'MD-ratios'!$AC19,10,10*LOG(1+('MD-ratios'!$U19-1)*('MD-ratios'!BL19-'MD-ratios'!$Y19)/('MD-ratios'!$AC19-'MD-ratios'!$Y19))/LOG('MD-ratios'!$U19))</f>
        <v>0</v>
      </c>
      <c r="BD16" s="242">
        <f>IF('MD-ratios'!BM19&gt;'MD-ratios'!$AC19,10,10*LOG(1+('MD-ratios'!$U19-1)*('MD-ratios'!BM19-'MD-ratios'!$Y19)/('MD-ratios'!$AC19-'MD-ratios'!$Y19))/LOG('MD-ratios'!$U19))</f>
        <v>8.7042468155209924</v>
      </c>
      <c r="BE16" s="242">
        <f>IF('MD-ratios'!BN19&gt;'MD-ratios'!$AC19,10,10*LOG(1+('MD-ratios'!$U19-1)*('MD-ratios'!BN19-'MD-ratios'!$Y19)/('MD-ratios'!$AC19-'MD-ratios'!$Y19))/LOG('MD-ratios'!$U19))</f>
        <v>4.7282670973657366</v>
      </c>
      <c r="BF16" s="242">
        <f>IF('MD-ratios'!BO19&gt;'MD-ratios'!$AC19,10,10*LOG(1+('MD-ratios'!$U19-1)*('MD-ratios'!BO19-'MD-ratios'!$Y19)/('MD-ratios'!$AC19-'MD-ratios'!$Y19))/LOG('MD-ratios'!$U19))</f>
        <v>2.7910066561330984</v>
      </c>
      <c r="BG16" s="242">
        <f>IF('MD-ratios'!BP19&gt;'MD-ratios'!$AC19,10,10*LOG(1+('MD-ratios'!$U19-1)*('MD-ratios'!BP19-'MD-ratios'!$Y19)/('MD-ratios'!$AC19-'MD-ratios'!$Y19))/LOG('MD-ratios'!$U19))</f>
        <v>6.0904430108897989</v>
      </c>
      <c r="BH16" s="242">
        <f>IF('MD-ratios'!BQ19&gt;'MD-ratios'!$AC19,10,10*LOG(1+('MD-ratios'!$U19-1)*('MD-ratios'!BQ19-'MD-ratios'!$Y19)/('MD-ratios'!$AC19-'MD-ratios'!$Y19))/LOG('MD-ratios'!$U19))</f>
        <v>6.0108460135939943</v>
      </c>
      <c r="BI16" s="242">
        <f>IF('MD-ratios'!BR19&gt;'MD-ratios'!$AC19,10,10*LOG(1+('MD-ratios'!$U19-1)*('MD-ratios'!BR19-'MD-ratios'!$Y19)/('MD-ratios'!$AC19-'MD-ratios'!$Y19))/LOG('MD-ratios'!$U19))</f>
        <v>0</v>
      </c>
      <c r="BJ16" s="242">
        <f>IF('MD-ratios'!BS19&gt;'MD-ratios'!$AC19,10,10*LOG(1+('MD-ratios'!$U19-1)*('MD-ratios'!BS19-'MD-ratios'!$Y19)/('MD-ratios'!$AC19-'MD-ratios'!$Y19))/LOG('MD-ratios'!$U19))</f>
        <v>4.3991846428260617</v>
      </c>
      <c r="BK16" s="242">
        <f>IF('MD-ratios'!BT19&gt;'MD-ratios'!$AC19,10,10*LOG(1+('MD-ratios'!$U19-1)*('MD-ratios'!BT19-'MD-ratios'!$Y19)/('MD-ratios'!$AC19-'MD-ratios'!$Y19))/LOG('MD-ratios'!$U19))</f>
        <v>6.7926334225773317</v>
      </c>
      <c r="BL16" s="242">
        <f>IF('MD-ratios'!BU19&gt;'MD-ratios'!$AC19,10,10*LOG(1+('MD-ratios'!$U19-1)*('MD-ratios'!BU19-'MD-ratios'!$Y19)/('MD-ratios'!$AC19-'MD-ratios'!$Y19))/LOG('MD-ratios'!$U19))</f>
        <v>4.3838507909982143</v>
      </c>
      <c r="BM16" s="242">
        <f>IF('MD-ratios'!BV19&gt;'MD-ratios'!$AC19,10,10*LOG(1+('MD-ratios'!$U19-1)*('MD-ratios'!BV19-'MD-ratios'!$Y19)/('MD-ratios'!$AC19-'MD-ratios'!$Y19))/LOG('MD-ratios'!$U19))</f>
        <v>2.2687496484389427</v>
      </c>
      <c r="BN16" s="242">
        <f>IF('MD-ratios'!BW19&gt;'MD-ratios'!$AC19,10,10*LOG(1+('MD-ratios'!$U19-1)*('MD-ratios'!BW19-'MD-ratios'!$Y19)/('MD-ratios'!$AC19-'MD-ratios'!$Y19))/LOG('MD-ratios'!$U19))</f>
        <v>6.1921811065580048</v>
      </c>
      <c r="BO16" s="242">
        <f>IF('MD-ratios'!BX19&gt;'MD-ratios'!$AC19,10,10*LOG(1+('MD-ratios'!$U19-1)*('MD-ratios'!BX19-'MD-ratios'!$Y19)/('MD-ratios'!$AC19-'MD-ratios'!$Y19))/LOG('MD-ratios'!$U19))</f>
        <v>1.4982123202135005</v>
      </c>
      <c r="BP16" s="242">
        <f>IF('MD-ratios'!BY19&gt;'MD-ratios'!$AC19,10,10*LOG(1+('MD-ratios'!$U19-1)*('MD-ratios'!BY19-'MD-ratios'!$Y19)/('MD-ratios'!$AC19-'MD-ratios'!$Y19))/LOG('MD-ratios'!$U19))</f>
        <v>0.71728960778645368</v>
      </c>
      <c r="BQ16" s="242">
        <f>IF('MD-ratios'!BZ19&gt;'MD-ratios'!$AC19,10,10*LOG(1+('MD-ratios'!$U19-1)*('MD-ratios'!BZ19-'MD-ratios'!$Y19)/('MD-ratios'!$AC19-'MD-ratios'!$Y19))/LOG('MD-ratios'!$U19))</f>
        <v>0</v>
      </c>
      <c r="BR16" s="242">
        <f>IF('MD-ratios'!CA19&gt;'MD-ratios'!$AC19,10,10*LOG(1+('MD-ratios'!$U19-1)*('MD-ratios'!CA19-'MD-ratios'!$Y19)/('MD-ratios'!$AC19-'MD-ratios'!$Y19))/LOG('MD-ratios'!$U19))</f>
        <v>7.406531485105134</v>
      </c>
      <c r="BS16" s="242">
        <f>IF('MD-ratios'!CB19&gt;'MD-ratios'!$AC19,10,10*LOG(1+('MD-ratios'!$U19-1)*('MD-ratios'!CB19-'MD-ratios'!$Y19)/('MD-ratios'!$AC19-'MD-ratios'!$Y19))/LOG('MD-ratios'!$U19))</f>
        <v>0</v>
      </c>
      <c r="BT16" s="242">
        <f>IF('MD-ratios'!CC19&gt;'MD-ratios'!$AC19,10,10*LOG(1+('MD-ratios'!$U19-1)*('MD-ratios'!CC19-'MD-ratios'!$Y19)/('MD-ratios'!$AC19-'MD-ratios'!$Y19))/LOG('MD-ratios'!$U19))</f>
        <v>3.4067988329471963</v>
      </c>
    </row>
    <row r="17" spans="1:72" s="270" customFormat="1" ht="15.75" thickBot="1" x14ac:dyDescent="0.3">
      <c r="A17" s="632"/>
      <c r="B17" s="660"/>
      <c r="C17" s="664" t="s">
        <v>398</v>
      </c>
      <c r="D17" s="665"/>
      <c r="E17" s="666"/>
      <c r="F17" s="276"/>
      <c r="G17" s="276"/>
      <c r="H17" s="276"/>
      <c r="I17" s="276"/>
      <c r="K17" s="599"/>
      <c r="N17" s="653"/>
      <c r="P17" s="271"/>
      <c r="Q17" s="271"/>
      <c r="R17" s="271"/>
      <c r="S17" s="271"/>
      <c r="T17" s="271"/>
      <c r="V17" s="254"/>
      <c r="W17" s="269">
        <f>SUMPRODUCT(W15:W16,$C15:$C16)/SUM($C15:$C16)</f>
        <v>1.5395837687070191</v>
      </c>
      <c r="X17" s="269">
        <f t="shared" ref="X17" si="3">SUMPRODUCT(X15:X16,$C15:$C16)/SUM($C15:$C16)</f>
        <v>7.4728290786802773</v>
      </c>
      <c r="Y17" s="269">
        <f t="shared" ref="Y17" si="4">SUMPRODUCT(Y15:Y16,$C15:$C16)/SUM($C15:$C16)</f>
        <v>4.8972915073961625</v>
      </c>
      <c r="Z17" s="269">
        <f t="shared" ref="Z17" si="5">SUMPRODUCT(Z15:Z16,$C15:$C16)/SUM($C15:$C16)</f>
        <v>3.6656148450732062</v>
      </c>
      <c r="AA17" s="269">
        <f t="shared" ref="AA17" si="6">SUMPRODUCT(AA15:AA16,$C15:$C16)/SUM($C15:$C16)</f>
        <v>6.2124692291259382</v>
      </c>
      <c r="AB17" s="269">
        <f t="shared" ref="AB17" si="7">SUMPRODUCT(AB15:AB16,$C15:$C16)/SUM($C15:$C16)</f>
        <v>5.0408104093847621</v>
      </c>
      <c r="AC17" s="269">
        <f t="shared" ref="AC17" si="8">SUMPRODUCT(AC15:AC16,$C15:$C16)/SUM($C15:$C16)</f>
        <v>2.3543388970966075</v>
      </c>
      <c r="AD17" s="269">
        <f t="shared" ref="AD17" si="9">SUMPRODUCT(AD15:AD16,$C15:$C16)/SUM($C15:$C16)</f>
        <v>2.9341231120848477</v>
      </c>
      <c r="AE17" s="269">
        <f t="shared" ref="AE17" si="10">SUMPRODUCT(AE15:AE16,$C15:$C16)/SUM($C15:$C16)</f>
        <v>4.9306064451928133</v>
      </c>
      <c r="AF17" s="269">
        <f t="shared" ref="AF17" si="11">SUMPRODUCT(AF15:AF16,$C15:$C16)/SUM($C15:$C16)</f>
        <v>7.1180545681561824</v>
      </c>
      <c r="AG17" s="269">
        <f t="shared" ref="AG17" si="12">SUMPRODUCT(AG15:AG16,$C15:$C16)/SUM($C15:$C16)</f>
        <v>1.5134838215079971</v>
      </c>
      <c r="AH17" s="269">
        <f t="shared" ref="AH17" si="13">SUMPRODUCT(AH15:AH16,$C15:$C16)/SUM($C15:$C16)</f>
        <v>1.8420599326207709</v>
      </c>
      <c r="AI17" s="269">
        <f t="shared" ref="AI17" si="14">SUMPRODUCT(AI15:AI16,$C15:$C16)/SUM($C15:$C16)</f>
        <v>4.2521839432132822</v>
      </c>
      <c r="AJ17" s="269">
        <f t="shared" ref="AJ17" si="15">SUMPRODUCT(AJ15:AJ16,$C15:$C16)/SUM($C15:$C16)</f>
        <v>4.4122086309838142</v>
      </c>
      <c r="AK17" s="269">
        <f t="shared" ref="AK17" si="16">SUMPRODUCT(AK15:AK16,$C15:$C16)/SUM($C15:$C16)</f>
        <v>8.0363800165484527</v>
      </c>
      <c r="AL17" s="269">
        <f t="shared" ref="AL17" si="17">SUMPRODUCT(AL15:AL16,$C15:$C16)/SUM($C15:$C16)</f>
        <v>5.3130279866680015</v>
      </c>
      <c r="AM17" s="269">
        <f t="shared" ref="AM17" si="18">SUMPRODUCT(AM15:AM16,$C15:$C16)/SUM($C15:$C16)</f>
        <v>3.5574690973303444</v>
      </c>
      <c r="AN17" s="269">
        <f t="shared" ref="AN17" si="19">SUMPRODUCT(AN15:AN16,$C15:$C16)/SUM($C15:$C16)</f>
        <v>6.1215073656500012</v>
      </c>
      <c r="AO17" s="269">
        <f t="shared" ref="AO17" si="20">SUMPRODUCT(AO15:AO16,$C15:$C16)/SUM($C15:$C16)</f>
        <v>3.9074638223934053</v>
      </c>
      <c r="AP17" s="269">
        <f t="shared" ref="AP17" si="21">SUMPRODUCT(AP15:AP16,$C15:$C16)/SUM($C15:$C16)</f>
        <v>8.140867289453281</v>
      </c>
      <c r="AQ17" s="269">
        <f t="shared" ref="AQ17" si="22">SUMPRODUCT(AQ15:AQ16,$C15:$C16)/SUM($C15:$C16)</f>
        <v>5.0446153292722844</v>
      </c>
      <c r="AR17" s="269">
        <f t="shared" ref="AR17" si="23">SUMPRODUCT(AR15:AR16,$C15:$C16)/SUM($C15:$C16)</f>
        <v>4.6161574955189764</v>
      </c>
      <c r="AS17" s="269">
        <f t="shared" ref="AS17" si="24">SUMPRODUCT(AS15:AS16,$C15:$C16)/SUM($C15:$C16)</f>
        <v>4.6334117083931652</v>
      </c>
      <c r="AT17" s="269">
        <f t="shared" ref="AT17" si="25">SUMPRODUCT(AT15:AT16,$C15:$C16)/SUM($C15:$C16)</f>
        <v>5.9743883759972602</v>
      </c>
      <c r="AU17" s="269">
        <f t="shared" ref="AU17" si="26">SUMPRODUCT(AU15:AU16,$C15:$C16)/SUM($C15:$C16)</f>
        <v>0.99289316654907389</v>
      </c>
      <c r="AV17" s="269">
        <f t="shared" ref="AV17" si="27">SUMPRODUCT(AV15:AV16,$C15:$C16)/SUM($C15:$C16)</f>
        <v>7.1378001188314961</v>
      </c>
      <c r="AW17" s="269">
        <f t="shared" ref="AW17" si="28">SUMPRODUCT(AW15:AW16,$C15:$C16)/SUM($C15:$C16)</f>
        <v>7.3958620286060226</v>
      </c>
      <c r="AX17" s="269">
        <f t="shared" ref="AX17" si="29">SUMPRODUCT(AX15:AX16,$C15:$C16)/SUM($C15:$C16)</f>
        <v>5.9071082177562007</v>
      </c>
      <c r="AY17" s="269">
        <f t="shared" ref="AY17" si="30">SUMPRODUCT(AY15:AY16,$C15:$C16)/SUM($C15:$C16)</f>
        <v>1.6850332509596793</v>
      </c>
      <c r="AZ17" s="269">
        <f t="shared" ref="AZ17" si="31">SUMPRODUCT(AZ15:AZ16,$C15:$C16)/SUM($C15:$C16)</f>
        <v>6.9417420948946855</v>
      </c>
      <c r="BA17" s="269">
        <f t="shared" ref="BA17" si="32">SUMPRODUCT(BA15:BA16,$C15:$C16)/SUM($C15:$C16)</f>
        <v>7.1164533825747629</v>
      </c>
      <c r="BB17" s="269">
        <f t="shared" ref="BB17" si="33">SUMPRODUCT(BB15:BB16,$C15:$C16)/SUM($C15:$C16)</f>
        <v>6.3489196989048136</v>
      </c>
      <c r="BC17" s="269">
        <f t="shared" ref="BC17" si="34">SUMPRODUCT(BC15:BC16,$C15:$C16)/SUM($C15:$C16)</f>
        <v>2.0251416527444546</v>
      </c>
      <c r="BD17" s="269">
        <f t="shared" ref="BD17" si="35">SUMPRODUCT(BD15:BD16,$C15:$C16)/SUM($C15:$C16)</f>
        <v>6.6427615123983541</v>
      </c>
      <c r="BE17" s="269">
        <f t="shared" ref="BE17" si="36">SUMPRODUCT(BE15:BE16,$C15:$C16)/SUM($C15:$C16)</f>
        <v>4.3880354055275701</v>
      </c>
      <c r="BF17" s="269">
        <f t="shared" ref="BF17" si="37">SUMPRODUCT(BF15:BF16,$C15:$C16)/SUM($C15:$C16)</f>
        <v>2.5625063069709761</v>
      </c>
      <c r="BG17" s="269">
        <f t="shared" ref="BG17" si="38">SUMPRODUCT(BG15:BG16,$C15:$C16)/SUM($C15:$C16)</f>
        <v>3.6042438639022216</v>
      </c>
      <c r="BH17" s="269">
        <f t="shared" ref="BH17" si="39">SUMPRODUCT(BH15:BH16,$C15:$C16)/SUM($C15:$C16)</f>
        <v>4.6878249631736191</v>
      </c>
      <c r="BI17" s="269">
        <f t="shared" ref="BI17" si="40">SUMPRODUCT(BI15:BI16,$C15:$C16)/SUM($C15:$C16)</f>
        <v>2.4480957227133424</v>
      </c>
      <c r="BJ17" s="269">
        <f t="shared" ref="BJ17" si="41">SUMPRODUCT(BJ15:BJ16,$C15:$C16)/SUM($C15:$C16)</f>
        <v>2.363151454243666</v>
      </c>
      <c r="BK17" s="269">
        <f t="shared" ref="BK17" si="42">SUMPRODUCT(BK15:BK16,$C15:$C16)/SUM($C15:$C16)</f>
        <v>4.489983393773711</v>
      </c>
      <c r="BL17" s="269">
        <f t="shared" ref="BL17" si="43">SUMPRODUCT(BL15:BL16,$C15:$C16)/SUM($C15:$C16)</f>
        <v>3.845194429089601</v>
      </c>
      <c r="BM17" s="269">
        <f t="shared" ref="BM17" si="44">SUMPRODUCT(BM15:BM16,$C15:$C16)/SUM($C15:$C16)</f>
        <v>4.3146156056065665</v>
      </c>
      <c r="BN17" s="269">
        <f t="shared" ref="BN17" si="45">SUMPRODUCT(BN15:BN16,$C15:$C16)/SUM($C15:$C16)</f>
        <v>4.9218305761450338</v>
      </c>
      <c r="BO17" s="269">
        <f t="shared" ref="BO17" si="46">SUMPRODUCT(BO15:BO16,$C15:$C16)/SUM($C15:$C16)</f>
        <v>4.6759809199912139</v>
      </c>
      <c r="BP17" s="269">
        <f t="shared" ref="BP17" si="47">SUMPRODUCT(BP15:BP16,$C15:$C16)/SUM($C15:$C16)</f>
        <v>2.4491903806429893</v>
      </c>
      <c r="BQ17" s="269">
        <f t="shared" ref="BQ17" si="48">SUMPRODUCT(BQ15:BQ16,$C15:$C16)/SUM($C15:$C16)</f>
        <v>0.97737830959065986</v>
      </c>
      <c r="BR17" s="269">
        <f t="shared" ref="BR17" si="49">SUMPRODUCT(BR15:BR16,$C15:$C16)/SUM($C15:$C16)</f>
        <v>7.1886115619023538</v>
      </c>
      <c r="BS17" s="269">
        <f t="shared" ref="BS17" si="50">SUMPRODUCT(BS15:BS16,$C15:$C16)/SUM($C15:$C16)</f>
        <v>0.9973906041057734</v>
      </c>
      <c r="BT17" s="269">
        <f t="shared" ref="BT17" si="51">SUMPRODUCT(BT15:BT16,$C15:$C16)/SUM($C15:$C16)</f>
        <v>4.1403677549248208</v>
      </c>
    </row>
    <row r="18" spans="1:72" s="432" customFormat="1" ht="15" customHeight="1" thickBot="1" x14ac:dyDescent="0.3">
      <c r="A18" s="431">
        <f>A4+A8+A12+A15</f>
        <v>1</v>
      </c>
      <c r="B18" s="655" t="s">
        <v>394</v>
      </c>
      <c r="C18" s="656"/>
      <c r="D18" s="656"/>
      <c r="E18" s="657"/>
      <c r="F18" s="444"/>
      <c r="G18" s="444"/>
      <c r="H18" s="444"/>
      <c r="I18" s="444"/>
      <c r="K18" s="600"/>
      <c r="N18" s="654"/>
      <c r="V18" s="445"/>
      <c r="W18" s="446">
        <f>(W7*$A4+W11*$A8+W14*$A12+W17*$A15)/($A4+$A8+$A12+$A15)</f>
        <v>6.9302847305833062</v>
      </c>
      <c r="X18" s="446">
        <f t="shared" ref="X18:BT18" si="52">(X7*$A4+X11*$A8+X14*$A12+X17*$A15)/($A4+$A8+$A12+$A15)</f>
        <v>4.439209115164708</v>
      </c>
      <c r="Y18" s="446">
        <f t="shared" si="52"/>
        <v>2.3456051516135759</v>
      </c>
      <c r="Z18" s="446">
        <f t="shared" si="52"/>
        <v>4.1943998420703004</v>
      </c>
      <c r="AA18" s="446">
        <f t="shared" si="52"/>
        <v>5.8057036031453588</v>
      </c>
      <c r="AB18" s="446">
        <f t="shared" si="52"/>
        <v>3.10228206921186</v>
      </c>
      <c r="AC18" s="446">
        <f t="shared" si="52"/>
        <v>4.6095790825336334</v>
      </c>
      <c r="AD18" s="446">
        <f t="shared" si="52"/>
        <v>7.1802483683382423</v>
      </c>
      <c r="AE18" s="446">
        <f t="shared" si="52"/>
        <v>7.8397169682657104</v>
      </c>
      <c r="AF18" s="446">
        <f t="shared" si="52"/>
        <v>3.4106815624725586</v>
      </c>
      <c r="AG18" s="446">
        <f t="shared" si="52"/>
        <v>3.0918915930809341</v>
      </c>
      <c r="AH18" s="446">
        <f t="shared" si="52"/>
        <v>5.0742419611519907</v>
      </c>
      <c r="AI18" s="446">
        <f t="shared" si="52"/>
        <v>7.9487350202392326</v>
      </c>
      <c r="AJ18" s="446">
        <f t="shared" si="52"/>
        <v>2.8395283809976148</v>
      </c>
      <c r="AK18" s="446">
        <f t="shared" si="52"/>
        <v>7.2914738902577199</v>
      </c>
      <c r="AL18" s="446">
        <f t="shared" si="52"/>
        <v>4.9698550812203344</v>
      </c>
      <c r="AM18" s="446">
        <f t="shared" si="52"/>
        <v>6.754839123899794</v>
      </c>
      <c r="AN18" s="446">
        <f t="shared" si="52"/>
        <v>6.1983089598503467</v>
      </c>
      <c r="AO18" s="446">
        <f t="shared" si="52"/>
        <v>5.6259577304274604</v>
      </c>
      <c r="AP18" s="446">
        <f t="shared" si="52"/>
        <v>6.8129432322568624</v>
      </c>
      <c r="AQ18" s="446">
        <f t="shared" si="52"/>
        <v>6.2262385456782257</v>
      </c>
      <c r="AR18" s="446">
        <f t="shared" si="52"/>
        <v>8.4986341801353831</v>
      </c>
      <c r="AS18" s="446">
        <f t="shared" si="52"/>
        <v>3.47212698998979</v>
      </c>
      <c r="AT18" s="446">
        <f t="shared" si="52"/>
        <v>5.803095485192018</v>
      </c>
      <c r="AU18" s="446">
        <f t="shared" si="52"/>
        <v>1.9834535219042158</v>
      </c>
      <c r="AV18" s="446">
        <f t="shared" si="52"/>
        <v>6.9199175709899876</v>
      </c>
      <c r="AW18" s="446">
        <f t="shared" si="52"/>
        <v>6.9532617585095871</v>
      </c>
      <c r="AX18" s="446">
        <f t="shared" si="52"/>
        <v>4.5560138536543651</v>
      </c>
      <c r="AY18" s="446">
        <f t="shared" si="52"/>
        <v>4.0754742655065748</v>
      </c>
      <c r="AZ18" s="446">
        <f t="shared" si="52"/>
        <v>6.8392101087519359</v>
      </c>
      <c r="BA18" s="446">
        <f t="shared" si="52"/>
        <v>8.6306840002671681</v>
      </c>
      <c r="BB18" s="446">
        <f t="shared" si="52"/>
        <v>3.3473177147021165</v>
      </c>
      <c r="BC18" s="446">
        <f t="shared" si="52"/>
        <v>5.5352922338637969</v>
      </c>
      <c r="BD18" s="446">
        <f t="shared" si="52"/>
        <v>8.101633088944947</v>
      </c>
      <c r="BE18" s="446">
        <f t="shared" si="52"/>
        <v>5.1879273183351788</v>
      </c>
      <c r="BF18" s="446">
        <f t="shared" si="52"/>
        <v>7.4420184921110684</v>
      </c>
      <c r="BG18" s="446">
        <f t="shared" si="52"/>
        <v>7.9599682286293056</v>
      </c>
      <c r="BH18" s="446">
        <f t="shared" si="52"/>
        <v>6.3002737383589134</v>
      </c>
      <c r="BI18" s="446">
        <f t="shared" si="52"/>
        <v>6.0064416940948639</v>
      </c>
      <c r="BJ18" s="446">
        <f t="shared" si="52"/>
        <v>4.9182633972248615</v>
      </c>
      <c r="BK18" s="446">
        <f t="shared" si="52"/>
        <v>8.8047770130384322</v>
      </c>
      <c r="BL18" s="446">
        <f t="shared" si="52"/>
        <v>4.6003756001502873</v>
      </c>
      <c r="BM18" s="446">
        <f t="shared" si="52"/>
        <v>5.908022244015231</v>
      </c>
      <c r="BN18" s="446">
        <f t="shared" si="52"/>
        <v>5.2191182267178213</v>
      </c>
      <c r="BO18" s="446">
        <f t="shared" si="52"/>
        <v>3.580884726495313</v>
      </c>
      <c r="BP18" s="446">
        <f t="shared" si="52"/>
        <v>3.5966243228405106</v>
      </c>
      <c r="BQ18" s="446">
        <f t="shared" si="52"/>
        <v>4.1353650776071378</v>
      </c>
      <c r="BR18" s="446">
        <f t="shared" si="52"/>
        <v>5.3113336491055634</v>
      </c>
      <c r="BS18" s="446">
        <f t="shared" si="52"/>
        <v>2.6400916506108629</v>
      </c>
      <c r="BT18" s="446">
        <f t="shared" si="52"/>
        <v>6.0185266358984357</v>
      </c>
    </row>
    <row r="19" spans="1:72" ht="15" customHeight="1" x14ac:dyDescent="0.25">
      <c r="A19" s="243"/>
      <c r="B19" s="243"/>
      <c r="C19" s="246"/>
      <c r="D19" s="243"/>
      <c r="E19" s="247"/>
      <c r="F19" s="280"/>
      <c r="G19" s="280"/>
      <c r="H19" s="280"/>
      <c r="I19" s="280"/>
    </row>
    <row r="20" spans="1:72" ht="15" customHeight="1" thickBot="1" x14ac:dyDescent="0.3"/>
    <row r="21" spans="1:72" s="259" customFormat="1" ht="15.75" customHeight="1" thickBot="1" x14ac:dyDescent="0.3">
      <c r="A21" s="639">
        <f>A4</f>
        <v>0.25</v>
      </c>
      <c r="B21" s="633" t="str">
        <f>B4</f>
        <v>Liquidity</v>
      </c>
      <c r="C21" s="231">
        <f>C4</f>
        <v>8.3333333333333329E-2</v>
      </c>
      <c r="D21" s="232" t="str">
        <f t="shared" ref="D21:E21" si="53">D4</f>
        <v>Current Ratio</v>
      </c>
      <c r="E21" s="233" t="str">
        <f t="shared" si="53"/>
        <v>Current Assets ÷ Current Liabilities</v>
      </c>
      <c r="F21" s="278">
        <f>F4</f>
        <v>1</v>
      </c>
      <c r="G21" s="278">
        <f t="shared" ref="G21:I21" si="54">G4</f>
        <v>2</v>
      </c>
      <c r="H21" s="278">
        <f t="shared" si="54"/>
        <v>3</v>
      </c>
      <c r="I21" s="278">
        <f t="shared" si="54"/>
        <v>4</v>
      </c>
      <c r="K21" s="596" t="s">
        <v>386</v>
      </c>
      <c r="L21" s="259" t="s">
        <v>388</v>
      </c>
      <c r="N21" s="653">
        <v>2016</v>
      </c>
      <c r="P21" s="260">
        <f>'MD-ratios'!Y24</f>
        <v>0</v>
      </c>
      <c r="Q21" s="567">
        <f>'MD-ratios'!Z24</f>
        <v>0.92385991622305896</v>
      </c>
      <c r="R21" s="567">
        <f>'MD-ratios'!AA24</f>
        <v>1.9229713965396571</v>
      </c>
      <c r="S21" s="567">
        <f>'MD-ratios'!AB24</f>
        <v>4.0025754196882692</v>
      </c>
      <c r="T21" s="260">
        <f>'MD-ratios'!AC24</f>
        <v>11.100561961639293</v>
      </c>
      <c r="V21" s="261"/>
      <c r="W21" s="262">
        <f>IF('MD-ratios'!AF24&gt;'MD-ratios'!$AC24,10,10*LOG(1+('MD-ratios'!$U24-1)*('MD-ratios'!AF24-'MD-ratios'!$Y24)/('MD-ratios'!$AC24-'MD-ratios'!$Y24))/LOG('MD-ratios'!$U24))</f>
        <v>9.4409620464260371</v>
      </c>
      <c r="X21" s="262">
        <f>IF('MD-ratios'!AG24&gt;'MD-ratios'!$AC24,10,10*LOG(1+('MD-ratios'!$U24-1)*('MD-ratios'!AG24-'MD-ratios'!$Y24)/('MD-ratios'!$AC24-'MD-ratios'!$Y24))/LOG('MD-ratios'!$U24))</f>
        <v>4.3928488962420591</v>
      </c>
      <c r="Y21" s="262">
        <f>IF('MD-ratios'!AH24&gt;'MD-ratios'!$AC24,10,10*LOG(1+('MD-ratios'!$U24-1)*('MD-ratios'!AH24-'MD-ratios'!$Y24)/('MD-ratios'!$AC24-'MD-ratios'!$Y24))/LOG('MD-ratios'!$U24))</f>
        <v>9.3173954814939286</v>
      </c>
      <c r="Z21" s="262">
        <f>IF('MD-ratios'!AI24&gt;'MD-ratios'!$AC24,10,10*LOG(1+('MD-ratios'!$U24-1)*('MD-ratios'!AI24-'MD-ratios'!$Y24)/('MD-ratios'!$AC24-'MD-ratios'!$Y24))/LOG('MD-ratios'!$U24))</f>
        <v>6.9460924785101223</v>
      </c>
      <c r="AA21" s="262">
        <f>IF('MD-ratios'!AJ24&gt;'MD-ratios'!$AC24,10,10*LOG(1+('MD-ratios'!$U24-1)*('MD-ratios'!AJ24-'MD-ratios'!$Y24)/('MD-ratios'!$AC24-'MD-ratios'!$Y24))/LOG('MD-ratios'!$U24))</f>
        <v>0.47180153587015072</v>
      </c>
      <c r="AB21" s="262">
        <f>IF('MD-ratios'!AK24&gt;'MD-ratios'!$AC24,10,10*LOG(1+('MD-ratios'!$U24-1)*('MD-ratios'!AK24-'MD-ratios'!$Y24)/('MD-ratios'!$AC24-'MD-ratios'!$Y24))/LOG('MD-ratios'!$U24))</f>
        <v>3.5450884633636126</v>
      </c>
      <c r="AC21" s="262">
        <f>IF('MD-ratios'!AL24&gt;'MD-ratios'!$AC24,10,10*LOG(1+('MD-ratios'!$U24-1)*('MD-ratios'!AL24-'MD-ratios'!$Y24)/('MD-ratios'!$AC24-'MD-ratios'!$Y24))/LOG('MD-ratios'!$U24))</f>
        <v>10</v>
      </c>
      <c r="AD21" s="262">
        <f>IF('MD-ratios'!AM24&gt;'MD-ratios'!$AC24,10,10*LOG(1+('MD-ratios'!$U24-1)*('MD-ratios'!AM24-'MD-ratios'!$Y24)/('MD-ratios'!$AC24-'MD-ratios'!$Y24))/LOG('MD-ratios'!$U24))</f>
        <v>10</v>
      </c>
      <c r="AE21" s="262">
        <f>IF('MD-ratios'!AN24&gt;'MD-ratios'!$AC24,10,10*LOG(1+('MD-ratios'!$U24-1)*('MD-ratios'!AN24-'MD-ratios'!$Y24)/('MD-ratios'!$AC24-'MD-ratios'!$Y24))/LOG('MD-ratios'!$U24))</f>
        <v>10</v>
      </c>
      <c r="AF21" s="262">
        <f>IF('MD-ratios'!AO24&gt;'MD-ratios'!$AC24,10,10*LOG(1+('MD-ratios'!$U24-1)*('MD-ratios'!AO24-'MD-ratios'!$Y24)/('MD-ratios'!$AC24-'MD-ratios'!$Y24))/LOG('MD-ratios'!$U24))</f>
        <v>3.2700982777133509</v>
      </c>
      <c r="AG21" s="262">
        <f>IF('MD-ratios'!AP24&gt;'MD-ratios'!$AC24,10,10*LOG(1+('MD-ratios'!$U24-1)*('MD-ratios'!AP24-'MD-ratios'!$Y24)/('MD-ratios'!$AC24-'MD-ratios'!$Y24))/LOG('MD-ratios'!$U24))</f>
        <v>5.309872127183203</v>
      </c>
      <c r="AH21" s="262">
        <f>IF('MD-ratios'!AQ24&gt;'MD-ratios'!$AC24,10,10*LOG(1+('MD-ratios'!$U24-1)*('MD-ratios'!AQ24-'MD-ratios'!$Y24)/('MD-ratios'!$AC24-'MD-ratios'!$Y24))/LOG('MD-ratios'!$U24))</f>
        <v>9.1109895678764961</v>
      </c>
      <c r="AI21" s="262">
        <f>IF('MD-ratios'!AR24&gt;'MD-ratios'!$AC24,10,10*LOG(1+('MD-ratios'!$U24-1)*('MD-ratios'!AR24-'MD-ratios'!$Y24)/('MD-ratios'!$AC24-'MD-ratios'!$Y24))/LOG('MD-ratios'!$U24))</f>
        <v>6.9558396453655025</v>
      </c>
      <c r="AJ21" s="262">
        <f>IF('MD-ratios'!AS24&gt;'MD-ratios'!$AC24,10,10*LOG(1+('MD-ratios'!$U24-1)*('MD-ratios'!AS24-'MD-ratios'!$Y24)/('MD-ratios'!$AC24-'MD-ratios'!$Y24))/LOG('MD-ratios'!$U24))</f>
        <v>5.2372511971044053</v>
      </c>
      <c r="AK21" s="262">
        <f>IF('MD-ratios'!AT24&gt;'MD-ratios'!$AC24,10,10*LOG(1+('MD-ratios'!$U24-1)*('MD-ratios'!AT24-'MD-ratios'!$Y24)/('MD-ratios'!$AC24-'MD-ratios'!$Y24))/LOG('MD-ratios'!$U24))</f>
        <v>3.2371732140178509</v>
      </c>
      <c r="AL21" s="262">
        <f>IF('MD-ratios'!AU24&gt;'MD-ratios'!$AC24,10,10*LOG(1+('MD-ratios'!$U24-1)*('MD-ratios'!AU24-'MD-ratios'!$Y24)/('MD-ratios'!$AC24-'MD-ratios'!$Y24))/LOG('MD-ratios'!$U24))</f>
        <v>6.5628710429507331</v>
      </c>
      <c r="AM21" s="262">
        <f>IF('MD-ratios'!AV24&gt;'MD-ratios'!$AC24,10,10*LOG(1+('MD-ratios'!$U24-1)*('MD-ratios'!AV24-'MD-ratios'!$Y24)/('MD-ratios'!$AC24-'MD-ratios'!$Y24))/LOG('MD-ratios'!$U24))</f>
        <v>6.6125443574559544</v>
      </c>
      <c r="AN21" s="262">
        <f>IF('MD-ratios'!AW24&gt;'MD-ratios'!$AC24,10,10*LOG(1+('MD-ratios'!$U24-1)*('MD-ratios'!AW24-'MD-ratios'!$Y24)/('MD-ratios'!$AC24-'MD-ratios'!$Y24))/LOG('MD-ratios'!$U24))</f>
        <v>1.884105704342965</v>
      </c>
      <c r="AO21" s="262">
        <f>IF('MD-ratios'!AX24&gt;'MD-ratios'!$AC24,10,10*LOG(1+('MD-ratios'!$U24-1)*('MD-ratios'!AX24-'MD-ratios'!$Y24)/('MD-ratios'!$AC24-'MD-ratios'!$Y24))/LOG('MD-ratios'!$U24))</f>
        <v>6.9942366196154939</v>
      </c>
      <c r="AP21" s="262">
        <f>IF('MD-ratios'!AY24&gt;'MD-ratios'!$AC24,10,10*LOG(1+('MD-ratios'!$U24-1)*('MD-ratios'!AY24-'MD-ratios'!$Y24)/('MD-ratios'!$AC24-'MD-ratios'!$Y24))/LOG('MD-ratios'!$U24))</f>
        <v>4.6165393208065986</v>
      </c>
      <c r="AQ21" s="262">
        <f>IF('MD-ratios'!AZ24&gt;'MD-ratios'!$AC24,10,10*LOG(1+('MD-ratios'!$U24-1)*('MD-ratios'!AZ24-'MD-ratios'!$Y24)/('MD-ratios'!$AC24-'MD-ratios'!$Y24))/LOG('MD-ratios'!$U24))</f>
        <v>4.4642543137108879</v>
      </c>
      <c r="AR21" s="262">
        <f>IF('MD-ratios'!BA24&gt;'MD-ratios'!$AC24,10,10*LOG(1+('MD-ratios'!$U24-1)*('MD-ratios'!BA24-'MD-ratios'!$Y24)/('MD-ratios'!$AC24-'MD-ratios'!$Y24))/LOG('MD-ratios'!$U24))</f>
        <v>10</v>
      </c>
      <c r="AS21" s="262">
        <f>IF('MD-ratios'!BB24&gt;'MD-ratios'!$AC24,10,10*LOG(1+('MD-ratios'!$U24-1)*('MD-ratios'!BB24-'MD-ratios'!$Y24)/('MD-ratios'!$AC24-'MD-ratios'!$Y24))/LOG('MD-ratios'!$U24))</f>
        <v>1.7409399440719115</v>
      </c>
      <c r="AT21" s="262">
        <f>IF('MD-ratios'!BC24&gt;'MD-ratios'!$AC24,10,10*LOG(1+('MD-ratios'!$U24-1)*('MD-ratios'!BC24-'MD-ratios'!$Y24)/('MD-ratios'!$AC24-'MD-ratios'!$Y24))/LOG('MD-ratios'!$U24))</f>
        <v>3.4498843236387526</v>
      </c>
      <c r="AU21" s="262">
        <f>IF('MD-ratios'!BD24&gt;'MD-ratios'!$AC24,10,10*LOG(1+('MD-ratios'!$U24-1)*('MD-ratios'!BD24-'MD-ratios'!$Y24)/('MD-ratios'!$AC24-'MD-ratios'!$Y24))/LOG('MD-ratios'!$U24))</f>
        <v>2.1680292496185611</v>
      </c>
      <c r="AV21" s="262">
        <f>IF('MD-ratios'!BE24&gt;'MD-ratios'!$AC24,10,10*LOG(1+('MD-ratios'!$U24-1)*('MD-ratios'!BE24-'MD-ratios'!$Y24)/('MD-ratios'!$AC24-'MD-ratios'!$Y24))/LOG('MD-ratios'!$U24))</f>
        <v>3.7758125400952558</v>
      </c>
      <c r="AW21" s="262">
        <f>IF('MD-ratios'!BF24&gt;'MD-ratios'!$AC24,10,10*LOG(1+('MD-ratios'!$U24-1)*('MD-ratios'!BF24-'MD-ratios'!$Y24)/('MD-ratios'!$AC24-'MD-ratios'!$Y24))/LOG('MD-ratios'!$U24))</f>
        <v>5.2177164436754273</v>
      </c>
      <c r="AX21" s="262">
        <f>IF('MD-ratios'!BG24&gt;'MD-ratios'!$AC24,10,10*LOG(1+('MD-ratios'!$U24-1)*('MD-ratios'!BG24-'MD-ratios'!$Y24)/('MD-ratios'!$AC24-'MD-ratios'!$Y24))/LOG('MD-ratios'!$U24))</f>
        <v>3.7321073576387325</v>
      </c>
      <c r="AY21" s="262">
        <f>IF('MD-ratios'!BH24&gt;'MD-ratios'!$AC24,10,10*LOG(1+('MD-ratios'!$U24-1)*('MD-ratios'!BH24-'MD-ratios'!$Y24)/('MD-ratios'!$AC24-'MD-ratios'!$Y24))/LOG('MD-ratios'!$U24))</f>
        <v>1.451707982263837</v>
      </c>
      <c r="AZ21" s="262">
        <f>IF('MD-ratios'!BI24&gt;'MD-ratios'!$AC24,10,10*LOG(1+('MD-ratios'!$U24-1)*('MD-ratios'!BI24-'MD-ratios'!$Y24)/('MD-ratios'!$AC24-'MD-ratios'!$Y24))/LOG('MD-ratios'!$U24))</f>
        <v>5.7060029742151723</v>
      </c>
      <c r="BA21" s="262">
        <f>IF('MD-ratios'!BJ24&gt;'MD-ratios'!$AC24,10,10*LOG(1+('MD-ratios'!$U24-1)*('MD-ratios'!BJ24-'MD-ratios'!$Y24)/('MD-ratios'!$AC24-'MD-ratios'!$Y24))/LOG('MD-ratios'!$U24))</f>
        <v>9.7715785713389636</v>
      </c>
      <c r="BB21" s="262">
        <f>IF('MD-ratios'!BK24&gt;'MD-ratios'!$AC24,10,10*LOG(1+('MD-ratios'!$U24-1)*('MD-ratios'!BK24-'MD-ratios'!$Y24)/('MD-ratios'!$AC24-'MD-ratios'!$Y24))/LOG('MD-ratios'!$U24))</f>
        <v>2.0332287398498674</v>
      </c>
      <c r="BC21" s="262">
        <f>IF('MD-ratios'!BL24&gt;'MD-ratios'!$AC24,10,10*LOG(1+('MD-ratios'!$U24-1)*('MD-ratios'!BL24-'MD-ratios'!$Y24)/('MD-ratios'!$AC24-'MD-ratios'!$Y24))/LOG('MD-ratios'!$U24))</f>
        <v>8.8698604371128589</v>
      </c>
      <c r="BD21" s="262">
        <f>IF('MD-ratios'!BM24&gt;'MD-ratios'!$AC24,10,10*LOG(1+('MD-ratios'!$U24-1)*('MD-ratios'!BM24-'MD-ratios'!$Y24)/('MD-ratios'!$AC24-'MD-ratios'!$Y24))/LOG('MD-ratios'!$U24))</f>
        <v>8.1078000983796006</v>
      </c>
      <c r="BE21" s="262">
        <f>IF('MD-ratios'!BN24&gt;'MD-ratios'!$AC24,10,10*LOG(1+('MD-ratios'!$U24-1)*('MD-ratios'!BN24-'MD-ratios'!$Y24)/('MD-ratios'!$AC24-'MD-ratios'!$Y24))/LOG('MD-ratios'!$U24))</f>
        <v>1.7202111712124473</v>
      </c>
      <c r="BF21" s="262">
        <f>IF('MD-ratios'!BO24&gt;'MD-ratios'!$AC24,10,10*LOG(1+('MD-ratios'!$U24-1)*('MD-ratios'!BO24-'MD-ratios'!$Y24)/('MD-ratios'!$AC24-'MD-ratios'!$Y24))/LOG('MD-ratios'!$U24))</f>
        <v>9.1882480513538134</v>
      </c>
      <c r="BG21" s="262">
        <f>IF('MD-ratios'!BP24&gt;'MD-ratios'!$AC24,10,10*LOG(1+('MD-ratios'!$U24-1)*('MD-ratios'!BP24-'MD-ratios'!$Y24)/('MD-ratios'!$AC24-'MD-ratios'!$Y24))/LOG('MD-ratios'!$U24))</f>
        <v>10</v>
      </c>
      <c r="BH21" s="262">
        <f>IF('MD-ratios'!BQ24&gt;'MD-ratios'!$AC24,10,10*LOG(1+('MD-ratios'!$U24-1)*('MD-ratios'!BQ24-'MD-ratios'!$Y24)/('MD-ratios'!$AC24-'MD-ratios'!$Y24))/LOG('MD-ratios'!$U24))</f>
        <v>10</v>
      </c>
      <c r="BI21" s="262">
        <f>IF('MD-ratios'!BR24&gt;'MD-ratios'!$AC24,10,10*LOG(1+('MD-ratios'!$U24-1)*('MD-ratios'!BR24-'MD-ratios'!$Y24)/('MD-ratios'!$AC24-'MD-ratios'!$Y24))/LOG('MD-ratios'!$U24))</f>
        <v>1.4309479147373181</v>
      </c>
      <c r="BJ21" s="262">
        <f>IF('MD-ratios'!BS24&gt;'MD-ratios'!$AC24,10,10*LOG(1+('MD-ratios'!$U24-1)*('MD-ratios'!BS24-'MD-ratios'!$Y24)/('MD-ratios'!$AC24-'MD-ratios'!$Y24))/LOG('MD-ratios'!$U24))</f>
        <v>10</v>
      </c>
      <c r="BK21" s="262">
        <f>IF('MD-ratios'!BT24&gt;'MD-ratios'!$AC24,10,10*LOG(1+('MD-ratios'!$U24-1)*('MD-ratios'!BT24-'MD-ratios'!$Y24)/('MD-ratios'!$AC24-'MD-ratios'!$Y24))/LOG('MD-ratios'!$U24))</f>
        <v>10</v>
      </c>
      <c r="BL21" s="262">
        <f>IF('MD-ratios'!BU24&gt;'MD-ratios'!$AC24,10,10*LOG(1+('MD-ratios'!$U24-1)*('MD-ratios'!BU24-'MD-ratios'!$Y24)/('MD-ratios'!$AC24-'MD-ratios'!$Y24))/LOG('MD-ratios'!$U24))</f>
        <v>4.8205890477267914</v>
      </c>
      <c r="BM21" s="262">
        <f>IF('MD-ratios'!BV24&gt;'MD-ratios'!$AC24,10,10*LOG(1+('MD-ratios'!$U24-1)*('MD-ratios'!BV24-'MD-ratios'!$Y24)/('MD-ratios'!$AC24-'MD-ratios'!$Y24))/LOG('MD-ratios'!$U24))</f>
        <v>4.1838558412780715</v>
      </c>
      <c r="BN21" s="262">
        <f>IF('MD-ratios'!BW24&gt;'MD-ratios'!$AC24,10,10*LOG(1+('MD-ratios'!$U24-1)*('MD-ratios'!BW24-'MD-ratios'!$Y24)/('MD-ratios'!$AC24-'MD-ratios'!$Y24))/LOG('MD-ratios'!$U24))</f>
        <v>8.4387806912128447</v>
      </c>
      <c r="BO21" s="262">
        <f>IF('MD-ratios'!BX24&gt;'MD-ratios'!$AC24,10,10*LOG(1+('MD-ratios'!$U24-1)*('MD-ratios'!BX24-'MD-ratios'!$Y24)/('MD-ratios'!$AC24-'MD-ratios'!$Y24))/LOG('MD-ratios'!$U24))</f>
        <v>4.2273704238835572</v>
      </c>
      <c r="BP21" s="262">
        <f>IF('MD-ratios'!BY24&gt;'MD-ratios'!$AC24,10,10*LOG(1+('MD-ratios'!$U24-1)*('MD-ratios'!BY24-'MD-ratios'!$Y24)/('MD-ratios'!$AC24-'MD-ratios'!$Y24))/LOG('MD-ratios'!$U24))</f>
        <v>3.9856345691270092</v>
      </c>
      <c r="BQ21" s="262">
        <f>IF('MD-ratios'!BZ24&gt;'MD-ratios'!$AC24,10,10*LOG(1+('MD-ratios'!$U24-1)*('MD-ratios'!BZ24-'MD-ratios'!$Y24)/('MD-ratios'!$AC24-'MD-ratios'!$Y24))/LOG('MD-ratios'!$U24))</f>
        <v>3.9861607652339242</v>
      </c>
      <c r="BR21" s="262">
        <f>IF('MD-ratios'!CA24&gt;'MD-ratios'!$AC24,10,10*LOG(1+('MD-ratios'!$U24-1)*('MD-ratios'!CA24-'MD-ratios'!$Y24)/('MD-ratios'!$AC24-'MD-ratios'!$Y24))/LOG('MD-ratios'!$U24))</f>
        <v>4.2030711240997238</v>
      </c>
      <c r="BS21" s="262">
        <f>IF('MD-ratios'!CB24&gt;'MD-ratios'!$AC24,10,10*LOG(1+('MD-ratios'!$U24-1)*('MD-ratios'!CB24-'MD-ratios'!$Y24)/('MD-ratios'!$AC24-'MD-ratios'!$Y24))/LOG('MD-ratios'!$U24))</f>
        <v>0.60128892380910937</v>
      </c>
      <c r="BT21" s="262">
        <f>IF('MD-ratios'!CC24&gt;'MD-ratios'!$AC24,10,10*LOG(1+('MD-ratios'!$U24-1)*('MD-ratios'!CC24-'MD-ratios'!$Y24)/('MD-ratios'!$AC24-'MD-ratios'!$Y24))/LOG('MD-ratios'!$U24))</f>
        <v>5.006209385865982</v>
      </c>
    </row>
    <row r="22" spans="1:72" s="243" customFormat="1" ht="26.25" thickBot="1" x14ac:dyDescent="0.3">
      <c r="A22" s="640"/>
      <c r="B22" s="634"/>
      <c r="C22" s="240">
        <f t="shared" ref="C22:E23" si="55">C5</f>
        <v>8.3333333333333329E-2</v>
      </c>
      <c r="D22" s="234" t="str">
        <f t="shared" si="55"/>
        <v>Quick Asset Ratio</v>
      </c>
      <c r="E22" s="225" t="str">
        <f t="shared" si="55"/>
        <v>Cash + Marketable Securities + Accounts Receivable) ÷ Current Liabilities</v>
      </c>
      <c r="F22" s="279">
        <f t="shared" ref="F22:I22" si="56">F5</f>
        <v>1</v>
      </c>
      <c r="G22" s="279">
        <f t="shared" si="56"/>
        <v>2</v>
      </c>
      <c r="H22" s="279">
        <f t="shared" si="56"/>
        <v>3</v>
      </c>
      <c r="I22" s="279">
        <f t="shared" si="56"/>
        <v>4</v>
      </c>
      <c r="K22" s="597" t="s">
        <v>386</v>
      </c>
      <c r="L22" s="243" t="s">
        <v>388</v>
      </c>
      <c r="N22" s="653"/>
      <c r="P22" s="258">
        <f>'MD-ratios'!Y25</f>
        <v>0</v>
      </c>
      <c r="Q22" s="568">
        <f>'MD-ratios'!Z25</f>
        <v>0.51052771991818313</v>
      </c>
      <c r="R22" s="568">
        <f>'MD-ratios'!AA25</f>
        <v>1.2132572801322747</v>
      </c>
      <c r="S22" s="568">
        <f>'MD-ratios'!AB25</f>
        <v>2.8832777738882931</v>
      </c>
      <c r="T22" s="258">
        <f>'MD-ratios'!AC25</f>
        <v>10.352387055368238</v>
      </c>
      <c r="V22" s="252"/>
      <c r="W22" s="242">
        <f>IF('MD-ratios'!AF25&gt;'MD-ratios'!$AC25,10,10*LOG(1+('MD-ratios'!$U25-1)*('MD-ratios'!AF25-'MD-ratios'!$Y25)/('MD-ratios'!$AC25-'MD-ratios'!$Y25))/LOG('MD-ratios'!$U25))</f>
        <v>6.7171032133062711</v>
      </c>
      <c r="X22" s="242">
        <f>IF('MD-ratios'!AG25&gt;'MD-ratios'!$AC25,10,10*LOG(1+('MD-ratios'!$U25-1)*('MD-ratios'!AG25-'MD-ratios'!$Y25)/('MD-ratios'!$AC25-'MD-ratios'!$Y25))/LOG('MD-ratios'!$U25))</f>
        <v>2.3107374009620161</v>
      </c>
      <c r="Y22" s="242">
        <f>IF('MD-ratios'!AH25&gt;'MD-ratios'!$AC25,10,10*LOG(1+('MD-ratios'!$U25-1)*('MD-ratios'!AH25-'MD-ratios'!$Y25)/('MD-ratios'!$AC25-'MD-ratios'!$Y25))/LOG('MD-ratios'!$U25))</f>
        <v>8.8438266200481088</v>
      </c>
      <c r="Z22" s="242">
        <f>IF('MD-ratios'!AI25&gt;'MD-ratios'!$AC25,10,10*LOG(1+('MD-ratios'!$U25-1)*('MD-ratios'!AI25-'MD-ratios'!$Y25)/('MD-ratios'!$AC25-'MD-ratios'!$Y25))/LOG('MD-ratios'!$U25))</f>
        <v>6.4636110931591801</v>
      </c>
      <c r="AA22" s="242">
        <f>IF('MD-ratios'!AJ25&gt;'MD-ratios'!$AC25,10,10*LOG(1+('MD-ratios'!$U25-1)*('MD-ratios'!AJ25-'MD-ratios'!$Y25)/('MD-ratios'!$AC25-'MD-ratios'!$Y25))/LOG('MD-ratios'!$U25))</f>
        <v>0.13986545094493227</v>
      </c>
      <c r="AB22" s="242">
        <f>IF('MD-ratios'!AK25&gt;'MD-ratios'!$AC25,10,10*LOG(1+('MD-ratios'!$U25-1)*('MD-ratios'!AK25-'MD-ratios'!$Y25)/('MD-ratios'!$AC25-'MD-ratios'!$Y25))/LOG('MD-ratios'!$U25))</f>
        <v>0.38044862848433558</v>
      </c>
      <c r="AC22" s="242">
        <f>IF('MD-ratios'!AL25&gt;'MD-ratios'!$AC25,10,10*LOG(1+('MD-ratios'!$U25-1)*('MD-ratios'!AL25-'MD-ratios'!$Y25)/('MD-ratios'!$AC25-'MD-ratios'!$Y25))/LOG('MD-ratios'!$U25))</f>
        <v>5.6818373603989754</v>
      </c>
      <c r="AD22" s="242">
        <f>IF('MD-ratios'!AM25&gt;'MD-ratios'!$AC25,10,10*LOG(1+('MD-ratios'!$U25-1)*('MD-ratios'!AM25-'MD-ratios'!$Y25)/('MD-ratios'!$AC25-'MD-ratios'!$Y25))/LOG('MD-ratios'!$U25))</f>
        <v>6.9559173783263368</v>
      </c>
      <c r="AE22" s="242">
        <f>IF('MD-ratios'!AN25&gt;'MD-ratios'!$AC25,10,10*LOG(1+('MD-ratios'!$U25-1)*('MD-ratios'!AN25-'MD-ratios'!$Y25)/('MD-ratios'!$AC25-'MD-ratios'!$Y25))/LOG('MD-ratios'!$U25))</f>
        <v>8.9805861203521218</v>
      </c>
      <c r="AF22" s="242">
        <f>IF('MD-ratios'!AO25&gt;'MD-ratios'!$AC25,10,10*LOG(1+('MD-ratios'!$U25-1)*('MD-ratios'!AO25-'MD-ratios'!$Y25)/('MD-ratios'!$AC25-'MD-ratios'!$Y25))/LOG('MD-ratios'!$U25))</f>
        <v>0.63942258231262517</v>
      </c>
      <c r="AG22" s="242">
        <f>IF('MD-ratios'!AP25&gt;'MD-ratios'!$AC25,10,10*LOG(1+('MD-ratios'!$U25-1)*('MD-ratios'!AP25-'MD-ratios'!$Y25)/('MD-ratios'!$AC25-'MD-ratios'!$Y25))/LOG('MD-ratios'!$U25))</f>
        <v>5.4473132414438918</v>
      </c>
      <c r="AH22" s="242">
        <f>IF('MD-ratios'!AQ25&gt;'MD-ratios'!$AC25,10,10*LOG(1+('MD-ratios'!$U25-1)*('MD-ratios'!AQ25-'MD-ratios'!$Y25)/('MD-ratios'!$AC25-'MD-ratios'!$Y25))/LOG('MD-ratios'!$U25))</f>
        <v>8.6927311328194836</v>
      </c>
      <c r="AI22" s="242">
        <f>IF('MD-ratios'!AR25&gt;'MD-ratios'!$AC25,10,10*LOG(1+('MD-ratios'!$U25-1)*('MD-ratios'!AR25-'MD-ratios'!$Y25)/('MD-ratios'!$AC25-'MD-ratios'!$Y25))/LOG('MD-ratios'!$U25))</f>
        <v>6.2602837458620773</v>
      </c>
      <c r="AJ22" s="242">
        <f>IF('MD-ratios'!AS25&gt;'MD-ratios'!$AC25,10,10*LOG(1+('MD-ratios'!$U25-1)*('MD-ratios'!AS25-'MD-ratios'!$Y25)/('MD-ratios'!$AC25-'MD-ratios'!$Y25))/LOG('MD-ratios'!$U25))</f>
        <v>4.7433693759614446</v>
      </c>
      <c r="AK22" s="242">
        <f>IF('MD-ratios'!AT25&gt;'MD-ratios'!$AC25,10,10*LOG(1+('MD-ratios'!$U25-1)*('MD-ratios'!AT25-'MD-ratios'!$Y25)/('MD-ratios'!$AC25-'MD-ratios'!$Y25))/LOG('MD-ratios'!$U25))</f>
        <v>2.207760854887213</v>
      </c>
      <c r="AL22" s="242">
        <f>IF('MD-ratios'!AU25&gt;'MD-ratios'!$AC25,10,10*LOG(1+('MD-ratios'!$U25-1)*('MD-ratios'!AU25-'MD-ratios'!$Y25)/('MD-ratios'!$AC25-'MD-ratios'!$Y25))/LOG('MD-ratios'!$U25))</f>
        <v>5.8250855998877</v>
      </c>
      <c r="AM22" s="242">
        <f>IF('MD-ratios'!AV25&gt;'MD-ratios'!$AC25,10,10*LOG(1+('MD-ratios'!$U25-1)*('MD-ratios'!AV25-'MD-ratios'!$Y25)/('MD-ratios'!$AC25-'MD-ratios'!$Y25))/LOG('MD-ratios'!$U25))</f>
        <v>5.5034478204061372</v>
      </c>
      <c r="AN22" s="242">
        <f>IF('MD-ratios'!AW25&gt;'MD-ratios'!$AC25,10,10*LOG(1+('MD-ratios'!$U25-1)*('MD-ratios'!AW25-'MD-ratios'!$Y25)/('MD-ratios'!$AC25-'MD-ratios'!$Y25))/LOG('MD-ratios'!$U25))</f>
        <v>1.4415673227676591</v>
      </c>
      <c r="AO22" s="242">
        <f>IF('MD-ratios'!AX25&gt;'MD-ratios'!$AC25,10,10*LOG(1+('MD-ratios'!$U25-1)*('MD-ratios'!AX25-'MD-ratios'!$Y25)/('MD-ratios'!$AC25-'MD-ratios'!$Y25))/LOG('MD-ratios'!$U25))</f>
        <v>6.8156958613569838</v>
      </c>
      <c r="AP22" s="242">
        <f>IF('MD-ratios'!AY25&gt;'MD-ratios'!$AC25,10,10*LOG(1+('MD-ratios'!$U25-1)*('MD-ratios'!AY25-'MD-ratios'!$Y25)/('MD-ratios'!$AC25-'MD-ratios'!$Y25))/LOG('MD-ratios'!$U25))</f>
        <v>4.41697379232368</v>
      </c>
      <c r="AQ22" s="242">
        <f>IF('MD-ratios'!AZ25&gt;'MD-ratios'!$AC25,10,10*LOG(1+('MD-ratios'!$U25-1)*('MD-ratios'!AZ25-'MD-ratios'!$Y25)/('MD-ratios'!$AC25-'MD-ratios'!$Y25))/LOG('MD-ratios'!$U25))</f>
        <v>3.6102239075372591</v>
      </c>
      <c r="AR22" s="242">
        <f>IF('MD-ratios'!BA25&gt;'MD-ratios'!$AC25,10,10*LOG(1+('MD-ratios'!$U25-1)*('MD-ratios'!BA25-'MD-ratios'!$Y25)/('MD-ratios'!$AC25-'MD-ratios'!$Y25))/LOG('MD-ratios'!$U25))</f>
        <v>10</v>
      </c>
      <c r="AS22" s="242">
        <f>IF('MD-ratios'!BB25&gt;'MD-ratios'!$AC25,10,10*LOG(1+('MD-ratios'!$U25-1)*('MD-ratios'!BB25-'MD-ratios'!$Y25)/('MD-ratios'!$AC25-'MD-ratios'!$Y25))/LOG('MD-ratios'!$U25))</f>
        <v>0.73973654120466503</v>
      </c>
      <c r="AT22" s="242">
        <f>IF('MD-ratios'!BC25&gt;'MD-ratios'!$AC25,10,10*LOG(1+('MD-ratios'!$U25-1)*('MD-ratios'!BC25-'MD-ratios'!$Y25)/('MD-ratios'!$AC25-'MD-ratios'!$Y25))/LOG('MD-ratios'!$U25))</f>
        <v>2.846505614849034</v>
      </c>
      <c r="AU22" s="242">
        <f>IF('MD-ratios'!BD25&gt;'MD-ratios'!$AC25,10,10*LOG(1+('MD-ratios'!$U25-1)*('MD-ratios'!BD25-'MD-ratios'!$Y25)/('MD-ratios'!$AC25-'MD-ratios'!$Y25))/LOG('MD-ratios'!$U25))</f>
        <v>2.0221572467039444</v>
      </c>
      <c r="AV22" s="242">
        <f>IF('MD-ratios'!BE25&gt;'MD-ratios'!$AC25,10,10*LOG(1+('MD-ratios'!$U25-1)*('MD-ratios'!BE25-'MD-ratios'!$Y25)/('MD-ratios'!$AC25-'MD-ratios'!$Y25))/LOG('MD-ratios'!$U25))</f>
        <v>3.9023264203556054</v>
      </c>
      <c r="AW22" s="242">
        <f>IF('MD-ratios'!BF25&gt;'MD-ratios'!$AC25,10,10*LOG(1+('MD-ratios'!$U25-1)*('MD-ratios'!BF25-'MD-ratios'!$Y25)/('MD-ratios'!$AC25-'MD-ratios'!$Y25))/LOG('MD-ratios'!$U25))</f>
        <v>3.7913263710463792</v>
      </c>
      <c r="AX22" s="242">
        <f>IF('MD-ratios'!BG25&gt;'MD-ratios'!$AC25,10,10*LOG(1+('MD-ratios'!$U25-1)*('MD-ratios'!BG25-'MD-ratios'!$Y25)/('MD-ratios'!$AC25-'MD-ratios'!$Y25))/LOG('MD-ratios'!$U25))</f>
        <v>3.0350007273800941</v>
      </c>
      <c r="AY22" s="242">
        <f>IF('MD-ratios'!BH25&gt;'MD-ratios'!$AC25,10,10*LOG(1+('MD-ratios'!$U25-1)*('MD-ratios'!BH25-'MD-ratios'!$Y25)/('MD-ratios'!$AC25-'MD-ratios'!$Y25))/LOG('MD-ratios'!$U25))</f>
        <v>0.79311183994398871</v>
      </c>
      <c r="AZ22" s="242">
        <f>IF('MD-ratios'!BI25&gt;'MD-ratios'!$AC25,10,10*LOG(1+('MD-ratios'!$U25-1)*('MD-ratios'!BI25-'MD-ratios'!$Y25)/('MD-ratios'!$AC25-'MD-ratios'!$Y25))/LOG('MD-ratios'!$U25))</f>
        <v>4.4467734223200628</v>
      </c>
      <c r="BA22" s="242">
        <f>IF('MD-ratios'!BJ25&gt;'MD-ratios'!$AC25,10,10*LOG(1+('MD-ratios'!$U25-1)*('MD-ratios'!BJ25-'MD-ratios'!$Y25)/('MD-ratios'!$AC25-'MD-ratios'!$Y25))/LOG('MD-ratios'!$U25))</f>
        <v>8.2602352523136346</v>
      </c>
      <c r="BB22" s="242">
        <f>IF('MD-ratios'!BK25&gt;'MD-ratios'!$AC25,10,10*LOG(1+('MD-ratios'!$U25-1)*('MD-ratios'!BK25-'MD-ratios'!$Y25)/('MD-ratios'!$AC25-'MD-ratios'!$Y25))/LOG('MD-ratios'!$U25))</f>
        <v>0.72203977462554725</v>
      </c>
      <c r="BC22" s="242">
        <f>IF('MD-ratios'!BL25&gt;'MD-ratios'!$AC25,10,10*LOG(1+('MD-ratios'!$U25-1)*('MD-ratios'!BL25-'MD-ratios'!$Y25)/('MD-ratios'!$AC25-'MD-ratios'!$Y25))/LOG('MD-ratios'!$U25))</f>
        <v>8.6712326913008724</v>
      </c>
      <c r="BD22" s="242">
        <f>IF('MD-ratios'!BM25&gt;'MD-ratios'!$AC25,10,10*LOG(1+('MD-ratios'!$U25-1)*('MD-ratios'!BM25-'MD-ratios'!$Y25)/('MD-ratios'!$AC25-'MD-ratios'!$Y25))/LOG('MD-ratios'!$U25))</f>
        <v>8.2140504062539748</v>
      </c>
      <c r="BE22" s="242">
        <f>IF('MD-ratios'!BN25&gt;'MD-ratios'!$AC25,10,10*LOG(1+('MD-ratios'!$U25-1)*('MD-ratios'!BN25-'MD-ratios'!$Y25)/('MD-ratios'!$AC25-'MD-ratios'!$Y25))/LOG('MD-ratios'!$U25))</f>
        <v>0.7237634284625033</v>
      </c>
      <c r="BF22" s="242">
        <f>IF('MD-ratios'!BO25&gt;'MD-ratios'!$AC25,10,10*LOG(1+('MD-ratios'!$U25-1)*('MD-ratios'!BO25-'MD-ratios'!$Y25)/('MD-ratios'!$AC25-'MD-ratios'!$Y25))/LOG('MD-ratios'!$U25))</f>
        <v>7.9394262681881953</v>
      </c>
      <c r="BG22" s="242">
        <f>IF('MD-ratios'!BP25&gt;'MD-ratios'!$AC25,10,10*LOG(1+('MD-ratios'!$U25-1)*('MD-ratios'!BP25-'MD-ratios'!$Y25)/('MD-ratios'!$AC25-'MD-ratios'!$Y25))/LOG('MD-ratios'!$U25))</f>
        <v>10</v>
      </c>
      <c r="BH22" s="242">
        <f>IF('MD-ratios'!BQ25&gt;'MD-ratios'!$AC25,10,10*LOG(1+('MD-ratios'!$U25-1)*('MD-ratios'!BQ25-'MD-ratios'!$Y25)/('MD-ratios'!$AC25-'MD-ratios'!$Y25))/LOG('MD-ratios'!$U25))</f>
        <v>10</v>
      </c>
      <c r="BI22" s="242">
        <f>IF('MD-ratios'!BR25&gt;'MD-ratios'!$AC25,10,10*LOG(1+('MD-ratios'!$U25-1)*('MD-ratios'!BR25-'MD-ratios'!$Y25)/('MD-ratios'!$AC25-'MD-ratios'!$Y25))/LOG('MD-ratios'!$U25))</f>
        <v>1.0929027510660443</v>
      </c>
      <c r="BJ22" s="242">
        <f>IF('MD-ratios'!BS25&gt;'MD-ratios'!$AC25,10,10*LOG(1+('MD-ratios'!$U25-1)*('MD-ratios'!BS25-'MD-ratios'!$Y25)/('MD-ratios'!$AC25-'MD-ratios'!$Y25))/LOG('MD-ratios'!$U25))</f>
        <v>6.3410282184978595</v>
      </c>
      <c r="BK22" s="242">
        <f>IF('MD-ratios'!BT25&gt;'MD-ratios'!$AC25,10,10*LOG(1+('MD-ratios'!$U25-1)*('MD-ratios'!BT25-'MD-ratios'!$Y25)/('MD-ratios'!$AC25-'MD-ratios'!$Y25))/LOG('MD-ratios'!$U25))</f>
        <v>10</v>
      </c>
      <c r="BL22" s="242">
        <f>IF('MD-ratios'!BU25&gt;'MD-ratios'!$AC25,10,10*LOG(1+('MD-ratios'!$U25-1)*('MD-ratios'!BU25-'MD-ratios'!$Y25)/('MD-ratios'!$AC25-'MD-ratios'!$Y25))/LOG('MD-ratios'!$U25))</f>
        <v>0.77283313862841652</v>
      </c>
      <c r="BM22" s="242">
        <f>IF('MD-ratios'!BV25&gt;'MD-ratios'!$AC25,10,10*LOG(1+('MD-ratios'!$U25-1)*('MD-ratios'!BV25-'MD-ratios'!$Y25)/('MD-ratios'!$AC25-'MD-ratios'!$Y25))/LOG('MD-ratios'!$U25))</f>
        <v>3.3610902056674319</v>
      </c>
      <c r="BN22" s="242">
        <f>IF('MD-ratios'!BW25&gt;'MD-ratios'!$AC25,10,10*LOG(1+('MD-ratios'!$U25-1)*('MD-ratios'!BW25-'MD-ratios'!$Y25)/('MD-ratios'!$AC25-'MD-ratios'!$Y25))/LOG('MD-ratios'!$U25))</f>
        <v>4.5615905357539086</v>
      </c>
      <c r="BO22" s="242">
        <f>IF('MD-ratios'!BX25&gt;'MD-ratios'!$AC25,10,10*LOG(1+('MD-ratios'!$U25-1)*('MD-ratios'!BX25-'MD-ratios'!$Y25)/('MD-ratios'!$AC25-'MD-ratios'!$Y25))/LOG('MD-ratios'!$U25))</f>
        <v>3.7937879244625363</v>
      </c>
      <c r="BP22" s="242">
        <f>IF('MD-ratios'!BY25&gt;'MD-ratios'!$AC25,10,10*LOG(1+('MD-ratios'!$U25-1)*('MD-ratios'!BY25-'MD-ratios'!$Y25)/('MD-ratios'!$AC25-'MD-ratios'!$Y25))/LOG('MD-ratios'!$U25))</f>
        <v>1.7417355006356032</v>
      </c>
      <c r="BQ22" s="242">
        <f>IF('MD-ratios'!BZ25&gt;'MD-ratios'!$AC25,10,10*LOG(1+('MD-ratios'!$U25-1)*('MD-ratios'!BZ25-'MD-ratios'!$Y25)/('MD-ratios'!$AC25-'MD-ratios'!$Y25))/LOG('MD-ratios'!$U25))</f>
        <v>1.1288073165975221</v>
      </c>
      <c r="BR22" s="242">
        <f>IF('MD-ratios'!CA25&gt;'MD-ratios'!$AC25,10,10*LOG(1+('MD-ratios'!$U25-1)*('MD-ratios'!CA25-'MD-ratios'!$Y25)/('MD-ratios'!$AC25-'MD-ratios'!$Y25))/LOG('MD-ratios'!$U25))</f>
        <v>3.0707892678288653</v>
      </c>
      <c r="BS22" s="242">
        <f>IF('MD-ratios'!CB25&gt;'MD-ratios'!$AC25,10,10*LOG(1+('MD-ratios'!$U25-1)*('MD-ratios'!CB25-'MD-ratios'!$Y25)/('MD-ratios'!$AC25-'MD-ratios'!$Y25))/LOG('MD-ratios'!$U25))</f>
        <v>4.1169115609716254E-4</v>
      </c>
      <c r="BT22" s="242">
        <f>IF('MD-ratios'!CC25&gt;'MD-ratios'!$AC25,10,10*LOG(1+('MD-ratios'!$U25-1)*('MD-ratios'!CC25-'MD-ratios'!$Y25)/('MD-ratios'!$AC25-'MD-ratios'!$Y25))/LOG('MD-ratios'!$U25))</f>
        <v>1.846370536387798</v>
      </c>
    </row>
    <row r="23" spans="1:72" s="243" customFormat="1" ht="15.75" thickBot="1" x14ac:dyDescent="0.3">
      <c r="A23" s="640"/>
      <c r="B23" s="634"/>
      <c r="C23" s="240">
        <f t="shared" si="55"/>
        <v>8.3333333333333329E-2</v>
      </c>
      <c r="D23" s="234" t="str">
        <f t="shared" si="55"/>
        <v>Cash Position Ratio</v>
      </c>
      <c r="E23" s="225" t="str">
        <f t="shared" si="55"/>
        <v>Cash ÷ Current Liabilities</v>
      </c>
      <c r="F23" s="279">
        <f t="shared" ref="F23:I23" si="57">F6</f>
        <v>1</v>
      </c>
      <c r="G23" s="279">
        <f t="shared" si="57"/>
        <v>2</v>
      </c>
      <c r="H23" s="279">
        <f t="shared" si="57"/>
        <v>3</v>
      </c>
      <c r="I23" s="279">
        <f t="shared" si="57"/>
        <v>4</v>
      </c>
      <c r="K23" s="597" t="s">
        <v>386</v>
      </c>
      <c r="L23" s="243" t="s">
        <v>388</v>
      </c>
      <c r="N23" s="653"/>
      <c r="P23" s="258">
        <f>'MD-ratios'!Y26</f>
        <v>0</v>
      </c>
      <c r="Q23" s="568">
        <f>'MD-ratios'!Z26</f>
        <v>0.15270896624519492</v>
      </c>
      <c r="R23" s="568">
        <f>'MD-ratios'!AA26</f>
        <v>0.5450961190967416</v>
      </c>
      <c r="S23" s="568">
        <f>'MD-ratios'!AB26</f>
        <v>1.9457258231795442</v>
      </c>
      <c r="T23" s="258">
        <f>'MD-ratios'!AC26</f>
        <v>9.0372450797684873</v>
      </c>
      <c r="V23" s="252"/>
      <c r="W23" s="242">
        <f>IF('MD-ratios'!AF26&gt;'MD-ratios'!$AC26,10,10*LOG(1+('MD-ratios'!$U26-1)*('MD-ratios'!AF26-'MD-ratios'!$Y26)/('MD-ratios'!$AC26-'MD-ratios'!$Y26))/LOG('MD-ratios'!$U26))</f>
        <v>1.5976819820321255</v>
      </c>
      <c r="X23" s="242">
        <f>IF('MD-ratios'!AG26&gt;'MD-ratios'!$AC26,10,10*LOG(1+('MD-ratios'!$U26-1)*('MD-ratios'!AG26-'MD-ratios'!$Y26)/('MD-ratios'!$AC26-'MD-ratios'!$Y26))/LOG('MD-ratios'!$U26))</f>
        <v>2.636285938070253</v>
      </c>
      <c r="Y23" s="242">
        <f>IF('MD-ratios'!AH26&gt;'MD-ratios'!$AC26,10,10*LOG(1+('MD-ratios'!$U26-1)*('MD-ratios'!AH26-'MD-ratios'!$Y26)/('MD-ratios'!$AC26-'MD-ratios'!$Y26))/LOG('MD-ratios'!$U26))</f>
        <v>2.5724975676226656</v>
      </c>
      <c r="Z23" s="242">
        <f>IF('MD-ratios'!AI26&gt;'MD-ratios'!$AC26,10,10*LOG(1+('MD-ratios'!$U26-1)*('MD-ratios'!AI26-'MD-ratios'!$Y26)/('MD-ratios'!$AC26-'MD-ratios'!$Y26))/LOG('MD-ratios'!$U26))</f>
        <v>6.5361629177637761</v>
      </c>
      <c r="AA23" s="242">
        <f>IF('MD-ratios'!AJ26&gt;'MD-ratios'!$AC26,10,10*LOG(1+('MD-ratios'!$U26-1)*('MD-ratios'!AJ26-'MD-ratios'!$Y26)/('MD-ratios'!$AC26-'MD-ratios'!$Y26))/LOG('MD-ratios'!$U26))</f>
        <v>8.7914611324124996E-4</v>
      </c>
      <c r="AB23" s="242">
        <f>IF('MD-ratios'!AK26&gt;'MD-ratios'!$AC26,10,10*LOG(1+('MD-ratios'!$U26-1)*('MD-ratios'!AK26-'MD-ratios'!$Y26)/('MD-ratios'!$AC26-'MD-ratios'!$Y26))/LOG('MD-ratios'!$U26))</f>
        <v>6.4119335453826129E-2</v>
      </c>
      <c r="AC23" s="242">
        <f>IF('MD-ratios'!AL26&gt;'MD-ratios'!$AC26,10,10*LOG(1+('MD-ratios'!$U26-1)*('MD-ratios'!AL26-'MD-ratios'!$Y26)/('MD-ratios'!$AC26-'MD-ratios'!$Y26))/LOG('MD-ratios'!$U26))</f>
        <v>5.9263990239475151</v>
      </c>
      <c r="AD23" s="242">
        <f>IF('MD-ratios'!AM26&gt;'MD-ratios'!$AC26,10,10*LOG(1+('MD-ratios'!$U26-1)*('MD-ratios'!AM26-'MD-ratios'!$Y26)/('MD-ratios'!$AC26-'MD-ratios'!$Y26))/LOG('MD-ratios'!$U26))</f>
        <v>6.4921748532524894</v>
      </c>
      <c r="AE23" s="242">
        <f>IF('MD-ratios'!AN26&gt;'MD-ratios'!$AC26,10,10*LOG(1+('MD-ratios'!$U26-1)*('MD-ratios'!AN26-'MD-ratios'!$Y26)/('MD-ratios'!$AC26-'MD-ratios'!$Y26))/LOG('MD-ratios'!$U26))</f>
        <v>9.412737266238798</v>
      </c>
      <c r="AF23" s="242">
        <f>IF('MD-ratios'!AO26&gt;'MD-ratios'!$AC26,10,10*LOG(1+('MD-ratios'!$U26-1)*('MD-ratios'!AO26-'MD-ratios'!$Y26)/('MD-ratios'!$AC26-'MD-ratios'!$Y26))/LOG('MD-ratios'!$U26))</f>
        <v>0.42035360879499079</v>
      </c>
      <c r="AG23" s="242">
        <f>IF('MD-ratios'!AP26&gt;'MD-ratios'!$AC26,10,10*LOG(1+('MD-ratios'!$U26-1)*('MD-ratios'!AP26-'MD-ratios'!$Y26)/('MD-ratios'!$AC26-'MD-ratios'!$Y26))/LOG('MD-ratios'!$U26))</f>
        <v>6.4373949329251658</v>
      </c>
      <c r="AH23" s="242">
        <f>IF('MD-ratios'!AQ26&gt;'MD-ratios'!$AC26,10,10*LOG(1+('MD-ratios'!$U26-1)*('MD-ratios'!AQ26-'MD-ratios'!$Y26)/('MD-ratios'!$AC26-'MD-ratios'!$Y26))/LOG('MD-ratios'!$U26))</f>
        <v>7.3545277435417811</v>
      </c>
      <c r="AI23" s="242">
        <f>IF('MD-ratios'!AR26&gt;'MD-ratios'!$AC26,10,10*LOG(1+('MD-ratios'!$U26-1)*('MD-ratios'!AR26-'MD-ratios'!$Y26)/('MD-ratios'!$AC26-'MD-ratios'!$Y26))/LOG('MD-ratios'!$U26))</f>
        <v>6.7121241302011558</v>
      </c>
      <c r="AJ23" s="242">
        <f>IF('MD-ratios'!AS26&gt;'MD-ratios'!$AC26,10,10*LOG(1+('MD-ratios'!$U26-1)*('MD-ratios'!AS26-'MD-ratios'!$Y26)/('MD-ratios'!$AC26-'MD-ratios'!$Y26))/LOG('MD-ratios'!$U26))</f>
        <v>4.1966629353154019</v>
      </c>
      <c r="AK23" s="242">
        <f>IF('MD-ratios'!AT26&gt;'MD-ratios'!$AC26,10,10*LOG(1+('MD-ratios'!$U26-1)*('MD-ratios'!AT26-'MD-ratios'!$Y26)/('MD-ratios'!$AC26-'MD-ratios'!$Y26))/LOG('MD-ratios'!$U26))</f>
        <v>2.6328130318550449</v>
      </c>
      <c r="AL23" s="242">
        <f>IF('MD-ratios'!AU26&gt;'MD-ratios'!$AC26,10,10*LOG(1+('MD-ratios'!$U26-1)*('MD-ratios'!AU26-'MD-ratios'!$Y26)/('MD-ratios'!$AC26-'MD-ratios'!$Y26))/LOG('MD-ratios'!$U26))</f>
        <v>5.8128970004862968</v>
      </c>
      <c r="AM23" s="242">
        <f>IF('MD-ratios'!AV26&gt;'MD-ratios'!$AC26,10,10*LOG(1+('MD-ratios'!$U26-1)*('MD-ratios'!AV26-'MD-ratios'!$Y26)/('MD-ratios'!$AC26-'MD-ratios'!$Y26))/LOG('MD-ratios'!$U26))</f>
        <v>4.6771033535474027</v>
      </c>
      <c r="AN23" s="242">
        <f>IF('MD-ratios'!AW26&gt;'MD-ratios'!$AC26,10,10*LOG(1+('MD-ratios'!$U26-1)*('MD-ratios'!AW26-'MD-ratios'!$Y26)/('MD-ratios'!$AC26-'MD-ratios'!$Y26))/LOG('MD-ratios'!$U26))</f>
        <v>2.1499657830658037</v>
      </c>
      <c r="AO23" s="242">
        <f>IF('MD-ratios'!AX26&gt;'MD-ratios'!$AC26,10,10*LOG(1+('MD-ratios'!$U26-1)*('MD-ratios'!AX26-'MD-ratios'!$Y26)/('MD-ratios'!$AC26-'MD-ratios'!$Y26))/LOG('MD-ratios'!$U26))</f>
        <v>4.5253800490502751</v>
      </c>
      <c r="AP23" s="242">
        <f>IF('MD-ratios'!AY26&gt;'MD-ratios'!$AC26,10,10*LOG(1+('MD-ratios'!$U26-1)*('MD-ratios'!AY26-'MD-ratios'!$Y26)/('MD-ratios'!$AC26-'MD-ratios'!$Y26))/LOG('MD-ratios'!$U26))</f>
        <v>5.5825572026248551</v>
      </c>
      <c r="AQ23" s="242">
        <f>IF('MD-ratios'!AZ26&gt;'MD-ratios'!$AC26,10,10*LOG(1+('MD-ratios'!$U26-1)*('MD-ratios'!AZ26-'MD-ratios'!$Y26)/('MD-ratios'!$AC26-'MD-ratios'!$Y26))/LOG('MD-ratios'!$U26))</f>
        <v>2.4736363622756348</v>
      </c>
      <c r="AR23" s="242">
        <f>IF('MD-ratios'!BA26&gt;'MD-ratios'!$AC26,10,10*LOG(1+('MD-ratios'!$U26-1)*('MD-ratios'!BA26-'MD-ratios'!$Y26)/('MD-ratios'!$AC26-'MD-ratios'!$Y26))/LOG('MD-ratios'!$U26))</f>
        <v>10</v>
      </c>
      <c r="AS23" s="242">
        <f>IF('MD-ratios'!BB26&gt;'MD-ratios'!$AC26,10,10*LOG(1+('MD-ratios'!$U26-1)*('MD-ratios'!BB26-'MD-ratios'!$Y26)/('MD-ratios'!$AC26-'MD-ratios'!$Y26))/LOG('MD-ratios'!$U26))</f>
        <v>4.0363807656059028E-2</v>
      </c>
      <c r="AT23" s="242">
        <f>IF('MD-ratios'!BC26&gt;'MD-ratios'!$AC26,10,10*LOG(1+('MD-ratios'!$U26-1)*('MD-ratios'!BC26-'MD-ratios'!$Y26)/('MD-ratios'!$AC26-'MD-ratios'!$Y26))/LOG('MD-ratios'!$U26))</f>
        <v>3.6840405653800095</v>
      </c>
      <c r="AU23" s="242">
        <f>IF('MD-ratios'!BD26&gt;'MD-ratios'!$AC26,10,10*LOG(1+('MD-ratios'!$U26-1)*('MD-ratios'!BD26-'MD-ratios'!$Y26)/('MD-ratios'!$AC26-'MD-ratios'!$Y26))/LOG('MD-ratios'!$U26))</f>
        <v>0.22380363919369567</v>
      </c>
      <c r="AV23" s="242">
        <f>IF('MD-ratios'!BE26&gt;'MD-ratios'!$AC26,10,10*LOG(1+('MD-ratios'!$U26-1)*('MD-ratios'!BE26-'MD-ratios'!$Y26)/('MD-ratios'!$AC26-'MD-ratios'!$Y26))/LOG('MD-ratios'!$U26))</f>
        <v>3.7680188254449454</v>
      </c>
      <c r="AW23" s="242">
        <f>IF('MD-ratios'!BF26&gt;'MD-ratios'!$AC26,10,10*LOG(1+('MD-ratios'!$U26-1)*('MD-ratios'!BF26-'MD-ratios'!$Y26)/('MD-ratios'!$AC26-'MD-ratios'!$Y26))/LOG('MD-ratios'!$U26))</f>
        <v>4.9981296195661988</v>
      </c>
      <c r="AX23" s="242">
        <f>IF('MD-ratios'!BG26&gt;'MD-ratios'!$AC26,10,10*LOG(1+('MD-ratios'!$U26-1)*('MD-ratios'!BG26-'MD-ratios'!$Y26)/('MD-ratios'!$AC26-'MD-ratios'!$Y26))/LOG('MD-ratios'!$U26))</f>
        <v>1.532325157979566</v>
      </c>
      <c r="AY23" s="242">
        <f>IF('MD-ratios'!BH26&gt;'MD-ratios'!$AC26,10,10*LOG(1+('MD-ratios'!$U26-1)*('MD-ratios'!BH26-'MD-ratios'!$Y26)/('MD-ratios'!$AC26-'MD-ratios'!$Y26))/LOG('MD-ratios'!$U26))</f>
        <v>1.4682320021386606</v>
      </c>
      <c r="AZ23" s="242">
        <f>IF('MD-ratios'!BI26&gt;'MD-ratios'!$AC26,10,10*LOG(1+('MD-ratios'!$U26-1)*('MD-ratios'!BI26-'MD-ratios'!$Y26)/('MD-ratios'!$AC26-'MD-ratios'!$Y26))/LOG('MD-ratios'!$U26))</f>
        <v>5.5539090622856033</v>
      </c>
      <c r="BA23" s="242">
        <f>IF('MD-ratios'!BJ26&gt;'MD-ratios'!$AC26,10,10*LOG(1+('MD-ratios'!$U26-1)*('MD-ratios'!BJ26-'MD-ratios'!$Y26)/('MD-ratios'!$AC26-'MD-ratios'!$Y26))/LOG('MD-ratios'!$U26))</f>
        <v>8.8814861554425253</v>
      </c>
      <c r="BB23" s="242">
        <f>IF('MD-ratios'!BK26&gt;'MD-ratios'!$AC26,10,10*LOG(1+('MD-ratios'!$U26-1)*('MD-ratios'!BK26-'MD-ratios'!$Y26)/('MD-ratios'!$AC26-'MD-ratios'!$Y26))/LOG('MD-ratios'!$U26))</f>
        <v>5.9194263581872186E-2</v>
      </c>
      <c r="BC23" s="242">
        <f>IF('MD-ratios'!BL26&gt;'MD-ratios'!$AC26,10,10*LOG(1+('MD-ratios'!$U26-1)*('MD-ratios'!BL26-'MD-ratios'!$Y26)/('MD-ratios'!$AC26-'MD-ratios'!$Y26))/LOG('MD-ratios'!$U26))</f>
        <v>9.2474843201961185</v>
      </c>
      <c r="BD23" s="242">
        <f>IF('MD-ratios'!BM26&gt;'MD-ratios'!$AC26,10,10*LOG(1+('MD-ratios'!$U26-1)*('MD-ratios'!BM26-'MD-ratios'!$Y26)/('MD-ratios'!$AC26-'MD-ratios'!$Y26))/LOG('MD-ratios'!$U26))</f>
        <v>8.6911722343643767</v>
      </c>
      <c r="BE23" s="242">
        <f>IF('MD-ratios'!BN26&gt;'MD-ratios'!$AC26,10,10*LOG(1+('MD-ratios'!$U26-1)*('MD-ratios'!BN26-'MD-ratios'!$Y26)/('MD-ratios'!$AC26-'MD-ratios'!$Y26))/LOG('MD-ratios'!$U26))</f>
        <v>0.62830943382465487</v>
      </c>
      <c r="BF23" s="242">
        <f>IF('MD-ratios'!BO26&gt;'MD-ratios'!$AC26,10,10*LOG(1+('MD-ratios'!$U26-1)*('MD-ratios'!BO26-'MD-ratios'!$Y26)/('MD-ratios'!$AC26-'MD-ratios'!$Y26))/LOG('MD-ratios'!$U26))</f>
        <v>6.9970972935302482</v>
      </c>
      <c r="BG23" s="242">
        <f>IF('MD-ratios'!BP26&gt;'MD-ratios'!$AC26,10,10*LOG(1+('MD-ratios'!$U26-1)*('MD-ratios'!BP26-'MD-ratios'!$Y26)/('MD-ratios'!$AC26-'MD-ratios'!$Y26))/LOG('MD-ratios'!$U26))</f>
        <v>10</v>
      </c>
      <c r="BH23" s="242">
        <f>IF('MD-ratios'!BQ26&gt;'MD-ratios'!$AC26,10,10*LOG(1+('MD-ratios'!$U26-1)*('MD-ratios'!BQ26-'MD-ratios'!$Y26)/('MD-ratios'!$AC26-'MD-ratios'!$Y26))/LOG('MD-ratios'!$U26))</f>
        <v>10</v>
      </c>
      <c r="BI23" s="242">
        <f>IF('MD-ratios'!BR26&gt;'MD-ratios'!$AC26,10,10*LOG(1+('MD-ratios'!$U26-1)*('MD-ratios'!BR26-'MD-ratios'!$Y26)/('MD-ratios'!$AC26-'MD-ratios'!$Y26))/LOG('MD-ratios'!$U26))</f>
        <v>0.12520692806839998</v>
      </c>
      <c r="BJ23" s="242">
        <f>IF('MD-ratios'!BS26&gt;'MD-ratios'!$AC26,10,10*LOG(1+('MD-ratios'!$U26-1)*('MD-ratios'!BS26-'MD-ratios'!$Y26)/('MD-ratios'!$AC26-'MD-ratios'!$Y26))/LOG('MD-ratios'!$U26))</f>
        <v>6.9947259910132358</v>
      </c>
      <c r="BK23" s="242">
        <f>IF('MD-ratios'!BT26&gt;'MD-ratios'!$AC26,10,10*LOG(1+('MD-ratios'!$U26-1)*('MD-ratios'!BT26-'MD-ratios'!$Y26)/('MD-ratios'!$AC26-'MD-ratios'!$Y26))/LOG('MD-ratios'!$U26))</f>
        <v>10</v>
      </c>
      <c r="BL23" s="242">
        <f>IF('MD-ratios'!BU26&gt;'MD-ratios'!$AC26,10,10*LOG(1+('MD-ratios'!$U26-1)*('MD-ratios'!BU26-'MD-ratios'!$Y26)/('MD-ratios'!$AC26-'MD-ratios'!$Y26))/LOG('MD-ratios'!$U26))</f>
        <v>3.5355601639156186E-3</v>
      </c>
      <c r="BM23" s="242">
        <f>IF('MD-ratios'!BV26&gt;'MD-ratios'!$AC26,10,10*LOG(1+('MD-ratios'!$U26-1)*('MD-ratios'!BV26-'MD-ratios'!$Y26)/('MD-ratios'!$AC26-'MD-ratios'!$Y26))/LOG('MD-ratios'!$U26))</f>
        <v>0.12270759130837999</v>
      </c>
      <c r="BN23" s="242">
        <f>IF('MD-ratios'!BW26&gt;'MD-ratios'!$AC26,10,10*LOG(1+('MD-ratios'!$U26-1)*('MD-ratios'!BW26-'MD-ratios'!$Y26)/('MD-ratios'!$AC26-'MD-ratios'!$Y26))/LOG('MD-ratios'!$U26))</f>
        <v>3.6679878521226255</v>
      </c>
      <c r="BO23" s="242">
        <f>IF('MD-ratios'!BX26&gt;'MD-ratios'!$AC26,10,10*LOG(1+('MD-ratios'!$U26-1)*('MD-ratios'!BX26-'MD-ratios'!$Y26)/('MD-ratios'!$AC26-'MD-ratios'!$Y26))/LOG('MD-ratios'!$U26))</f>
        <v>5.1473217009441116E-2</v>
      </c>
      <c r="BP23" s="242">
        <f>IF('MD-ratios'!BY26&gt;'MD-ratios'!$AC26,10,10*LOG(1+('MD-ratios'!$U26-1)*('MD-ratios'!BY26-'MD-ratios'!$Y26)/('MD-ratios'!$AC26-'MD-ratios'!$Y26))/LOG('MD-ratios'!$U26))</f>
        <v>7.412363013852394E-3</v>
      </c>
      <c r="BQ23" s="242">
        <f>IF('MD-ratios'!BZ26&gt;'MD-ratios'!$AC26,10,10*LOG(1+('MD-ratios'!$U26-1)*('MD-ratios'!BZ26-'MD-ratios'!$Y26)/('MD-ratios'!$AC26-'MD-ratios'!$Y26))/LOG('MD-ratios'!$U26))</f>
        <v>1.8079165202421312</v>
      </c>
      <c r="BR23" s="242">
        <f>IF('MD-ratios'!CA26&gt;'MD-ratios'!$AC26,10,10*LOG(1+('MD-ratios'!$U26-1)*('MD-ratios'!CA26-'MD-ratios'!$Y26)/('MD-ratios'!$AC26-'MD-ratios'!$Y26))/LOG('MD-ratios'!$U26))</f>
        <v>3.8431304334242831</v>
      </c>
      <c r="BS23" s="242">
        <f>IF('MD-ratios'!CB26&gt;'MD-ratios'!$AC26,10,10*LOG(1+('MD-ratios'!$U26-1)*('MD-ratios'!CB26-'MD-ratios'!$Y26)/('MD-ratios'!$AC26-'MD-ratios'!$Y26))/LOG('MD-ratios'!$U26))</f>
        <v>9.181936496034358E-4</v>
      </c>
      <c r="BT23" s="242">
        <f>IF('MD-ratios'!CC26&gt;'MD-ratios'!$AC26,10,10*LOG(1+('MD-ratios'!$U26-1)*('MD-ratios'!CC26-'MD-ratios'!$Y26)/('MD-ratios'!$AC26-'MD-ratios'!$Y26))/LOG('MD-ratios'!$U26))</f>
        <v>1.8924214173600977</v>
      </c>
    </row>
    <row r="24" spans="1:72" s="266" customFormat="1" ht="15.75" thickBot="1" x14ac:dyDescent="0.3">
      <c r="A24" s="641"/>
      <c r="B24" s="635"/>
      <c r="C24" s="647" t="str">
        <f>C7</f>
        <v>Liquidity total</v>
      </c>
      <c r="D24" s="648"/>
      <c r="E24" s="649"/>
      <c r="F24" s="275"/>
      <c r="G24" s="275"/>
      <c r="H24" s="275"/>
      <c r="I24" s="275"/>
      <c r="K24" s="598"/>
      <c r="N24" s="653"/>
      <c r="P24" s="267"/>
      <c r="Q24" s="267"/>
      <c r="R24" s="267"/>
      <c r="S24" s="267"/>
      <c r="T24" s="267"/>
      <c r="V24" s="268"/>
      <c r="W24" s="269">
        <f>SUMPRODUCT(W21:W23,$C21:$C23)/SUM($C21:$C23)</f>
        <v>5.9185824139214782</v>
      </c>
      <c r="X24" s="269">
        <f t="shared" ref="X24" si="58">SUMPRODUCT(X21:X23,$C21:$C23)/SUM($C21:$C23)</f>
        <v>3.1132907450914429</v>
      </c>
      <c r="Y24" s="269">
        <f t="shared" ref="Y24" si="59">SUMPRODUCT(Y21:Y23,$C21:$C23)/SUM($C21:$C23)</f>
        <v>6.9112398897215677</v>
      </c>
      <c r="Z24" s="269">
        <f t="shared" ref="Z24" si="60">SUMPRODUCT(Z21:Z23,$C21:$C23)/SUM($C21:$C23)</f>
        <v>6.6486221631443589</v>
      </c>
      <c r="AA24" s="269">
        <f t="shared" ref="AA24" si="61">SUMPRODUCT(AA21:AA23,$C21:$C23)/SUM($C21:$C23)</f>
        <v>0.2041820443094414</v>
      </c>
      <c r="AB24" s="269">
        <f t="shared" ref="AB24" si="62">SUMPRODUCT(AB21:AB23,$C21:$C23)/SUM($C21:$C23)</f>
        <v>1.329885475767258</v>
      </c>
      <c r="AC24" s="269">
        <f t="shared" ref="AC24" si="63">SUMPRODUCT(AC21:AC23,$C21:$C23)/SUM($C21:$C23)</f>
        <v>7.2027454614488295</v>
      </c>
      <c r="AD24" s="269">
        <f t="shared" ref="AD24" si="64">SUMPRODUCT(AD21:AD23,$C21:$C23)/SUM($C21:$C23)</f>
        <v>7.8160307438596082</v>
      </c>
      <c r="AE24" s="269">
        <f t="shared" ref="AE24" si="65">SUMPRODUCT(AE21:AE23,$C21:$C23)/SUM($C21:$C23)</f>
        <v>9.4644411288636405</v>
      </c>
      <c r="AF24" s="269">
        <f t="shared" ref="AF24" si="66">SUMPRODUCT(AF21:AF23,$C21:$C23)/SUM($C21:$C23)</f>
        <v>1.4432914896069891</v>
      </c>
      <c r="AG24" s="269">
        <f t="shared" ref="AG24" si="67">SUMPRODUCT(AG21:AG23,$C21:$C23)/SUM($C21:$C23)</f>
        <v>5.7315267671840866</v>
      </c>
      <c r="AH24" s="269">
        <f t="shared" ref="AH24" si="68">SUMPRODUCT(AH21:AH23,$C21:$C23)/SUM($C21:$C23)</f>
        <v>8.3860828147459205</v>
      </c>
      <c r="AI24" s="269">
        <f t="shared" ref="AI24" si="69">SUMPRODUCT(AI21:AI23,$C21:$C23)/SUM($C21:$C23)</f>
        <v>6.6427491738095785</v>
      </c>
      <c r="AJ24" s="269">
        <f t="shared" ref="AJ24" si="70">SUMPRODUCT(AJ21:AJ23,$C21:$C23)/SUM($C21:$C23)</f>
        <v>4.7257611694604176</v>
      </c>
      <c r="AK24" s="269">
        <f t="shared" ref="AK24" si="71">SUMPRODUCT(AK21:AK23,$C21:$C23)/SUM($C21:$C23)</f>
        <v>2.6925823669200364</v>
      </c>
      <c r="AL24" s="269">
        <f t="shared" ref="AL24" si="72">SUMPRODUCT(AL21:AL23,$C21:$C23)/SUM($C21:$C23)</f>
        <v>6.066951214441576</v>
      </c>
      <c r="AM24" s="269">
        <f t="shared" ref="AM24" si="73">SUMPRODUCT(AM21:AM23,$C21:$C23)/SUM($C21:$C23)</f>
        <v>5.5976985104698311</v>
      </c>
      <c r="AN24" s="269">
        <f t="shared" ref="AN24" si="74">SUMPRODUCT(AN21:AN23,$C21:$C23)/SUM($C21:$C23)</f>
        <v>1.8252129367254759</v>
      </c>
      <c r="AO24" s="269">
        <f t="shared" ref="AO24" si="75">SUMPRODUCT(AO21:AO23,$C21:$C23)/SUM($C21:$C23)</f>
        <v>6.111770843340917</v>
      </c>
      <c r="AP24" s="269">
        <f t="shared" ref="AP24" si="76">SUMPRODUCT(AP21:AP23,$C21:$C23)/SUM($C21:$C23)</f>
        <v>4.8720234385850443</v>
      </c>
      <c r="AQ24" s="269">
        <f t="shared" ref="AQ24" si="77">SUMPRODUCT(AQ21:AQ23,$C21:$C23)/SUM($C21:$C23)</f>
        <v>3.5160381945079271</v>
      </c>
      <c r="AR24" s="269">
        <f t="shared" ref="AR24" si="78">SUMPRODUCT(AR21:AR23,$C21:$C23)/SUM($C21:$C23)</f>
        <v>10</v>
      </c>
      <c r="AS24" s="269">
        <f t="shared" ref="AS24" si="79">SUMPRODUCT(AS21:AS23,$C21:$C23)/SUM($C21:$C23)</f>
        <v>0.84034676431087851</v>
      </c>
      <c r="AT24" s="269">
        <f t="shared" ref="AT24" si="80">SUMPRODUCT(AT21:AT23,$C21:$C23)/SUM($C21:$C23)</f>
        <v>3.3268101679559319</v>
      </c>
      <c r="AU24" s="269">
        <f t="shared" ref="AU24" si="81">SUMPRODUCT(AU21:AU23,$C21:$C23)/SUM($C21:$C23)</f>
        <v>1.471330045172067</v>
      </c>
      <c r="AV24" s="269">
        <f t="shared" ref="AV24" si="82">SUMPRODUCT(AV21:AV23,$C21:$C23)/SUM($C21:$C23)</f>
        <v>3.8153859286319349</v>
      </c>
      <c r="AW24" s="269">
        <f t="shared" ref="AW24" si="83">SUMPRODUCT(AW21:AW23,$C21:$C23)/SUM($C21:$C23)</f>
        <v>4.6690574780960015</v>
      </c>
      <c r="AX24" s="269">
        <f t="shared" ref="AX24" si="84">SUMPRODUCT(AX21:AX23,$C21:$C23)/SUM($C21:$C23)</f>
        <v>2.7664777476661304</v>
      </c>
      <c r="AY24" s="269">
        <f t="shared" ref="AY24" si="85">SUMPRODUCT(AY21:AY23,$C21:$C23)/SUM($C21:$C23)</f>
        <v>1.2376839414488288</v>
      </c>
      <c r="AZ24" s="269">
        <f t="shared" ref="AZ24" si="86">SUMPRODUCT(AZ21:AZ23,$C21:$C23)/SUM($C21:$C23)</f>
        <v>5.2355618196069456</v>
      </c>
      <c r="BA24" s="269">
        <f t="shared" ref="BA24" si="87">SUMPRODUCT(BA21:BA23,$C21:$C23)/SUM($C21:$C23)</f>
        <v>8.9710999930317072</v>
      </c>
      <c r="BB24" s="269">
        <f t="shared" ref="BB24" si="88">SUMPRODUCT(BB21:BB23,$C21:$C23)/SUM($C21:$C23)</f>
        <v>0.93815425935242891</v>
      </c>
      <c r="BC24" s="269">
        <f t="shared" ref="BC24" si="89">SUMPRODUCT(BC21:BC23,$C21:$C23)/SUM($C21:$C23)</f>
        <v>8.9295258162032827</v>
      </c>
      <c r="BD24" s="269">
        <f t="shared" ref="BD24" si="90">SUMPRODUCT(BD21:BD23,$C21:$C23)/SUM($C21:$C23)</f>
        <v>8.3376742463326501</v>
      </c>
      <c r="BE24" s="269">
        <f t="shared" ref="BE24" si="91">SUMPRODUCT(BE21:BE23,$C21:$C23)/SUM($C21:$C23)</f>
        <v>1.0240946778332018</v>
      </c>
      <c r="BF24" s="269">
        <f t="shared" ref="BF24" si="92">SUMPRODUCT(BF21:BF23,$C21:$C23)/SUM($C21:$C23)</f>
        <v>8.0415905376907517</v>
      </c>
      <c r="BG24" s="269">
        <f t="shared" ref="BG24" si="93">SUMPRODUCT(BG21:BG23,$C21:$C23)/SUM($C21:$C23)</f>
        <v>10</v>
      </c>
      <c r="BH24" s="269">
        <f t="shared" ref="BH24" si="94">SUMPRODUCT(BH21:BH23,$C21:$C23)/SUM($C21:$C23)</f>
        <v>10</v>
      </c>
      <c r="BI24" s="269">
        <f t="shared" ref="BI24" si="95">SUMPRODUCT(BI21:BI23,$C21:$C23)/SUM($C21:$C23)</f>
        <v>0.88301919795725403</v>
      </c>
      <c r="BJ24" s="269">
        <f t="shared" ref="BJ24" si="96">SUMPRODUCT(BJ21:BJ23,$C21:$C23)/SUM($C21:$C23)</f>
        <v>7.7785847365036975</v>
      </c>
      <c r="BK24" s="269">
        <f t="shared" ref="BK24" si="97">SUMPRODUCT(BK21:BK23,$C21:$C23)/SUM($C21:$C23)</f>
        <v>10</v>
      </c>
      <c r="BL24" s="269">
        <f t="shared" ref="BL24" si="98">SUMPRODUCT(BL21:BL23,$C21:$C23)/SUM($C21:$C23)</f>
        <v>1.865652582173041</v>
      </c>
      <c r="BM24" s="269">
        <f t="shared" ref="BM24" si="99">SUMPRODUCT(BM21:BM23,$C21:$C23)/SUM($C21:$C23)</f>
        <v>2.5558845460846276</v>
      </c>
      <c r="BN24" s="269">
        <f t="shared" ref="BN24" si="100">SUMPRODUCT(BN21:BN23,$C21:$C23)/SUM($C21:$C23)</f>
        <v>5.5561196930297925</v>
      </c>
      <c r="BO24" s="269">
        <f t="shared" ref="BO24" si="101">SUMPRODUCT(BO21:BO23,$C21:$C23)/SUM($C21:$C23)</f>
        <v>2.6908771884518448</v>
      </c>
      <c r="BP24" s="269">
        <f t="shared" ref="BP24" si="102">SUMPRODUCT(BP21:BP23,$C21:$C23)/SUM($C21:$C23)</f>
        <v>1.9115941442588216</v>
      </c>
      <c r="BQ24" s="269">
        <f t="shared" ref="BQ24" si="103">SUMPRODUCT(BQ21:BQ23,$C21:$C23)/SUM($C21:$C23)</f>
        <v>2.3076282006911923</v>
      </c>
      <c r="BR24" s="269">
        <f t="shared" ref="BR24" si="104">SUMPRODUCT(BR21:BR23,$C21:$C23)/SUM($C21:$C23)</f>
        <v>3.7056636084509571</v>
      </c>
      <c r="BS24" s="269">
        <f t="shared" ref="BS24" si="105">SUMPRODUCT(BS21:BS23,$C21:$C23)/SUM($C21:$C23)</f>
        <v>0.20087293620493665</v>
      </c>
      <c r="BT24" s="269">
        <f t="shared" ref="BT24" si="106">SUMPRODUCT(BT21:BT23,$C21:$C23)/SUM($C21:$C23)</f>
        <v>2.9150004465379595</v>
      </c>
    </row>
    <row r="25" spans="1:72" s="243" customFormat="1" ht="15.75" thickBot="1" x14ac:dyDescent="0.3">
      <c r="A25" s="639">
        <f>A8</f>
        <v>0.25</v>
      </c>
      <c r="B25" s="633" t="str">
        <f>B8</f>
        <v>Profitability</v>
      </c>
      <c r="C25" s="256">
        <f>C8</f>
        <v>0.1</v>
      </c>
      <c r="D25" s="257" t="str">
        <f>D8</f>
        <v>ROA - Return on Assets</v>
      </c>
      <c r="E25" s="227" t="str">
        <f>E8</f>
        <v>Net Profit ÷ Total Assets</v>
      </c>
      <c r="F25" s="279">
        <f>F8</f>
        <v>1</v>
      </c>
      <c r="G25" s="279">
        <f t="shared" ref="G25:I25" si="107">G8</f>
        <v>2</v>
      </c>
      <c r="H25" s="279">
        <f t="shared" si="107"/>
        <v>3</v>
      </c>
      <c r="I25" s="279">
        <f t="shared" si="107"/>
        <v>4</v>
      </c>
      <c r="K25" s="597" t="s">
        <v>386</v>
      </c>
      <c r="L25" s="243" t="s">
        <v>389</v>
      </c>
      <c r="N25" s="653"/>
      <c r="P25" s="258">
        <f>'MD-ratios'!Y28</f>
        <v>-0.13301091048016497</v>
      </c>
      <c r="Q25" s="568">
        <f>'MD-ratios'!Z28</f>
        <v>-6.6505455240082487E-2</v>
      </c>
      <c r="R25" s="258">
        <f>'MD-ratios'!AA28</f>
        <v>0</v>
      </c>
      <c r="S25" s="568">
        <f>'MD-ratios'!AB28</f>
        <v>6.6505455240082487E-2</v>
      </c>
      <c r="T25" s="258">
        <f>'MD-ratios'!AC28</f>
        <v>0.13301091048016497</v>
      </c>
      <c r="V25" s="252"/>
      <c r="W25" s="242">
        <f>IF('MD-ratios'!AF28&gt;'MD-ratios'!$AC28,10,IF('MD-ratios'!AF28&gt;='MD-ratios'!$AA28,5+5*LOG(1+('MD-ratios'!$U28-1)*('MD-ratios'!AF28-'MD-ratios'!$AA28)/('MD-ratios'!$AC28-'MD-ratios'!$AA28))/LOG('MD-ratios'!$U28),IF('MD-ratios'!AF28&gt;'MD-ratios'!$Y28,5-5*LOG(1+('MD-ratios'!$U28-1)*('MD-ratios'!AF28-'MD-ratios'!$AA28)/('MD-ratios'!$Y28-'MD-ratios'!$AA28))/LOG('MD-ratios'!$U28),0)))</f>
        <v>8.1192636524915667</v>
      </c>
      <c r="X25" s="242">
        <f>IF('MD-ratios'!AG28&gt;'MD-ratios'!$AC28,10,IF('MD-ratios'!AG28&gt;='MD-ratios'!$AA28,5+5*LOG(1+('MD-ratios'!$U28-1)*('MD-ratios'!AG28-'MD-ratios'!$AA28)/('MD-ratios'!$AC28-'MD-ratios'!$AA28))/LOG('MD-ratios'!$U28),IF('MD-ratios'!AG28&gt;'MD-ratios'!$Y28,5-5*LOG(1+('MD-ratios'!$U28-1)*('MD-ratios'!AG28-'MD-ratios'!$AA28)/('MD-ratios'!$Y28-'MD-ratios'!$AA28))/LOG('MD-ratios'!$U28),0)))</f>
        <v>8.2927653642289432</v>
      </c>
      <c r="Y25" s="242">
        <f>IF('MD-ratios'!AH28&gt;'MD-ratios'!$AC28,10,IF('MD-ratios'!AH28&gt;='MD-ratios'!$AA28,5+5*LOG(1+('MD-ratios'!$U28-1)*('MD-ratios'!AH28-'MD-ratios'!$AA28)/('MD-ratios'!$AC28-'MD-ratios'!$AA28))/LOG('MD-ratios'!$U28),IF('MD-ratios'!AH28&gt;'MD-ratios'!$Y28,5-5*LOG(1+('MD-ratios'!$U28-1)*('MD-ratios'!AH28-'MD-ratios'!$AA28)/('MD-ratios'!$Y28-'MD-ratios'!$AA28))/LOG('MD-ratios'!$U28),0)))</f>
        <v>3.1221897284349236</v>
      </c>
      <c r="Z25" s="242">
        <f>IF('MD-ratios'!AI28&gt;'MD-ratios'!$AC28,10,IF('MD-ratios'!AI28&gt;='MD-ratios'!$AA28,5+5*LOG(1+('MD-ratios'!$U28-1)*('MD-ratios'!AI28-'MD-ratios'!$AA28)/('MD-ratios'!$AC28-'MD-ratios'!$AA28))/LOG('MD-ratios'!$U28),IF('MD-ratios'!AI28&gt;'MD-ratios'!$Y28,5-5*LOG(1+('MD-ratios'!$U28-1)*('MD-ratios'!AI28-'MD-ratios'!$AA28)/('MD-ratios'!$Y28-'MD-ratios'!$AA28))/LOG('MD-ratios'!$U28),0)))</f>
        <v>2.4064715777282628</v>
      </c>
      <c r="AA25" s="242">
        <f>IF('MD-ratios'!AJ28&gt;'MD-ratios'!$AC28,10,IF('MD-ratios'!AJ28&gt;='MD-ratios'!$AA28,5+5*LOG(1+('MD-ratios'!$U28-1)*('MD-ratios'!AJ28-'MD-ratios'!$AA28)/('MD-ratios'!$AC28-'MD-ratios'!$AA28))/LOG('MD-ratios'!$U28),IF('MD-ratios'!AJ28&gt;'MD-ratios'!$Y28,5-5*LOG(1+('MD-ratios'!$U28-1)*('MD-ratios'!AJ28-'MD-ratios'!$AA28)/('MD-ratios'!$Y28-'MD-ratios'!$AA28))/LOG('MD-ratios'!$U28),0)))</f>
        <v>9.0354572744186292</v>
      </c>
      <c r="AB25" s="242">
        <f>IF('MD-ratios'!AK28&gt;'MD-ratios'!$AC28,10,IF('MD-ratios'!AK28&gt;='MD-ratios'!$AA28,5+5*LOG(1+('MD-ratios'!$U28-1)*('MD-ratios'!AK28-'MD-ratios'!$AA28)/('MD-ratios'!$AC28-'MD-ratios'!$AA28))/LOG('MD-ratios'!$U28),IF('MD-ratios'!AK28&gt;'MD-ratios'!$Y28,5-5*LOG(1+('MD-ratios'!$U28-1)*('MD-ratios'!AK28-'MD-ratios'!$AA28)/('MD-ratios'!$Y28-'MD-ratios'!$AA28))/LOG('MD-ratios'!$U28),0)))</f>
        <v>0</v>
      </c>
      <c r="AC25" s="242">
        <f>IF('MD-ratios'!AL28&gt;'MD-ratios'!$AC28,10,IF('MD-ratios'!AL28&gt;='MD-ratios'!$AA28,5+5*LOG(1+('MD-ratios'!$U28-1)*('MD-ratios'!AL28-'MD-ratios'!$AA28)/('MD-ratios'!$AC28-'MD-ratios'!$AA28))/LOG('MD-ratios'!$U28),IF('MD-ratios'!AL28&gt;'MD-ratios'!$Y28,5-5*LOG(1+('MD-ratios'!$U28-1)*('MD-ratios'!AL28-'MD-ratios'!$AA28)/('MD-ratios'!$Y28-'MD-ratios'!$AA28))/LOG('MD-ratios'!$U28),0)))</f>
        <v>6.4109575152165963</v>
      </c>
      <c r="AD25" s="242">
        <f>IF('MD-ratios'!AM28&gt;'MD-ratios'!$AC28,10,IF('MD-ratios'!AM28&gt;='MD-ratios'!$AA28,5+5*LOG(1+('MD-ratios'!$U28-1)*('MD-ratios'!AM28-'MD-ratios'!$AA28)/('MD-ratios'!$AC28-'MD-ratios'!$AA28))/LOG('MD-ratios'!$U28),IF('MD-ratios'!AM28&gt;'MD-ratios'!$Y28,5-5*LOG(1+('MD-ratios'!$U28-1)*('MD-ratios'!AM28-'MD-ratios'!$AA28)/('MD-ratios'!$Y28-'MD-ratios'!$AA28))/LOG('MD-ratios'!$U28),0)))</f>
        <v>8.5050493278641177</v>
      </c>
      <c r="AE25" s="242">
        <f>IF('MD-ratios'!AN28&gt;'MD-ratios'!$AC28,10,IF('MD-ratios'!AN28&gt;='MD-ratios'!$AA28,5+5*LOG(1+('MD-ratios'!$U28-1)*('MD-ratios'!AN28-'MD-ratios'!$AA28)/('MD-ratios'!$AC28-'MD-ratios'!$AA28))/LOG('MD-ratios'!$U28),IF('MD-ratios'!AN28&gt;'MD-ratios'!$Y28,5-5*LOG(1+('MD-ratios'!$U28-1)*('MD-ratios'!AN28-'MD-ratios'!$AA28)/('MD-ratios'!$Y28-'MD-ratios'!$AA28))/LOG('MD-ratios'!$U28),0)))</f>
        <v>7.1286262011523345</v>
      </c>
      <c r="AF25" s="242">
        <f>IF('MD-ratios'!AO28&gt;'MD-ratios'!$AC28,10,IF('MD-ratios'!AO28&gt;='MD-ratios'!$AA28,5+5*LOG(1+('MD-ratios'!$U28-1)*('MD-ratios'!AO28-'MD-ratios'!$AA28)/('MD-ratios'!$AC28-'MD-ratios'!$AA28))/LOG('MD-ratios'!$U28),IF('MD-ratios'!AO28&gt;'MD-ratios'!$Y28,5-5*LOG(1+('MD-ratios'!$U28-1)*('MD-ratios'!AO28-'MD-ratios'!$AA28)/('MD-ratios'!$Y28-'MD-ratios'!$AA28))/LOG('MD-ratios'!$U28),0)))</f>
        <v>3.0008749187641843</v>
      </c>
      <c r="AG25" s="242">
        <f>IF('MD-ratios'!AP28&gt;'MD-ratios'!$AC28,10,IF('MD-ratios'!AP28&gt;='MD-ratios'!$AA28,5+5*LOG(1+('MD-ratios'!$U28-1)*('MD-ratios'!AP28-'MD-ratios'!$AA28)/('MD-ratios'!$AC28-'MD-ratios'!$AA28))/LOG('MD-ratios'!$U28),IF('MD-ratios'!AP28&gt;'MD-ratios'!$Y28,5-5*LOG(1+('MD-ratios'!$U28-1)*('MD-ratios'!AP28-'MD-ratios'!$AA28)/('MD-ratios'!$Y28-'MD-ratios'!$AA28))/LOG('MD-ratios'!$U28),0)))</f>
        <v>5.0265762874652919</v>
      </c>
      <c r="AH25" s="242">
        <f>IF('MD-ratios'!AQ28&gt;'MD-ratios'!$AC28,10,IF('MD-ratios'!AQ28&gt;='MD-ratios'!$AA28,5+5*LOG(1+('MD-ratios'!$U28-1)*('MD-ratios'!AQ28-'MD-ratios'!$AA28)/('MD-ratios'!$AC28-'MD-ratios'!$AA28))/LOG('MD-ratios'!$U28),IF('MD-ratios'!AQ28&gt;'MD-ratios'!$Y28,5-5*LOG(1+('MD-ratios'!$U28-1)*('MD-ratios'!AQ28-'MD-ratios'!$AA28)/('MD-ratios'!$Y28-'MD-ratios'!$AA28))/LOG('MD-ratios'!$U28),0)))</f>
        <v>6.7688913534738546</v>
      </c>
      <c r="AI25" s="242">
        <f>IF('MD-ratios'!AR28&gt;'MD-ratios'!$AC28,10,IF('MD-ratios'!AR28&gt;='MD-ratios'!$AA28,5+5*LOG(1+('MD-ratios'!$U28-1)*('MD-ratios'!AR28-'MD-ratios'!$AA28)/('MD-ratios'!$AC28-'MD-ratios'!$AA28))/LOG('MD-ratios'!$U28),IF('MD-ratios'!AR28&gt;'MD-ratios'!$Y28,5-5*LOG(1+('MD-ratios'!$U28-1)*('MD-ratios'!AR28-'MD-ratios'!$AA28)/('MD-ratios'!$Y28-'MD-ratios'!$AA28))/LOG('MD-ratios'!$U28),0)))</f>
        <v>9.5320664628205503</v>
      </c>
      <c r="AJ25" s="242">
        <f>IF('MD-ratios'!AS28&gt;'MD-ratios'!$AC28,10,IF('MD-ratios'!AS28&gt;='MD-ratios'!$AA28,5+5*LOG(1+('MD-ratios'!$U28-1)*('MD-ratios'!AS28-'MD-ratios'!$AA28)/('MD-ratios'!$AC28-'MD-ratios'!$AA28))/LOG('MD-ratios'!$U28),IF('MD-ratios'!AS28&gt;'MD-ratios'!$Y28,5-5*LOG(1+('MD-ratios'!$U28-1)*('MD-ratios'!AS28-'MD-ratios'!$AA28)/('MD-ratios'!$Y28-'MD-ratios'!$AA28))/LOG('MD-ratios'!$U28),0)))</f>
        <v>5.7727995788929407</v>
      </c>
      <c r="AK25" s="242">
        <f>IF('MD-ratios'!AT28&gt;'MD-ratios'!$AC28,10,IF('MD-ratios'!AT28&gt;='MD-ratios'!$AA28,5+5*LOG(1+('MD-ratios'!$U28-1)*('MD-ratios'!AT28-'MD-ratios'!$AA28)/('MD-ratios'!$AC28-'MD-ratios'!$AA28))/LOG('MD-ratios'!$U28),IF('MD-ratios'!AT28&gt;'MD-ratios'!$Y28,5-5*LOG(1+('MD-ratios'!$U28-1)*('MD-ratios'!AT28-'MD-ratios'!$AA28)/('MD-ratios'!$Y28-'MD-ratios'!$AA28))/LOG('MD-ratios'!$U28),0)))</f>
        <v>8.6940159571675188</v>
      </c>
      <c r="AL25" s="242">
        <f>IF('MD-ratios'!AU28&gt;'MD-ratios'!$AC28,10,IF('MD-ratios'!AU28&gt;='MD-ratios'!$AA28,5+5*LOG(1+('MD-ratios'!$U28-1)*('MD-ratios'!AU28-'MD-ratios'!$AA28)/('MD-ratios'!$AC28-'MD-ratios'!$AA28))/LOG('MD-ratios'!$U28),IF('MD-ratios'!AU28&gt;'MD-ratios'!$Y28,5-5*LOG(1+('MD-ratios'!$U28-1)*('MD-ratios'!AU28-'MD-ratios'!$AA28)/('MD-ratios'!$Y28-'MD-ratios'!$AA28))/LOG('MD-ratios'!$U28),0)))</f>
        <v>8.2300930963705028</v>
      </c>
      <c r="AM25" s="242">
        <f>IF('MD-ratios'!AV28&gt;'MD-ratios'!$AC28,10,IF('MD-ratios'!AV28&gt;='MD-ratios'!$AA28,5+5*LOG(1+('MD-ratios'!$U28-1)*('MD-ratios'!AV28-'MD-ratios'!$AA28)/('MD-ratios'!$AC28-'MD-ratios'!$AA28))/LOG('MD-ratios'!$U28),IF('MD-ratios'!AV28&gt;'MD-ratios'!$Y28,5-5*LOG(1+('MD-ratios'!$U28-1)*('MD-ratios'!AV28-'MD-ratios'!$AA28)/('MD-ratios'!$Y28-'MD-ratios'!$AA28))/LOG('MD-ratios'!$U28),0)))</f>
        <v>7.1944997021883461</v>
      </c>
      <c r="AN25" s="242">
        <f>IF('MD-ratios'!AW28&gt;'MD-ratios'!$AC28,10,IF('MD-ratios'!AW28&gt;='MD-ratios'!$AA28,5+5*LOG(1+('MD-ratios'!$U28-1)*('MD-ratios'!AW28-'MD-ratios'!$AA28)/('MD-ratios'!$AC28-'MD-ratios'!$AA28))/LOG('MD-ratios'!$U28),IF('MD-ratios'!AW28&gt;'MD-ratios'!$Y28,5-5*LOG(1+('MD-ratios'!$U28-1)*('MD-ratios'!AW28-'MD-ratios'!$AA28)/('MD-ratios'!$Y28-'MD-ratios'!$AA28))/LOG('MD-ratios'!$U28),0)))</f>
        <v>6.5958949914432026</v>
      </c>
      <c r="AO25" s="242">
        <f>IF('MD-ratios'!AX28&gt;'MD-ratios'!$AC28,10,IF('MD-ratios'!AX28&gt;='MD-ratios'!$AA28,5+5*LOG(1+('MD-ratios'!$U28-1)*('MD-ratios'!AX28-'MD-ratios'!$AA28)/('MD-ratios'!$AC28-'MD-ratios'!$AA28))/LOG('MD-ratios'!$U28),IF('MD-ratios'!AX28&gt;'MD-ratios'!$Y28,5-5*LOG(1+('MD-ratios'!$U28-1)*('MD-ratios'!AX28-'MD-ratios'!$AA28)/('MD-ratios'!$Y28-'MD-ratios'!$AA28))/LOG('MD-ratios'!$U28),0)))</f>
        <v>6.7095162658977276</v>
      </c>
      <c r="AP25" s="242">
        <f>IF('MD-ratios'!AY28&gt;'MD-ratios'!$AC28,10,IF('MD-ratios'!AY28&gt;='MD-ratios'!$AA28,5+5*LOG(1+('MD-ratios'!$U28-1)*('MD-ratios'!AY28-'MD-ratios'!$AA28)/('MD-ratios'!$AC28-'MD-ratios'!$AA28))/LOG('MD-ratios'!$U28),IF('MD-ratios'!AY28&gt;'MD-ratios'!$Y28,5-5*LOG(1+('MD-ratios'!$U28-1)*('MD-ratios'!AY28-'MD-ratios'!$AA28)/('MD-ratios'!$Y28-'MD-ratios'!$AA28))/LOG('MD-ratios'!$U28),0)))</f>
        <v>9.3732717058380537</v>
      </c>
      <c r="AQ25" s="242">
        <f>IF('MD-ratios'!AZ28&gt;'MD-ratios'!$AC28,10,IF('MD-ratios'!AZ28&gt;='MD-ratios'!$AA28,5+5*LOG(1+('MD-ratios'!$U28-1)*('MD-ratios'!AZ28-'MD-ratios'!$AA28)/('MD-ratios'!$AC28-'MD-ratios'!$AA28))/LOG('MD-ratios'!$U28),IF('MD-ratios'!AZ28&gt;'MD-ratios'!$Y28,5-5*LOG(1+('MD-ratios'!$U28-1)*('MD-ratios'!AZ28-'MD-ratios'!$AA28)/('MD-ratios'!$Y28-'MD-ratios'!$AA28))/LOG('MD-ratios'!$U28),0)))</f>
        <v>2.9458394389528531</v>
      </c>
      <c r="AR25" s="242">
        <f>IF('MD-ratios'!BA28&gt;'MD-ratios'!$AC28,10,IF('MD-ratios'!BA28&gt;='MD-ratios'!$AA28,5+5*LOG(1+('MD-ratios'!$U28-1)*('MD-ratios'!BA28-'MD-ratios'!$AA28)/('MD-ratios'!$AC28-'MD-ratios'!$AA28))/LOG('MD-ratios'!$U28),IF('MD-ratios'!BA28&gt;'MD-ratios'!$Y28,5-5*LOG(1+('MD-ratios'!$U28-1)*('MD-ratios'!BA28-'MD-ratios'!$AA28)/('MD-ratios'!$Y28-'MD-ratios'!$AA28))/LOG('MD-ratios'!$U28),0)))</f>
        <v>9.8990296336430994</v>
      </c>
      <c r="AS25" s="242">
        <f>IF('MD-ratios'!BB28&gt;'MD-ratios'!$AC28,10,IF('MD-ratios'!BB28&gt;='MD-ratios'!$AA28,5+5*LOG(1+('MD-ratios'!$U28-1)*('MD-ratios'!BB28-'MD-ratios'!$AA28)/('MD-ratios'!$AC28-'MD-ratios'!$AA28))/LOG('MD-ratios'!$U28),IF('MD-ratios'!BB28&gt;'MD-ratios'!$Y28,5-5*LOG(1+('MD-ratios'!$U28-1)*('MD-ratios'!BB28-'MD-ratios'!$AA28)/('MD-ratios'!$Y28-'MD-ratios'!$AA28))/LOG('MD-ratios'!$U28),0)))</f>
        <v>6.9659842488872137E-2</v>
      </c>
      <c r="AT25" s="242">
        <f>IF('MD-ratios'!BC28&gt;'MD-ratios'!$AC28,10,IF('MD-ratios'!BC28&gt;='MD-ratios'!$AA28,5+5*LOG(1+('MD-ratios'!$U28-1)*('MD-ratios'!BC28-'MD-ratios'!$AA28)/('MD-ratios'!$AC28-'MD-ratios'!$AA28))/LOG('MD-ratios'!$U28),IF('MD-ratios'!BC28&gt;'MD-ratios'!$Y28,5-5*LOG(1+('MD-ratios'!$U28-1)*('MD-ratios'!BC28-'MD-ratios'!$AA28)/('MD-ratios'!$Y28-'MD-ratios'!$AA28))/LOG('MD-ratios'!$U28),0)))</f>
        <v>7.9798856153534299</v>
      </c>
      <c r="AU25" s="242">
        <f>IF('MD-ratios'!BD28&gt;'MD-ratios'!$AC28,10,IF('MD-ratios'!BD28&gt;='MD-ratios'!$AA28,5+5*LOG(1+('MD-ratios'!$U28-1)*('MD-ratios'!BD28-'MD-ratios'!$AA28)/('MD-ratios'!$AC28-'MD-ratios'!$AA28))/LOG('MD-ratios'!$U28),IF('MD-ratios'!BD28&gt;'MD-ratios'!$Y28,5-5*LOG(1+('MD-ratios'!$U28-1)*('MD-ratios'!BD28-'MD-ratios'!$AA28)/('MD-ratios'!$Y28-'MD-ratios'!$AA28))/LOG('MD-ratios'!$U28),0)))</f>
        <v>7.4252864731083363</v>
      </c>
      <c r="AV25" s="242">
        <f>IF('MD-ratios'!BE28&gt;'MD-ratios'!$AC28,10,IF('MD-ratios'!BE28&gt;='MD-ratios'!$AA28,5+5*LOG(1+('MD-ratios'!$U28-1)*('MD-ratios'!BE28-'MD-ratios'!$AA28)/('MD-ratios'!$AC28-'MD-ratios'!$AA28))/LOG('MD-ratios'!$U28),IF('MD-ratios'!BE28&gt;'MD-ratios'!$Y28,5-5*LOG(1+('MD-ratios'!$U28-1)*('MD-ratios'!BE28-'MD-ratios'!$AA28)/('MD-ratios'!$Y28-'MD-ratios'!$AA28))/LOG('MD-ratios'!$U28),0)))</f>
        <v>8.4038076919073177</v>
      </c>
      <c r="AW25" s="242">
        <f>IF('MD-ratios'!BF28&gt;'MD-ratios'!$AC28,10,IF('MD-ratios'!BF28&gt;='MD-ratios'!$AA28,5+5*LOG(1+('MD-ratios'!$U28-1)*('MD-ratios'!BF28-'MD-ratios'!$AA28)/('MD-ratios'!$AC28-'MD-ratios'!$AA28))/LOG('MD-ratios'!$U28),IF('MD-ratios'!BF28&gt;'MD-ratios'!$Y28,5-5*LOG(1+('MD-ratios'!$U28-1)*('MD-ratios'!BF28-'MD-ratios'!$AA28)/('MD-ratios'!$Y28-'MD-ratios'!$AA28))/LOG('MD-ratios'!$U28),0)))</f>
        <v>9.9930079234788707</v>
      </c>
      <c r="AX25" s="242">
        <f>IF('MD-ratios'!BG28&gt;'MD-ratios'!$AC28,10,IF('MD-ratios'!BG28&gt;='MD-ratios'!$AA28,5+5*LOG(1+('MD-ratios'!$U28-1)*('MD-ratios'!BG28-'MD-ratios'!$AA28)/('MD-ratios'!$AC28-'MD-ratios'!$AA28))/LOG('MD-ratios'!$U28),IF('MD-ratios'!BG28&gt;'MD-ratios'!$Y28,5-5*LOG(1+('MD-ratios'!$U28-1)*('MD-ratios'!BG28-'MD-ratios'!$AA28)/('MD-ratios'!$Y28-'MD-ratios'!$AA28))/LOG('MD-ratios'!$U28),0)))</f>
        <v>5.4704782583181819</v>
      </c>
      <c r="AY25" s="242">
        <f>IF('MD-ratios'!BH28&gt;'MD-ratios'!$AC28,10,IF('MD-ratios'!BH28&gt;='MD-ratios'!$AA28,5+5*LOG(1+('MD-ratios'!$U28-1)*('MD-ratios'!BH28-'MD-ratios'!$AA28)/('MD-ratios'!$AC28-'MD-ratios'!$AA28))/LOG('MD-ratios'!$U28),IF('MD-ratios'!BH28&gt;'MD-ratios'!$Y28,5-5*LOG(1+('MD-ratios'!$U28-1)*('MD-ratios'!BH28-'MD-ratios'!$AA28)/('MD-ratios'!$Y28-'MD-ratios'!$AA28))/LOG('MD-ratios'!$U28),0)))</f>
        <v>7.6466504046969632</v>
      </c>
      <c r="AZ25" s="242">
        <f>IF('MD-ratios'!BI28&gt;'MD-ratios'!$AC28,10,IF('MD-ratios'!BI28&gt;='MD-ratios'!$AA28,5+5*LOG(1+('MD-ratios'!$U28-1)*('MD-ratios'!BI28-'MD-ratios'!$AA28)/('MD-ratios'!$AC28-'MD-ratios'!$AA28))/LOG('MD-ratios'!$U28),IF('MD-ratios'!BI28&gt;'MD-ratios'!$Y28,5-5*LOG(1+('MD-ratios'!$U28-1)*('MD-ratios'!BI28-'MD-ratios'!$AA28)/('MD-ratios'!$Y28-'MD-ratios'!$AA28))/LOG('MD-ratios'!$U28),0)))</f>
        <v>6.4364140500422566</v>
      </c>
      <c r="BA25" s="242">
        <f>IF('MD-ratios'!BJ28&gt;'MD-ratios'!$AC28,10,IF('MD-ratios'!BJ28&gt;='MD-ratios'!$AA28,5+5*LOG(1+('MD-ratios'!$U28-1)*('MD-ratios'!BJ28-'MD-ratios'!$AA28)/('MD-ratios'!$AC28-'MD-ratios'!$AA28))/LOG('MD-ratios'!$U28),IF('MD-ratios'!BJ28&gt;'MD-ratios'!$Y28,5-5*LOG(1+('MD-ratios'!$U28-1)*('MD-ratios'!BJ28-'MD-ratios'!$AA28)/('MD-ratios'!$Y28-'MD-ratios'!$AA28))/LOG('MD-ratios'!$U28),0)))</f>
        <v>10</v>
      </c>
      <c r="BB25" s="242">
        <f>IF('MD-ratios'!BK28&gt;'MD-ratios'!$AC28,10,IF('MD-ratios'!BK28&gt;='MD-ratios'!$AA28,5+5*LOG(1+('MD-ratios'!$U28-1)*('MD-ratios'!BK28-'MD-ratios'!$AA28)/('MD-ratios'!$AC28-'MD-ratios'!$AA28))/LOG('MD-ratios'!$U28),IF('MD-ratios'!BK28&gt;'MD-ratios'!$Y28,5-5*LOG(1+('MD-ratios'!$U28-1)*('MD-ratios'!BK28-'MD-ratios'!$AA28)/('MD-ratios'!$Y28-'MD-ratios'!$AA28))/LOG('MD-ratios'!$U28),0)))</f>
        <v>0</v>
      </c>
      <c r="BC25" s="242">
        <f>IF('MD-ratios'!BL28&gt;'MD-ratios'!$AC28,10,IF('MD-ratios'!BL28&gt;='MD-ratios'!$AA28,5+5*LOG(1+('MD-ratios'!$U28-1)*('MD-ratios'!BL28-'MD-ratios'!$AA28)/('MD-ratios'!$AC28-'MD-ratios'!$AA28))/LOG('MD-ratios'!$U28),IF('MD-ratios'!BL28&gt;'MD-ratios'!$Y28,5-5*LOG(1+('MD-ratios'!$U28-1)*('MD-ratios'!BL28-'MD-ratios'!$AA28)/('MD-ratios'!$Y28-'MD-ratios'!$AA28))/LOG('MD-ratios'!$U28),0)))</f>
        <v>8.5694433290986218</v>
      </c>
      <c r="BD25" s="242">
        <f>IF('MD-ratios'!BM28&gt;'MD-ratios'!$AC28,10,IF('MD-ratios'!BM28&gt;='MD-ratios'!$AA28,5+5*LOG(1+('MD-ratios'!$U28-1)*('MD-ratios'!BM28-'MD-ratios'!$AA28)/('MD-ratios'!$AC28-'MD-ratios'!$AA28))/LOG('MD-ratios'!$U28),IF('MD-ratios'!BM28&gt;'MD-ratios'!$Y28,5-5*LOG(1+('MD-ratios'!$U28-1)*('MD-ratios'!BM28-'MD-ratios'!$AA28)/('MD-ratios'!$Y28-'MD-ratios'!$AA28))/LOG('MD-ratios'!$U28),0)))</f>
        <v>10</v>
      </c>
      <c r="BE25" s="242">
        <f>IF('MD-ratios'!BN28&gt;'MD-ratios'!$AC28,10,IF('MD-ratios'!BN28&gt;='MD-ratios'!$AA28,5+5*LOG(1+('MD-ratios'!$U28-1)*('MD-ratios'!BN28-'MD-ratios'!$AA28)/('MD-ratios'!$AC28-'MD-ratios'!$AA28))/LOG('MD-ratios'!$U28),IF('MD-ratios'!BN28&gt;'MD-ratios'!$Y28,5-5*LOG(1+('MD-ratios'!$U28-1)*('MD-ratios'!BN28-'MD-ratios'!$AA28)/('MD-ratios'!$Y28-'MD-ratios'!$AA28))/LOG('MD-ratios'!$U28),0)))</f>
        <v>6.8177681119470002</v>
      </c>
      <c r="BF25" s="242">
        <f>IF('MD-ratios'!BO28&gt;'MD-ratios'!$AC28,10,IF('MD-ratios'!BO28&gt;='MD-ratios'!$AA28,5+5*LOG(1+('MD-ratios'!$U28-1)*('MD-ratios'!BO28-'MD-ratios'!$AA28)/('MD-ratios'!$AC28-'MD-ratios'!$AA28))/LOG('MD-ratios'!$U28),IF('MD-ratios'!BO28&gt;'MD-ratios'!$Y28,5-5*LOG(1+('MD-ratios'!$U28-1)*('MD-ratios'!BO28-'MD-ratios'!$AA28)/('MD-ratios'!$Y28-'MD-ratios'!$AA28))/LOG('MD-ratios'!$U28),0)))</f>
        <v>7.2116435853660876</v>
      </c>
      <c r="BG25" s="242">
        <f>IF('MD-ratios'!BP28&gt;'MD-ratios'!$AC28,10,IF('MD-ratios'!BP28&gt;='MD-ratios'!$AA28,5+5*LOG(1+('MD-ratios'!$U28-1)*('MD-ratios'!BP28-'MD-ratios'!$AA28)/('MD-ratios'!$AC28-'MD-ratios'!$AA28))/LOG('MD-ratios'!$U28),IF('MD-ratios'!BP28&gt;'MD-ratios'!$Y28,5-5*LOG(1+('MD-ratios'!$U28-1)*('MD-ratios'!BP28-'MD-ratios'!$AA28)/('MD-ratios'!$Y28-'MD-ratios'!$AA28))/LOG('MD-ratios'!$U28),0)))</f>
        <v>10</v>
      </c>
      <c r="BH25" s="242">
        <f>IF('MD-ratios'!BQ28&gt;'MD-ratios'!$AC28,10,IF('MD-ratios'!BQ28&gt;='MD-ratios'!$AA28,5+5*LOG(1+('MD-ratios'!$U28-1)*('MD-ratios'!BQ28-'MD-ratios'!$AA28)/('MD-ratios'!$AC28-'MD-ratios'!$AA28))/LOG('MD-ratios'!$U28),IF('MD-ratios'!BQ28&gt;'MD-ratios'!$Y28,5-5*LOG(1+('MD-ratios'!$U28-1)*('MD-ratios'!BQ28-'MD-ratios'!$AA28)/('MD-ratios'!$Y28-'MD-ratios'!$AA28))/LOG('MD-ratios'!$U28),0)))</f>
        <v>4.0578800641671329</v>
      </c>
      <c r="BI25" s="242">
        <f>IF('MD-ratios'!BR28&gt;'MD-ratios'!$AC28,10,IF('MD-ratios'!BR28&gt;='MD-ratios'!$AA28,5+5*LOG(1+('MD-ratios'!$U28-1)*('MD-ratios'!BR28-'MD-ratios'!$AA28)/('MD-ratios'!$AC28-'MD-ratios'!$AA28))/LOG('MD-ratios'!$U28),IF('MD-ratios'!BR28&gt;'MD-ratios'!$Y28,5-5*LOG(1+('MD-ratios'!$U28-1)*('MD-ratios'!BR28-'MD-ratios'!$AA28)/('MD-ratios'!$Y28-'MD-ratios'!$AA28))/LOG('MD-ratios'!$U28),0)))</f>
        <v>7.2458122203678439</v>
      </c>
      <c r="BJ25" s="242">
        <f>IF('MD-ratios'!BS28&gt;'MD-ratios'!$AC28,10,IF('MD-ratios'!BS28&gt;='MD-ratios'!$AA28,5+5*LOG(1+('MD-ratios'!$U28-1)*('MD-ratios'!BS28-'MD-ratios'!$AA28)/('MD-ratios'!$AC28-'MD-ratios'!$AA28))/LOG('MD-ratios'!$U28),IF('MD-ratios'!BS28&gt;'MD-ratios'!$Y28,5-5*LOG(1+('MD-ratios'!$U28-1)*('MD-ratios'!BS28-'MD-ratios'!$AA28)/('MD-ratios'!$Y28-'MD-ratios'!$AA28))/LOG('MD-ratios'!$U28),0)))</f>
        <v>5.8614201476390662</v>
      </c>
      <c r="BK25" s="242">
        <f>IF('MD-ratios'!BT28&gt;'MD-ratios'!$AC28,10,IF('MD-ratios'!BT28&gt;='MD-ratios'!$AA28,5+5*LOG(1+('MD-ratios'!$U28-1)*('MD-ratios'!BT28-'MD-ratios'!$AA28)/('MD-ratios'!$AC28-'MD-ratios'!$AA28))/LOG('MD-ratios'!$U28),IF('MD-ratios'!BT28&gt;'MD-ratios'!$Y28,5-5*LOG(1+('MD-ratios'!$U28-1)*('MD-ratios'!BT28-'MD-ratios'!$AA28)/('MD-ratios'!$Y28-'MD-ratios'!$AA28))/LOG('MD-ratios'!$U28),0)))</f>
        <v>1.3821548013570535</v>
      </c>
      <c r="BL25" s="242">
        <f>IF('MD-ratios'!BU28&gt;'MD-ratios'!$AC28,10,IF('MD-ratios'!BU28&gt;='MD-ratios'!$AA28,5+5*LOG(1+('MD-ratios'!$U28-1)*('MD-ratios'!BU28-'MD-ratios'!$AA28)/('MD-ratios'!$AC28-'MD-ratios'!$AA28))/LOG('MD-ratios'!$U28),IF('MD-ratios'!BU28&gt;'MD-ratios'!$Y28,5-5*LOG(1+('MD-ratios'!$U28-1)*('MD-ratios'!BU28-'MD-ratios'!$AA28)/('MD-ratios'!$Y28-'MD-ratios'!$AA28))/LOG('MD-ratios'!$U28),0)))</f>
        <v>8.3568940533603566</v>
      </c>
      <c r="BM25" s="242">
        <f>IF('MD-ratios'!BV28&gt;'MD-ratios'!$AC28,10,IF('MD-ratios'!BV28&gt;='MD-ratios'!$AA28,5+5*LOG(1+('MD-ratios'!$U28-1)*('MD-ratios'!BV28-'MD-ratios'!$AA28)/('MD-ratios'!$AC28-'MD-ratios'!$AA28))/LOG('MD-ratios'!$U28),IF('MD-ratios'!BV28&gt;'MD-ratios'!$Y28,5-5*LOG(1+('MD-ratios'!$U28-1)*('MD-ratios'!BV28-'MD-ratios'!$AA28)/('MD-ratios'!$Y28-'MD-ratios'!$AA28))/LOG('MD-ratios'!$U28),0)))</f>
        <v>7.4026031776181878</v>
      </c>
      <c r="BN25" s="242">
        <f>IF('MD-ratios'!BW28&gt;'MD-ratios'!$AC28,10,IF('MD-ratios'!BW28&gt;='MD-ratios'!$AA28,5+5*LOG(1+('MD-ratios'!$U28-1)*('MD-ratios'!BW28-'MD-ratios'!$AA28)/('MD-ratios'!$AC28-'MD-ratios'!$AA28))/LOG('MD-ratios'!$U28),IF('MD-ratios'!BW28&gt;'MD-ratios'!$Y28,5-5*LOG(1+('MD-ratios'!$U28-1)*('MD-ratios'!BW28-'MD-ratios'!$AA28)/('MD-ratios'!$Y28-'MD-ratios'!$AA28))/LOG('MD-ratios'!$U28),0)))</f>
        <v>0.16410605012726887</v>
      </c>
      <c r="BO25" s="242">
        <f>IF('MD-ratios'!BX28&gt;'MD-ratios'!$AC28,10,IF('MD-ratios'!BX28&gt;='MD-ratios'!$AA28,5+5*LOG(1+('MD-ratios'!$U28-1)*('MD-ratios'!BX28-'MD-ratios'!$AA28)/('MD-ratios'!$AC28-'MD-ratios'!$AA28))/LOG('MD-ratios'!$U28),IF('MD-ratios'!BX28&gt;'MD-ratios'!$Y28,5-5*LOG(1+('MD-ratios'!$U28-1)*('MD-ratios'!BX28-'MD-ratios'!$AA28)/('MD-ratios'!$Y28-'MD-ratios'!$AA28))/LOG('MD-ratios'!$U28),0)))</f>
        <v>8.6376345500561555</v>
      </c>
      <c r="BP25" s="242">
        <f>IF('MD-ratios'!BY28&gt;'MD-ratios'!$AC28,10,IF('MD-ratios'!BY28&gt;='MD-ratios'!$AA28,5+5*LOG(1+('MD-ratios'!$U28-1)*('MD-ratios'!BY28-'MD-ratios'!$AA28)/('MD-ratios'!$AC28-'MD-ratios'!$AA28))/LOG('MD-ratios'!$U28),IF('MD-ratios'!BY28&gt;'MD-ratios'!$Y28,5-5*LOG(1+('MD-ratios'!$U28-1)*('MD-ratios'!BY28-'MD-ratios'!$AA28)/('MD-ratios'!$Y28-'MD-ratios'!$AA28))/LOG('MD-ratios'!$U28),0)))</f>
        <v>4.1641664944615444</v>
      </c>
      <c r="BQ25" s="242">
        <f>IF('MD-ratios'!BZ28&gt;'MD-ratios'!$AC28,10,IF('MD-ratios'!BZ28&gt;='MD-ratios'!$AA28,5+5*LOG(1+('MD-ratios'!$U28-1)*('MD-ratios'!BZ28-'MD-ratios'!$AA28)/('MD-ratios'!$AC28-'MD-ratios'!$AA28))/LOG('MD-ratios'!$U28),IF('MD-ratios'!BZ28&gt;'MD-ratios'!$Y28,5-5*LOG(1+('MD-ratios'!$U28-1)*('MD-ratios'!BZ28-'MD-ratios'!$AA28)/('MD-ratios'!$Y28-'MD-ratios'!$AA28))/LOG('MD-ratios'!$U28),0)))</f>
        <v>7.793226554655738</v>
      </c>
      <c r="BR25" s="242">
        <f>IF('MD-ratios'!CA28&gt;'MD-ratios'!$AC28,10,IF('MD-ratios'!CA28&gt;='MD-ratios'!$AA28,5+5*LOG(1+('MD-ratios'!$U28-1)*('MD-ratios'!CA28-'MD-ratios'!$AA28)/('MD-ratios'!$AC28-'MD-ratios'!$AA28))/LOG('MD-ratios'!$U28),IF('MD-ratios'!CA28&gt;'MD-ratios'!$Y28,5-5*LOG(1+('MD-ratios'!$U28-1)*('MD-ratios'!CA28-'MD-ratios'!$AA28)/('MD-ratios'!$Y28-'MD-ratios'!$AA28))/LOG('MD-ratios'!$U28),0)))</f>
        <v>7.7069643804242496</v>
      </c>
      <c r="BS25" s="242">
        <f>IF('MD-ratios'!CB28&gt;'MD-ratios'!$AC28,10,IF('MD-ratios'!CB28&gt;='MD-ratios'!$AA28,5+5*LOG(1+('MD-ratios'!$U28-1)*('MD-ratios'!CB28-'MD-ratios'!$AA28)/('MD-ratios'!$AC28-'MD-ratios'!$AA28))/LOG('MD-ratios'!$U28),IF('MD-ratios'!CB28&gt;'MD-ratios'!$Y28,5-5*LOG(1+('MD-ratios'!$U28-1)*('MD-ratios'!CB28-'MD-ratios'!$AA28)/('MD-ratios'!$Y28-'MD-ratios'!$AA28))/LOG('MD-ratios'!$U28),0)))</f>
        <v>2.2964360530327919</v>
      </c>
      <c r="BT25" s="242">
        <f>IF('MD-ratios'!CC28&gt;'MD-ratios'!$AC28,10,IF('MD-ratios'!CC28&gt;='MD-ratios'!$AA28,5+5*LOG(1+('MD-ratios'!$U28-1)*('MD-ratios'!CC28-'MD-ratios'!$AA28)/('MD-ratios'!$AC28-'MD-ratios'!$AA28))/LOG('MD-ratios'!$U28),IF('MD-ratios'!CC28&gt;'MD-ratios'!$Y28,5-5*LOG(1+('MD-ratios'!$U28-1)*('MD-ratios'!CC28-'MD-ratios'!$AA28)/('MD-ratios'!$Y28-'MD-ratios'!$AA28))/LOG('MD-ratios'!$U28),0)))</f>
        <v>5.7824075753576718</v>
      </c>
    </row>
    <row r="26" spans="1:72" ht="15.75" thickBot="1" x14ac:dyDescent="0.3">
      <c r="A26" s="640"/>
      <c r="B26" s="634"/>
      <c r="C26" s="256">
        <f t="shared" ref="C26:C27" si="108">C9</f>
        <v>0.05</v>
      </c>
      <c r="D26" s="257" t="str">
        <f t="shared" ref="D26:I26" si="109">D9</f>
        <v>ROE - Return on Equity</v>
      </c>
      <c r="E26" s="227" t="str">
        <f t="shared" si="109"/>
        <v>Net Profit ÷ Equity</v>
      </c>
      <c r="F26" s="279">
        <f t="shared" si="109"/>
        <v>1</v>
      </c>
      <c r="G26" s="279">
        <f t="shared" si="109"/>
        <v>2</v>
      </c>
      <c r="H26" s="279">
        <f t="shared" si="109"/>
        <v>3</v>
      </c>
      <c r="I26" s="279">
        <f t="shared" si="109"/>
        <v>4</v>
      </c>
      <c r="K26" s="595" t="s">
        <v>386</v>
      </c>
      <c r="L26" s="224" t="s">
        <v>389</v>
      </c>
      <c r="N26" s="653"/>
      <c r="P26" s="226">
        <f>'MD-ratios'!Y29</f>
        <v>-0.29167209641131941</v>
      </c>
      <c r="Q26" s="566">
        <f>'MD-ratios'!Z29</f>
        <v>-0.14583604820565971</v>
      </c>
      <c r="R26" s="226">
        <f>'MD-ratios'!AA29</f>
        <v>0</v>
      </c>
      <c r="S26" s="566">
        <f>'MD-ratios'!AB29</f>
        <v>0.14583604820565971</v>
      </c>
      <c r="T26" s="226">
        <f>'MD-ratios'!AC29</f>
        <v>0.29167209641131941</v>
      </c>
      <c r="W26" s="242">
        <f>IF('MD-ratios'!AF29&gt;'MD-ratios'!$AC29,10,IF('MD-ratios'!AF29&gt;='MD-ratios'!$AA29,5+5*LOG(1+('MD-ratios'!$U29-1)*('MD-ratios'!AF29-'MD-ratios'!$AA29)/('MD-ratios'!$AC29-'MD-ratios'!$AA29))/LOG('MD-ratios'!$U29),IF('MD-ratios'!AF29&gt;'MD-ratios'!$Y29,5-5*LOG(1+('MD-ratios'!$U29-1)*('MD-ratios'!AF29-'MD-ratios'!$AA29)/('MD-ratios'!$Y29-'MD-ratios'!$AA29))/LOG('MD-ratios'!$U29),0)))</f>
        <v>7.2535948913443304</v>
      </c>
      <c r="X26" s="242">
        <f>IF('MD-ratios'!AG29&gt;'MD-ratios'!$AC29,10,IF('MD-ratios'!AG29&gt;='MD-ratios'!$AA29,5+5*LOG(1+('MD-ratios'!$U29-1)*('MD-ratios'!AG29-'MD-ratios'!$AA29)/('MD-ratios'!$AC29-'MD-ratios'!$AA29))/LOG('MD-ratios'!$U29),IF('MD-ratios'!AG29&gt;'MD-ratios'!$Y29,5-5*LOG(1+('MD-ratios'!$U29-1)*('MD-ratios'!AG29-'MD-ratios'!$AA29)/('MD-ratios'!$Y29-'MD-ratios'!$AA29))/LOG('MD-ratios'!$U29),0)))</f>
        <v>7.7752460151927352</v>
      </c>
      <c r="Y26" s="242">
        <f>IF('MD-ratios'!AH29&gt;'MD-ratios'!$AC29,10,IF('MD-ratios'!AH29&gt;='MD-ratios'!$AA29,5+5*LOG(1+('MD-ratios'!$U29-1)*('MD-ratios'!AH29-'MD-ratios'!$AA29)/('MD-ratios'!$AC29-'MD-ratios'!$AA29))/LOG('MD-ratios'!$U29),IF('MD-ratios'!AH29&gt;'MD-ratios'!$Y29,5-5*LOG(1+('MD-ratios'!$U29-1)*('MD-ratios'!AH29-'MD-ratios'!$AA29)/('MD-ratios'!$Y29-'MD-ratios'!$AA29))/LOG('MD-ratios'!$U29),0)))</f>
        <v>2.7003904077226606</v>
      </c>
      <c r="Z26" s="242">
        <f>IF('MD-ratios'!AI29&gt;'MD-ratios'!$AC29,10,IF('MD-ratios'!AI29&gt;='MD-ratios'!$AA29,5+5*LOG(1+('MD-ratios'!$U29-1)*('MD-ratios'!AI29-'MD-ratios'!$AA29)/('MD-ratios'!$AC29-'MD-ratios'!$AA29))/LOG('MD-ratios'!$U29),IF('MD-ratios'!AI29&gt;'MD-ratios'!$Y29,5-5*LOG(1+('MD-ratios'!$U29-1)*('MD-ratios'!AI29-'MD-ratios'!$AA29)/('MD-ratios'!$Y29-'MD-ratios'!$AA29))/LOG('MD-ratios'!$U29),0)))</f>
        <v>3.2487934639223677</v>
      </c>
      <c r="AA26" s="242">
        <f>IF('MD-ratios'!AJ29&gt;'MD-ratios'!$AC29,10,IF('MD-ratios'!AJ29&gt;='MD-ratios'!$AA29,5+5*LOG(1+('MD-ratios'!$U29-1)*('MD-ratios'!AJ29-'MD-ratios'!$AA29)/('MD-ratios'!$AC29-'MD-ratios'!$AA29))/LOG('MD-ratios'!$U29),IF('MD-ratios'!AJ29&gt;'MD-ratios'!$Y29,5-5*LOG(1+('MD-ratios'!$U29-1)*('MD-ratios'!AJ29-'MD-ratios'!$AA29)/('MD-ratios'!$Y29-'MD-ratios'!$AA29))/LOG('MD-ratios'!$U29),0)))</f>
        <v>8.3691965683178076</v>
      </c>
      <c r="AB26" s="242">
        <f>IF('MD-ratios'!AK29&gt;'MD-ratios'!$AC29,10,IF('MD-ratios'!AK29&gt;='MD-ratios'!$AA29,5+5*LOG(1+('MD-ratios'!$U29-1)*('MD-ratios'!AK29-'MD-ratios'!$AA29)/('MD-ratios'!$AC29-'MD-ratios'!$AA29))/LOG('MD-ratios'!$U29),IF('MD-ratios'!AK29&gt;'MD-ratios'!$Y29,5-5*LOG(1+('MD-ratios'!$U29-1)*('MD-ratios'!AK29-'MD-ratios'!$AA29)/('MD-ratios'!$Y29-'MD-ratios'!$AA29))/LOG('MD-ratios'!$U29),0)))</f>
        <v>0</v>
      </c>
      <c r="AC26" s="242">
        <f>IF('MD-ratios'!AL29&gt;'MD-ratios'!$AC29,10,IF('MD-ratios'!AL29&gt;='MD-ratios'!$AA29,5+5*LOG(1+('MD-ratios'!$U29-1)*('MD-ratios'!AL29-'MD-ratios'!$AA29)/('MD-ratios'!$AC29-'MD-ratios'!$AA29))/LOG('MD-ratios'!$U29),IF('MD-ratios'!AL29&gt;'MD-ratios'!$Y29,5-5*LOG(1+('MD-ratios'!$U29-1)*('MD-ratios'!AL29-'MD-ratios'!$AA29)/('MD-ratios'!$Y29-'MD-ratios'!$AA29))/LOG('MD-ratios'!$U29),0)))</f>
        <v>7.7708721506314413</v>
      </c>
      <c r="AD26" s="242">
        <f>IF('MD-ratios'!AM29&gt;'MD-ratios'!$AC29,10,IF('MD-ratios'!AM29&gt;='MD-ratios'!$AA29,5+5*LOG(1+('MD-ratios'!$U29-1)*('MD-ratios'!AM29-'MD-ratios'!$AA29)/('MD-ratios'!$AC29-'MD-ratios'!$AA29))/LOG('MD-ratios'!$U29),IF('MD-ratios'!AM29&gt;'MD-ratios'!$Y29,5-5*LOG(1+('MD-ratios'!$U29-1)*('MD-ratios'!AM29-'MD-ratios'!$AA29)/('MD-ratios'!$Y29-'MD-ratios'!$AA29))/LOG('MD-ratios'!$U29),0)))</f>
        <v>7.5108078601255901</v>
      </c>
      <c r="AE26" s="242">
        <f>IF('MD-ratios'!AN29&gt;'MD-ratios'!$AC29,10,IF('MD-ratios'!AN29&gt;='MD-ratios'!$AA29,5+5*LOG(1+('MD-ratios'!$U29-1)*('MD-ratios'!AN29-'MD-ratios'!$AA29)/('MD-ratios'!$AC29-'MD-ratios'!$AA29))/LOG('MD-ratios'!$U29),IF('MD-ratios'!AN29&gt;'MD-ratios'!$Y29,5-5*LOG(1+('MD-ratios'!$U29-1)*('MD-ratios'!AN29-'MD-ratios'!$AA29)/('MD-ratios'!$Y29-'MD-ratios'!$AA29))/LOG('MD-ratios'!$U29),0)))</f>
        <v>6.3732226400104128</v>
      </c>
      <c r="AF26" s="242">
        <f>IF('MD-ratios'!AO29&gt;'MD-ratios'!$AC29,10,IF('MD-ratios'!AO29&gt;='MD-ratios'!$AA29,5+5*LOG(1+('MD-ratios'!$U29-1)*('MD-ratios'!AO29-'MD-ratios'!$AA29)/('MD-ratios'!$AC29-'MD-ratios'!$AA29))/LOG('MD-ratios'!$U29),IF('MD-ratios'!AO29&gt;'MD-ratios'!$Y29,5-5*LOG(1+('MD-ratios'!$U29-1)*('MD-ratios'!AO29-'MD-ratios'!$AA29)/('MD-ratios'!$Y29-'MD-ratios'!$AA29))/LOG('MD-ratios'!$U29),0)))</f>
        <v>3.5515414055879728</v>
      </c>
      <c r="AG26" s="242">
        <f>IF('MD-ratios'!AP29&gt;'MD-ratios'!$AC29,10,IF('MD-ratios'!AP29&gt;='MD-ratios'!$AA29,5+5*LOG(1+('MD-ratios'!$U29-1)*('MD-ratios'!AP29-'MD-ratios'!$AA29)/('MD-ratios'!$AC29-'MD-ratios'!$AA29))/LOG('MD-ratios'!$U29),IF('MD-ratios'!AP29&gt;'MD-ratios'!$Y29,5-5*LOG(1+('MD-ratios'!$U29-1)*('MD-ratios'!AP29-'MD-ratios'!$AA29)/('MD-ratios'!$Y29-'MD-ratios'!$AA29))/LOG('MD-ratios'!$U29),0)))</f>
        <v>5.0167162577205335</v>
      </c>
      <c r="AH26" s="242">
        <f>IF('MD-ratios'!AQ29&gt;'MD-ratios'!$AC29,10,IF('MD-ratios'!AQ29&gt;='MD-ratios'!$AA29,5+5*LOG(1+('MD-ratios'!$U29-1)*('MD-ratios'!AQ29-'MD-ratios'!$AA29)/('MD-ratios'!$AC29-'MD-ratios'!$AA29))/LOG('MD-ratios'!$U29),IF('MD-ratios'!AQ29&gt;'MD-ratios'!$Y29,5-5*LOG(1+('MD-ratios'!$U29-1)*('MD-ratios'!AQ29-'MD-ratios'!$AA29)/('MD-ratios'!$Y29-'MD-ratios'!$AA29))/LOG('MD-ratios'!$U29),0)))</f>
        <v>6.1327937483836594</v>
      </c>
      <c r="AI26" s="242">
        <f>IF('MD-ratios'!AR29&gt;'MD-ratios'!$AC29,10,IF('MD-ratios'!AR29&gt;='MD-ratios'!$AA29,5+5*LOG(1+('MD-ratios'!$U29-1)*('MD-ratios'!AR29-'MD-ratios'!$AA29)/('MD-ratios'!$AC29-'MD-ratios'!$AA29))/LOG('MD-ratios'!$U29),IF('MD-ratios'!AR29&gt;'MD-ratios'!$Y29,5-5*LOG(1+('MD-ratios'!$U29-1)*('MD-ratios'!AR29-'MD-ratios'!$AA29)/('MD-ratios'!$Y29-'MD-ratios'!$AA29))/LOG('MD-ratios'!$U29),0)))</f>
        <v>8.5362601757237648</v>
      </c>
      <c r="AJ26" s="242">
        <f>IF('MD-ratios'!AS29&gt;'MD-ratios'!$AC29,10,IF('MD-ratios'!AS29&gt;='MD-ratios'!$AA29,5+5*LOG(1+('MD-ratios'!$U29-1)*('MD-ratios'!AS29-'MD-ratios'!$AA29)/('MD-ratios'!$AC29-'MD-ratios'!$AA29))/LOG('MD-ratios'!$U29),IF('MD-ratios'!AS29&gt;'MD-ratios'!$Y29,5-5*LOG(1+('MD-ratios'!$U29-1)*('MD-ratios'!AS29-'MD-ratios'!$AA29)/('MD-ratios'!$Y29-'MD-ratios'!$AA29))/LOG('MD-ratios'!$U29),0)))</f>
        <v>5.5297285073934628</v>
      </c>
      <c r="AK26" s="242">
        <f>IF('MD-ratios'!AT29&gt;'MD-ratios'!$AC29,10,IF('MD-ratios'!AT29&gt;='MD-ratios'!$AA29,5+5*LOG(1+('MD-ratios'!$U29-1)*('MD-ratios'!AT29-'MD-ratios'!$AA29)/('MD-ratios'!$AC29-'MD-ratios'!$AA29))/LOG('MD-ratios'!$U29),IF('MD-ratios'!AT29&gt;'MD-ratios'!$Y29,5-5*LOG(1+('MD-ratios'!$U29-1)*('MD-ratios'!AT29-'MD-ratios'!$AA29)/('MD-ratios'!$Y29-'MD-ratios'!$AA29))/LOG('MD-ratios'!$U29),0)))</f>
        <v>9.0823961473536414</v>
      </c>
      <c r="AL26" s="242">
        <f>IF('MD-ratios'!AU29&gt;'MD-ratios'!$AC29,10,IF('MD-ratios'!AU29&gt;='MD-ratios'!$AA29,5+5*LOG(1+('MD-ratios'!$U29-1)*('MD-ratios'!AU29-'MD-ratios'!$AA29)/('MD-ratios'!$AC29-'MD-ratios'!$AA29))/LOG('MD-ratios'!$U29),IF('MD-ratios'!AU29&gt;'MD-ratios'!$Y29,5-5*LOG(1+('MD-ratios'!$U29-1)*('MD-ratios'!AU29-'MD-ratios'!$AA29)/('MD-ratios'!$Y29-'MD-ratios'!$AA29))/LOG('MD-ratios'!$U29),0)))</f>
        <v>7.3665787660482724</v>
      </c>
      <c r="AM26" s="242">
        <f>IF('MD-ratios'!AV29&gt;'MD-ratios'!$AC29,10,IF('MD-ratios'!AV29&gt;='MD-ratios'!$AA29,5+5*LOG(1+('MD-ratios'!$U29-1)*('MD-ratios'!AV29-'MD-ratios'!$AA29)/('MD-ratios'!$AC29-'MD-ratios'!$AA29))/LOG('MD-ratios'!$U29),IF('MD-ratios'!AV29&gt;'MD-ratios'!$Y29,5-5*LOG(1+('MD-ratios'!$U29-1)*('MD-ratios'!AV29-'MD-ratios'!$AA29)/('MD-ratios'!$Y29-'MD-ratios'!$AA29))/LOG('MD-ratios'!$U29),0)))</f>
        <v>6.5928426862217631</v>
      </c>
      <c r="AN26" s="242">
        <f>IF('MD-ratios'!AW29&gt;'MD-ratios'!$AC29,10,IF('MD-ratios'!AW29&gt;='MD-ratios'!$AA29,5+5*LOG(1+('MD-ratios'!$U29-1)*('MD-ratios'!AW29-'MD-ratios'!$AA29)/('MD-ratios'!$AC29-'MD-ratios'!$AA29))/LOG('MD-ratios'!$U29),IF('MD-ratios'!AW29&gt;'MD-ratios'!$Y29,5-5*LOG(1+('MD-ratios'!$U29-1)*('MD-ratios'!AW29-'MD-ratios'!$AA29)/('MD-ratios'!$Y29-'MD-ratios'!$AA29))/LOG('MD-ratios'!$U29),0)))</f>
        <v>8.312620429795393</v>
      </c>
      <c r="AO26" s="242">
        <f>IF('MD-ratios'!AX29&gt;'MD-ratios'!$AC29,10,IF('MD-ratios'!AX29&gt;='MD-ratios'!$AA29,5+5*LOG(1+('MD-ratios'!$U29-1)*('MD-ratios'!AX29-'MD-ratios'!$AA29)/('MD-ratios'!$AC29-'MD-ratios'!$AA29))/LOG('MD-ratios'!$U29),IF('MD-ratios'!AX29&gt;'MD-ratios'!$Y29,5-5*LOG(1+('MD-ratios'!$U29-1)*('MD-ratios'!AX29-'MD-ratios'!$AA29)/('MD-ratios'!$Y29-'MD-ratios'!$AA29))/LOG('MD-ratios'!$U29),0)))</f>
        <v>6.1365742738796012</v>
      </c>
      <c r="AP26" s="242">
        <f>IF('MD-ratios'!AY29&gt;'MD-ratios'!$AC29,10,IF('MD-ratios'!AY29&gt;='MD-ratios'!$AA29,5+5*LOG(1+('MD-ratios'!$U29-1)*('MD-ratios'!AY29-'MD-ratios'!$AA29)/('MD-ratios'!$AC29-'MD-ratios'!$AA29))/LOG('MD-ratios'!$U29),IF('MD-ratios'!AY29&gt;'MD-ratios'!$Y29,5-5*LOG(1+('MD-ratios'!$U29-1)*('MD-ratios'!AY29-'MD-ratios'!$AA29)/('MD-ratios'!$Y29-'MD-ratios'!$AA29))/LOG('MD-ratios'!$U29),0)))</f>
        <v>8.7286275159176832</v>
      </c>
      <c r="AQ26" s="242">
        <f>IF('MD-ratios'!AZ29&gt;'MD-ratios'!$AC29,10,IF('MD-ratios'!AZ29&gt;='MD-ratios'!$AA29,5+5*LOG(1+('MD-ratios'!$U29-1)*('MD-ratios'!AZ29-'MD-ratios'!$AA29)/('MD-ratios'!$AC29-'MD-ratios'!$AA29))/LOG('MD-ratios'!$U29),IF('MD-ratios'!AZ29&gt;'MD-ratios'!$Y29,5-5*LOG(1+('MD-ratios'!$U29-1)*('MD-ratios'!AZ29-'MD-ratios'!$AA29)/('MD-ratios'!$Y29-'MD-ratios'!$AA29))/LOG('MD-ratios'!$U29),0)))</f>
        <v>3.4713242524973138</v>
      </c>
      <c r="AR26" s="242">
        <f>IF('MD-ratios'!BA29&gt;'MD-ratios'!$AC29,10,IF('MD-ratios'!BA29&gt;='MD-ratios'!$AA29,5+5*LOG(1+('MD-ratios'!$U29-1)*('MD-ratios'!BA29-'MD-ratios'!$AA29)/('MD-ratios'!$AC29-'MD-ratios'!$AA29))/LOG('MD-ratios'!$U29),IF('MD-ratios'!BA29&gt;'MD-ratios'!$Y29,5-5*LOG(1+('MD-ratios'!$U29-1)*('MD-ratios'!BA29-'MD-ratios'!$AA29)/('MD-ratios'!$Y29-'MD-ratios'!$AA29))/LOG('MD-ratios'!$U29),0)))</f>
        <v>8.7602741605039469</v>
      </c>
      <c r="AS26" s="242">
        <f>IF('MD-ratios'!BB29&gt;'MD-ratios'!$AC29,10,IF('MD-ratios'!BB29&gt;='MD-ratios'!$AA29,5+5*LOG(1+('MD-ratios'!$U29-1)*('MD-ratios'!BB29-'MD-ratios'!$AA29)/('MD-ratios'!$AC29-'MD-ratios'!$AA29))/LOG('MD-ratios'!$U29),IF('MD-ratios'!BB29&gt;'MD-ratios'!$Y29,5-5*LOG(1+('MD-ratios'!$U29-1)*('MD-ratios'!BB29-'MD-ratios'!$AA29)/('MD-ratios'!$Y29-'MD-ratios'!$AA29))/LOG('MD-ratios'!$U29),0)))</f>
        <v>0.2443263518761789</v>
      </c>
      <c r="AT26" s="242">
        <f>IF('MD-ratios'!BC29&gt;'MD-ratios'!$AC29,10,IF('MD-ratios'!BC29&gt;='MD-ratios'!$AA29,5+5*LOG(1+('MD-ratios'!$U29-1)*('MD-ratios'!BC29-'MD-ratios'!$AA29)/('MD-ratios'!$AC29-'MD-ratios'!$AA29))/LOG('MD-ratios'!$U29),IF('MD-ratios'!BC29&gt;'MD-ratios'!$Y29,5-5*LOG(1+('MD-ratios'!$U29-1)*('MD-ratios'!BC29-'MD-ratios'!$AA29)/('MD-ratios'!$Y29-'MD-ratios'!$AA29))/LOG('MD-ratios'!$U29),0)))</f>
        <v>8.9261635567376487</v>
      </c>
      <c r="AU26" s="242">
        <f>IF('MD-ratios'!BD29&gt;'MD-ratios'!$AC29,10,IF('MD-ratios'!BD29&gt;='MD-ratios'!$AA29,5+5*LOG(1+('MD-ratios'!$U29-1)*('MD-ratios'!BD29-'MD-ratios'!$AA29)/('MD-ratios'!$AC29-'MD-ratios'!$AA29))/LOG('MD-ratios'!$U29),IF('MD-ratios'!BD29&gt;'MD-ratios'!$Y29,5-5*LOG(1+('MD-ratios'!$U29-1)*('MD-ratios'!BD29-'MD-ratios'!$AA29)/('MD-ratios'!$Y29-'MD-ratios'!$AA29))/LOG('MD-ratios'!$U29),0)))</f>
        <v>1.7962870798380655</v>
      </c>
      <c r="AV26" s="242">
        <f>IF('MD-ratios'!BE29&gt;'MD-ratios'!$AC29,10,IF('MD-ratios'!BE29&gt;='MD-ratios'!$AA29,5+5*LOG(1+('MD-ratios'!$U29-1)*('MD-ratios'!BE29-'MD-ratios'!$AA29)/('MD-ratios'!$AC29-'MD-ratios'!$AA29))/LOG('MD-ratios'!$U29),IF('MD-ratios'!BE29&gt;'MD-ratios'!$Y29,5-5*LOG(1+('MD-ratios'!$U29-1)*('MD-ratios'!BE29-'MD-ratios'!$AA29)/('MD-ratios'!$Y29-'MD-ratios'!$AA29))/LOG('MD-ratios'!$U29),0)))</f>
        <v>10</v>
      </c>
      <c r="AW26" s="242">
        <f>IF('MD-ratios'!BF29&gt;'MD-ratios'!$AC29,10,IF('MD-ratios'!BF29&gt;='MD-ratios'!$AA29,5+5*LOG(1+('MD-ratios'!$U29-1)*('MD-ratios'!BF29-'MD-ratios'!$AA29)/('MD-ratios'!$AC29-'MD-ratios'!$AA29))/LOG('MD-ratios'!$U29),IF('MD-ratios'!BF29&gt;'MD-ratios'!$Y29,5-5*LOG(1+('MD-ratios'!$U29-1)*('MD-ratios'!BF29-'MD-ratios'!$AA29)/('MD-ratios'!$Y29-'MD-ratios'!$AA29))/LOG('MD-ratios'!$U29),0)))</f>
        <v>9.1884729235222942</v>
      </c>
      <c r="AX26" s="242">
        <f>IF('MD-ratios'!BG29&gt;'MD-ratios'!$AC29,10,IF('MD-ratios'!BG29&gt;='MD-ratios'!$AA29,5+5*LOG(1+('MD-ratios'!$U29-1)*('MD-ratios'!BG29-'MD-ratios'!$AA29)/('MD-ratios'!$AC29-'MD-ratios'!$AA29))/LOG('MD-ratios'!$U29),IF('MD-ratios'!BG29&gt;'MD-ratios'!$Y29,5-5*LOG(1+('MD-ratios'!$U29-1)*('MD-ratios'!BG29-'MD-ratios'!$AA29)/('MD-ratios'!$Y29-'MD-ratios'!$AA29))/LOG('MD-ratios'!$U29),0)))</f>
        <v>5.3607789100836021</v>
      </c>
      <c r="AY26" s="242">
        <f>IF('MD-ratios'!BH29&gt;'MD-ratios'!$AC29,10,IF('MD-ratios'!BH29&gt;='MD-ratios'!$AA29,5+5*LOG(1+('MD-ratios'!$U29-1)*('MD-ratios'!BH29-'MD-ratios'!$AA29)/('MD-ratios'!$AC29-'MD-ratios'!$AA29))/LOG('MD-ratios'!$U29),IF('MD-ratios'!BH29&gt;'MD-ratios'!$Y29,5-5*LOG(1+('MD-ratios'!$U29-1)*('MD-ratios'!BH29-'MD-ratios'!$AA29)/('MD-ratios'!$Y29-'MD-ratios'!$AA29))/LOG('MD-ratios'!$U29),0)))</f>
        <v>7.0069640127826656</v>
      </c>
      <c r="AZ26" s="242">
        <f>IF('MD-ratios'!BI29&gt;'MD-ratios'!$AC29,10,IF('MD-ratios'!BI29&gt;='MD-ratios'!$AA29,5+5*LOG(1+('MD-ratios'!$U29-1)*('MD-ratios'!BI29-'MD-ratios'!$AA29)/('MD-ratios'!$AC29-'MD-ratios'!$AA29))/LOG('MD-ratios'!$U29),IF('MD-ratios'!BI29&gt;'MD-ratios'!$Y29,5-5*LOG(1+('MD-ratios'!$U29-1)*('MD-ratios'!BI29-'MD-ratios'!$AA29)/('MD-ratios'!$Y29-'MD-ratios'!$AA29))/LOG('MD-ratios'!$U29),0)))</f>
        <v>5.9752264416586964</v>
      </c>
      <c r="BA26" s="242">
        <f>IF('MD-ratios'!BJ29&gt;'MD-ratios'!$AC29,10,IF('MD-ratios'!BJ29&gt;='MD-ratios'!$AA29,5+5*LOG(1+('MD-ratios'!$U29-1)*('MD-ratios'!BJ29-'MD-ratios'!$AA29)/('MD-ratios'!$AC29-'MD-ratios'!$AA29))/LOG('MD-ratios'!$U29),IF('MD-ratios'!BJ29&gt;'MD-ratios'!$Y29,5-5*LOG(1+('MD-ratios'!$U29-1)*('MD-ratios'!BJ29-'MD-ratios'!$AA29)/('MD-ratios'!$Y29-'MD-ratios'!$AA29))/LOG('MD-ratios'!$U29),0)))</f>
        <v>9.0311589865352211</v>
      </c>
      <c r="BB26" s="242">
        <f>IF('MD-ratios'!BK29&gt;'MD-ratios'!$AC29,10,IF('MD-ratios'!BK29&gt;='MD-ratios'!$AA29,5+5*LOG(1+('MD-ratios'!$U29-1)*('MD-ratios'!BK29-'MD-ratios'!$AA29)/('MD-ratios'!$AC29-'MD-ratios'!$AA29))/LOG('MD-ratios'!$U29),IF('MD-ratios'!BK29&gt;'MD-ratios'!$Y29,5-5*LOG(1+('MD-ratios'!$U29-1)*('MD-ratios'!BK29-'MD-ratios'!$AA29)/('MD-ratios'!$Y29-'MD-ratios'!$AA29))/LOG('MD-ratios'!$U29),0)))</f>
        <v>0</v>
      </c>
      <c r="BC26" s="242">
        <f>IF('MD-ratios'!BL29&gt;'MD-ratios'!$AC29,10,IF('MD-ratios'!BL29&gt;='MD-ratios'!$AA29,5+5*LOG(1+('MD-ratios'!$U29-1)*('MD-ratios'!BL29-'MD-ratios'!$AA29)/('MD-ratios'!$AC29-'MD-ratios'!$AA29))/LOG('MD-ratios'!$U29),IF('MD-ratios'!BL29&gt;'MD-ratios'!$Y29,5-5*LOG(1+('MD-ratios'!$U29-1)*('MD-ratios'!BL29-'MD-ratios'!$AA29)/('MD-ratios'!$Y29-'MD-ratios'!$AA29))/LOG('MD-ratios'!$U29),0)))</f>
        <v>10</v>
      </c>
      <c r="BD26" s="242">
        <f>IF('MD-ratios'!BM29&gt;'MD-ratios'!$AC29,10,IF('MD-ratios'!BM29&gt;='MD-ratios'!$AA29,5+5*LOG(1+('MD-ratios'!$U29-1)*('MD-ratios'!BM29-'MD-ratios'!$AA29)/('MD-ratios'!$AC29-'MD-ratios'!$AA29))/LOG('MD-ratios'!$U29),IF('MD-ratios'!BM29&gt;'MD-ratios'!$Y29,5-5*LOG(1+('MD-ratios'!$U29-1)*('MD-ratios'!BM29-'MD-ratios'!$AA29)/('MD-ratios'!$Y29-'MD-ratios'!$AA29))/LOG('MD-ratios'!$U29),0)))</f>
        <v>9.0817048238936628</v>
      </c>
      <c r="BE26" s="242">
        <f>IF('MD-ratios'!BN29&gt;'MD-ratios'!$AC29,10,IF('MD-ratios'!BN29&gt;='MD-ratios'!$AA29,5+5*LOG(1+('MD-ratios'!$U29-1)*('MD-ratios'!BN29-'MD-ratios'!$AA29)/('MD-ratios'!$AC29-'MD-ratios'!$AA29))/LOG('MD-ratios'!$U29),IF('MD-ratios'!BN29&gt;'MD-ratios'!$Y29,5-5*LOG(1+('MD-ratios'!$U29-1)*('MD-ratios'!BN29-'MD-ratios'!$AA29)/('MD-ratios'!$Y29-'MD-ratios'!$AA29))/LOG('MD-ratios'!$U29),0)))</f>
        <v>6.6952855090618453</v>
      </c>
      <c r="BF26" s="242">
        <f>IF('MD-ratios'!BO29&gt;'MD-ratios'!$AC29,10,IF('MD-ratios'!BO29&gt;='MD-ratios'!$AA29,5+5*LOG(1+('MD-ratios'!$U29-1)*('MD-ratios'!BO29-'MD-ratios'!$AA29)/('MD-ratios'!$AC29-'MD-ratios'!$AA29))/LOG('MD-ratios'!$U29),IF('MD-ratios'!BO29&gt;'MD-ratios'!$Y29,5-5*LOG(1+('MD-ratios'!$U29-1)*('MD-ratios'!BO29-'MD-ratios'!$AA29)/('MD-ratios'!$Y29-'MD-ratios'!$AA29))/LOG('MD-ratios'!$U29),0)))</f>
        <v>6.4967852039730491</v>
      </c>
      <c r="BG26" s="242">
        <f>IF('MD-ratios'!BP29&gt;'MD-ratios'!$AC29,10,IF('MD-ratios'!BP29&gt;='MD-ratios'!$AA29,5+5*LOG(1+('MD-ratios'!$U29-1)*('MD-ratios'!BP29-'MD-ratios'!$AA29)/('MD-ratios'!$AC29-'MD-ratios'!$AA29))/LOG('MD-ratios'!$U29),IF('MD-ratios'!BP29&gt;'MD-ratios'!$Y29,5-5*LOG(1+('MD-ratios'!$U29-1)*('MD-ratios'!BP29-'MD-ratios'!$AA29)/('MD-ratios'!$Y29-'MD-ratios'!$AA29))/LOG('MD-ratios'!$U29),0)))</f>
        <v>9.7906030370604356</v>
      </c>
      <c r="BH26" s="242">
        <f>IF('MD-ratios'!BQ29&gt;'MD-ratios'!$AC29,10,IF('MD-ratios'!BQ29&gt;='MD-ratios'!$AA29,5+5*LOG(1+('MD-ratios'!$U29-1)*('MD-ratios'!BQ29-'MD-ratios'!$AA29)/('MD-ratios'!$AC29-'MD-ratios'!$AA29))/LOG('MD-ratios'!$U29),IF('MD-ratios'!BQ29&gt;'MD-ratios'!$Y29,5-5*LOG(1+('MD-ratios'!$U29-1)*('MD-ratios'!BQ29-'MD-ratios'!$AA29)/('MD-ratios'!$Y29-'MD-ratios'!$AA29))/LOG('MD-ratios'!$U29),0)))</f>
        <v>4.4740411903206603</v>
      </c>
      <c r="BI26" s="242">
        <f>IF('MD-ratios'!BR29&gt;'MD-ratios'!$AC29,10,IF('MD-ratios'!BR29&gt;='MD-ratios'!$AA29,5+5*LOG(1+('MD-ratios'!$U29-1)*('MD-ratios'!BR29-'MD-ratios'!$AA29)/('MD-ratios'!$AC29-'MD-ratios'!$AA29))/LOG('MD-ratios'!$U29),IF('MD-ratios'!BR29&gt;'MD-ratios'!$Y29,5-5*LOG(1+('MD-ratios'!$U29-1)*('MD-ratios'!BR29-'MD-ratios'!$AA29)/('MD-ratios'!$Y29-'MD-ratios'!$AA29))/LOG('MD-ratios'!$U29),0)))</f>
        <v>6.5327500963756204</v>
      </c>
      <c r="BJ26" s="242">
        <f>IF('MD-ratios'!BS29&gt;'MD-ratios'!$AC29,10,IF('MD-ratios'!BS29&gt;='MD-ratios'!$AA29,5+5*LOG(1+('MD-ratios'!$U29-1)*('MD-ratios'!BS29-'MD-ratios'!$AA29)/('MD-ratios'!$AC29-'MD-ratios'!$AA29))/LOG('MD-ratios'!$U29),IF('MD-ratios'!BS29&gt;'MD-ratios'!$Y29,5-5*LOG(1+('MD-ratios'!$U29-1)*('MD-ratios'!BS29-'MD-ratios'!$AA29)/('MD-ratios'!$Y29-'MD-ratios'!$AA29))/LOG('MD-ratios'!$U29),0)))</f>
        <v>5.494806887329247</v>
      </c>
      <c r="BK26" s="242">
        <f>IF('MD-ratios'!BT29&gt;'MD-ratios'!$AC29,10,IF('MD-ratios'!BT29&gt;='MD-ratios'!$AA29,5+5*LOG(1+('MD-ratios'!$U29-1)*('MD-ratios'!BT29-'MD-ratios'!$AA29)/('MD-ratios'!$AC29-'MD-ratios'!$AA29))/LOG('MD-ratios'!$U29),IF('MD-ratios'!BT29&gt;'MD-ratios'!$Y29,5-5*LOG(1+('MD-ratios'!$U29-1)*('MD-ratios'!BT29-'MD-ratios'!$AA29)/('MD-ratios'!$Y29-'MD-ratios'!$AA29))/LOG('MD-ratios'!$U29),0)))</f>
        <v>2.3680186502182967</v>
      </c>
      <c r="BL26" s="242">
        <f>IF('MD-ratios'!BU29&gt;'MD-ratios'!$AC29,10,IF('MD-ratios'!BU29&gt;='MD-ratios'!$AA29,5+5*LOG(1+('MD-ratios'!$U29-1)*('MD-ratios'!BU29-'MD-ratios'!$AA29)/('MD-ratios'!$AC29-'MD-ratios'!$AA29))/LOG('MD-ratios'!$U29),IF('MD-ratios'!BU29&gt;'MD-ratios'!$Y29,5-5*LOG(1+('MD-ratios'!$U29-1)*('MD-ratios'!BU29-'MD-ratios'!$AA29)/('MD-ratios'!$Y29-'MD-ratios'!$AA29))/LOG('MD-ratios'!$U29),0)))</f>
        <v>7.940939671232897</v>
      </c>
      <c r="BM26" s="242">
        <f>IF('MD-ratios'!BV29&gt;'MD-ratios'!$AC29,10,IF('MD-ratios'!BV29&gt;='MD-ratios'!$AA29,5+5*LOG(1+('MD-ratios'!$U29-1)*('MD-ratios'!BV29-'MD-ratios'!$AA29)/('MD-ratios'!$AC29-'MD-ratios'!$AA29))/LOG('MD-ratios'!$U29),IF('MD-ratios'!BV29&gt;'MD-ratios'!$Y29,5-5*LOG(1+('MD-ratios'!$U29-1)*('MD-ratios'!BV29-'MD-ratios'!$AA29)/('MD-ratios'!$Y29-'MD-ratios'!$AA29))/LOG('MD-ratios'!$U29),0)))</f>
        <v>7.7760601171263914</v>
      </c>
      <c r="BN26" s="242">
        <f>IF('MD-ratios'!BW29&gt;'MD-ratios'!$AC29,10,IF('MD-ratios'!BW29&gt;='MD-ratios'!$AA29,5+5*LOG(1+('MD-ratios'!$U29-1)*('MD-ratios'!BW29-'MD-ratios'!$AA29)/('MD-ratios'!$AC29-'MD-ratios'!$AA29))/LOG('MD-ratios'!$U29),IF('MD-ratios'!BW29&gt;'MD-ratios'!$Y29,5-5*LOG(1+('MD-ratios'!$U29-1)*('MD-ratios'!BW29-'MD-ratios'!$AA29)/('MD-ratios'!$Y29-'MD-ratios'!$AA29))/LOG('MD-ratios'!$U29),0)))</f>
        <v>1.1672388919660315</v>
      </c>
      <c r="BO26" s="242">
        <f>IF('MD-ratios'!BX29&gt;'MD-ratios'!$AC29,10,IF('MD-ratios'!BX29&gt;='MD-ratios'!$AA29,5+5*LOG(1+('MD-ratios'!$U29-1)*('MD-ratios'!BX29-'MD-ratios'!$AA29)/('MD-ratios'!$AC29-'MD-ratios'!$AA29))/LOG('MD-ratios'!$U29),IF('MD-ratios'!BX29&gt;'MD-ratios'!$Y29,5-5*LOG(1+('MD-ratios'!$U29-1)*('MD-ratios'!BX29-'MD-ratios'!$AA29)/('MD-ratios'!$Y29-'MD-ratios'!$AA29))/LOG('MD-ratios'!$U29),0)))</f>
        <v>8.1635269721935231</v>
      </c>
      <c r="BP26" s="242">
        <f>IF('MD-ratios'!BY29&gt;'MD-ratios'!$AC29,10,IF('MD-ratios'!BY29&gt;='MD-ratios'!$AA29,5+5*LOG(1+('MD-ratios'!$U29-1)*('MD-ratios'!BY29-'MD-ratios'!$AA29)/('MD-ratios'!$AC29-'MD-ratios'!$AA29))/LOG('MD-ratios'!$U29),IF('MD-ratios'!BY29&gt;'MD-ratios'!$Y29,5-5*LOG(1+('MD-ratios'!$U29-1)*('MD-ratios'!BY29-'MD-ratios'!$AA29)/('MD-ratios'!$Y29-'MD-ratios'!$AA29))/LOG('MD-ratios'!$U29),0)))</f>
        <v>4.2183841099167756</v>
      </c>
      <c r="BQ26" s="242">
        <f>IF('MD-ratios'!BZ29&gt;'MD-ratios'!$AC29,10,IF('MD-ratios'!BZ29&gt;='MD-ratios'!$AA29,5+5*LOG(1+('MD-ratios'!$U29-1)*('MD-ratios'!BZ29-'MD-ratios'!$AA29)/('MD-ratios'!$AC29-'MD-ratios'!$AA29))/LOG('MD-ratios'!$U29),IF('MD-ratios'!BZ29&gt;'MD-ratios'!$Y29,5-5*LOG(1+('MD-ratios'!$U29-1)*('MD-ratios'!BZ29-'MD-ratios'!$AA29)/('MD-ratios'!$Y29-'MD-ratios'!$AA29))/LOG('MD-ratios'!$U29),0)))</f>
        <v>8.8300899520528677</v>
      </c>
      <c r="BR26" s="242">
        <f>IF('MD-ratios'!CA29&gt;'MD-ratios'!$AC29,10,IF('MD-ratios'!CA29&gt;='MD-ratios'!$AA29,5+5*LOG(1+('MD-ratios'!$U29-1)*('MD-ratios'!CA29-'MD-ratios'!$AA29)/('MD-ratios'!$AC29-'MD-ratios'!$AA29))/LOG('MD-ratios'!$U29),IF('MD-ratios'!CA29&gt;'MD-ratios'!$Y29,5-5*LOG(1+('MD-ratios'!$U29-1)*('MD-ratios'!CA29-'MD-ratios'!$AA29)/('MD-ratios'!$Y29-'MD-ratios'!$AA29))/LOG('MD-ratios'!$U29),0)))</f>
        <v>7.7482004175968608</v>
      </c>
      <c r="BS26" s="242">
        <f>IF('MD-ratios'!CB29&gt;'MD-ratios'!$AC29,10,IF('MD-ratios'!CB29&gt;='MD-ratios'!$AA29,5+5*LOG(1+('MD-ratios'!$U29-1)*('MD-ratios'!CB29-'MD-ratios'!$AA29)/('MD-ratios'!$AC29-'MD-ratios'!$AA29))/LOG('MD-ratios'!$U29),IF('MD-ratios'!CB29&gt;'MD-ratios'!$Y29,5-5*LOG(1+('MD-ratios'!$U29-1)*('MD-ratios'!CB29-'MD-ratios'!$AA29)/('MD-ratios'!$Y29-'MD-ratios'!$AA29))/LOG('MD-ratios'!$U29),0)))</f>
        <v>3.1074334332454514</v>
      </c>
      <c r="BT26" s="242">
        <f>IF('MD-ratios'!CC29&gt;'MD-ratios'!$AC29,10,IF('MD-ratios'!CC29&gt;='MD-ratios'!$AA29,5+5*LOG(1+('MD-ratios'!$U29-1)*('MD-ratios'!CC29-'MD-ratios'!$AA29)/('MD-ratios'!$AC29-'MD-ratios'!$AA29))/LOG('MD-ratios'!$U29),IF('MD-ratios'!CC29&gt;'MD-ratios'!$Y29,5-5*LOG(1+('MD-ratios'!$U29-1)*('MD-ratios'!CC29-'MD-ratios'!$AA29)/('MD-ratios'!$Y29-'MD-ratios'!$AA29))/LOG('MD-ratios'!$U29),0)))</f>
        <v>5.5616841766489369</v>
      </c>
    </row>
    <row r="27" spans="1:72" ht="15.75" thickBot="1" x14ac:dyDescent="0.3">
      <c r="A27" s="640"/>
      <c r="B27" s="634"/>
      <c r="C27" s="256">
        <f t="shared" si="108"/>
        <v>0.1</v>
      </c>
      <c r="D27" s="257" t="str">
        <f t="shared" ref="D27:I27" si="110">D10</f>
        <v>ROS – Return on Sales</v>
      </c>
      <c r="E27" s="227" t="str">
        <f t="shared" si="110"/>
        <v>Net Profit ÷ Sales</v>
      </c>
      <c r="F27" s="279">
        <f t="shared" si="110"/>
        <v>1</v>
      </c>
      <c r="G27" s="279">
        <f t="shared" si="110"/>
        <v>2</v>
      </c>
      <c r="H27" s="279">
        <f t="shared" si="110"/>
        <v>3</v>
      </c>
      <c r="I27" s="279">
        <f t="shared" si="110"/>
        <v>4</v>
      </c>
      <c r="K27" s="595" t="s">
        <v>386</v>
      </c>
      <c r="L27" s="224" t="s">
        <v>389</v>
      </c>
      <c r="N27" s="653"/>
      <c r="P27" s="226">
        <f>'MD-ratios'!Y30</f>
        <v>-0.16357423620862643</v>
      </c>
      <c r="Q27" s="566">
        <f>'MD-ratios'!Z30</f>
        <v>-8.1787118104313217E-2</v>
      </c>
      <c r="R27" s="226">
        <f>'MD-ratios'!AA30</f>
        <v>0</v>
      </c>
      <c r="S27" s="566">
        <f>'MD-ratios'!AB30</f>
        <v>8.1787118104313217E-2</v>
      </c>
      <c r="T27" s="226">
        <f>'MD-ratios'!AC30</f>
        <v>0.16357423620862643</v>
      </c>
      <c r="W27" s="242">
        <f>IF('MD-ratios'!AF30&gt;'MD-ratios'!$AC30,10,IF('MD-ratios'!AF30&gt;='MD-ratios'!$AA30,5+5*LOG(1+('MD-ratios'!$U30-1)*('MD-ratios'!AF30-'MD-ratios'!$AA30)/('MD-ratios'!$AC30-'MD-ratios'!$AA30))/LOG('MD-ratios'!$U30),IF('MD-ratios'!AF30&gt;'MD-ratios'!$Y30,5-5*LOG(1+('MD-ratios'!$U30-1)*('MD-ratios'!AF30-'MD-ratios'!$AA30)/('MD-ratios'!$Y30-'MD-ratios'!$AA30))/LOG('MD-ratios'!$U30),0)))</f>
        <v>9.3223292269677049</v>
      </c>
      <c r="X27" s="242">
        <f>IF('MD-ratios'!AG30&gt;'MD-ratios'!$AC30,10,IF('MD-ratios'!AG30&gt;='MD-ratios'!$AA30,5+5*LOG(1+('MD-ratios'!$U30-1)*('MD-ratios'!AG30-'MD-ratios'!$AA30)/('MD-ratios'!$AC30-'MD-ratios'!$AA30))/LOG('MD-ratios'!$U30),IF('MD-ratios'!AG30&gt;'MD-ratios'!$Y30,5-5*LOG(1+('MD-ratios'!$U30-1)*('MD-ratios'!AG30-'MD-ratios'!$AA30)/('MD-ratios'!$Y30-'MD-ratios'!$AA30))/LOG('MD-ratios'!$U30),0)))</f>
        <v>7.2361457384568189</v>
      </c>
      <c r="Y27" s="242">
        <f>IF('MD-ratios'!AH30&gt;'MD-ratios'!$AC30,10,IF('MD-ratios'!AH30&gt;='MD-ratios'!$AA30,5+5*LOG(1+('MD-ratios'!$U30-1)*('MD-ratios'!AH30-'MD-ratios'!$AA30)/('MD-ratios'!$AC30-'MD-ratios'!$AA30))/LOG('MD-ratios'!$U30),IF('MD-ratios'!AH30&gt;'MD-ratios'!$Y30,5-5*LOG(1+('MD-ratios'!$U30-1)*('MD-ratios'!AH30-'MD-ratios'!$AA30)/('MD-ratios'!$Y30-'MD-ratios'!$AA30))/LOG('MD-ratios'!$U30),0)))</f>
        <v>2.5040826634237701</v>
      </c>
      <c r="Z27" s="242">
        <f>IF('MD-ratios'!AI30&gt;'MD-ratios'!$AC30,10,IF('MD-ratios'!AI30&gt;='MD-ratios'!$AA30,5+5*LOG(1+('MD-ratios'!$U30-1)*('MD-ratios'!AI30-'MD-ratios'!$AA30)/('MD-ratios'!$AC30-'MD-ratios'!$AA30))/LOG('MD-ratios'!$U30),IF('MD-ratios'!AI30&gt;'MD-ratios'!$Y30,5-5*LOG(1+('MD-ratios'!$U30-1)*('MD-ratios'!AI30-'MD-ratios'!$AA30)/('MD-ratios'!$Y30-'MD-ratios'!$AA30))/LOG('MD-ratios'!$U30),0)))</f>
        <v>0.39698705863741335</v>
      </c>
      <c r="AA27" s="242">
        <f>IF('MD-ratios'!AJ30&gt;'MD-ratios'!$AC30,10,IF('MD-ratios'!AJ30&gt;='MD-ratios'!$AA30,5+5*LOG(1+('MD-ratios'!$U30-1)*('MD-ratios'!AJ30-'MD-ratios'!$AA30)/('MD-ratios'!$AC30-'MD-ratios'!$AA30))/LOG('MD-ratios'!$U30),IF('MD-ratios'!AJ30&gt;'MD-ratios'!$Y30,5-5*LOG(1+('MD-ratios'!$U30-1)*('MD-ratios'!AJ30-'MD-ratios'!$AA30)/('MD-ratios'!$Y30-'MD-ratios'!$AA30))/LOG('MD-ratios'!$U30),0)))</f>
        <v>10</v>
      </c>
      <c r="AB27" s="242">
        <f>IF('MD-ratios'!AK30&gt;'MD-ratios'!$AC30,10,IF('MD-ratios'!AK30&gt;='MD-ratios'!$AA30,5+5*LOG(1+('MD-ratios'!$U30-1)*('MD-ratios'!AK30-'MD-ratios'!$AA30)/('MD-ratios'!$AC30-'MD-ratios'!$AA30))/LOG('MD-ratios'!$U30),IF('MD-ratios'!AK30&gt;'MD-ratios'!$Y30,5-5*LOG(1+('MD-ratios'!$U30-1)*('MD-ratios'!AK30-'MD-ratios'!$AA30)/('MD-ratios'!$Y30-'MD-ratios'!$AA30))/LOG('MD-ratios'!$U30),0)))</f>
        <v>0</v>
      </c>
      <c r="AC27" s="242">
        <f>IF('MD-ratios'!AL30&gt;'MD-ratios'!$AC30,10,IF('MD-ratios'!AL30&gt;='MD-ratios'!$AA30,5+5*LOG(1+('MD-ratios'!$U30-1)*('MD-ratios'!AL30-'MD-ratios'!$AA30)/('MD-ratios'!$AC30-'MD-ratios'!$AA30))/LOG('MD-ratios'!$U30),IF('MD-ratios'!AL30&gt;'MD-ratios'!$Y30,5-5*LOG(1+('MD-ratios'!$U30-1)*('MD-ratios'!AL30-'MD-ratios'!$AA30)/('MD-ratios'!$Y30-'MD-ratios'!$AA30))/LOG('MD-ratios'!$U30),0)))</f>
        <v>7.8799800616927538</v>
      </c>
      <c r="AD27" s="242">
        <f>IF('MD-ratios'!AM30&gt;'MD-ratios'!$AC30,10,IF('MD-ratios'!AM30&gt;='MD-ratios'!$AA30,5+5*LOG(1+('MD-ratios'!$U30-1)*('MD-ratios'!AM30-'MD-ratios'!$AA30)/('MD-ratios'!$AC30-'MD-ratios'!$AA30))/LOG('MD-ratios'!$U30),IF('MD-ratios'!AM30&gt;'MD-ratios'!$Y30,5-5*LOG(1+('MD-ratios'!$U30-1)*('MD-ratios'!AM30-'MD-ratios'!$AA30)/('MD-ratios'!$Y30-'MD-ratios'!$AA30))/LOG('MD-ratios'!$U30),0)))</f>
        <v>9.9061149340649521</v>
      </c>
      <c r="AE27" s="242">
        <f>IF('MD-ratios'!AN30&gt;'MD-ratios'!$AC30,10,IF('MD-ratios'!AN30&gt;='MD-ratios'!$AA30,5+5*LOG(1+('MD-ratios'!$U30-1)*('MD-ratios'!AN30-'MD-ratios'!$AA30)/('MD-ratios'!$AC30-'MD-ratios'!$AA30))/LOG('MD-ratios'!$U30),IF('MD-ratios'!AN30&gt;'MD-ratios'!$Y30,5-5*LOG(1+('MD-ratios'!$U30-1)*('MD-ratios'!AN30-'MD-ratios'!$AA30)/('MD-ratios'!$Y30-'MD-ratios'!$AA30))/LOG('MD-ratios'!$U30),0)))</f>
        <v>5.5785163430618354</v>
      </c>
      <c r="AF27" s="242">
        <f>IF('MD-ratios'!AO30&gt;'MD-ratios'!$AC30,10,IF('MD-ratios'!AO30&gt;='MD-ratios'!$AA30,5+5*LOG(1+('MD-ratios'!$U30-1)*('MD-ratios'!AO30-'MD-ratios'!$AA30)/('MD-ratios'!$AC30-'MD-ratios'!$AA30))/LOG('MD-ratios'!$U30),IF('MD-ratios'!AO30&gt;'MD-ratios'!$Y30,5-5*LOG(1+('MD-ratios'!$U30-1)*('MD-ratios'!AO30-'MD-ratios'!$AA30)/('MD-ratios'!$Y30-'MD-ratios'!$AA30))/LOG('MD-ratios'!$U30),0)))</f>
        <v>1.6139299795447788</v>
      </c>
      <c r="AG27" s="242">
        <f>IF('MD-ratios'!AP30&gt;'MD-ratios'!$AC30,10,IF('MD-ratios'!AP30&gt;='MD-ratios'!$AA30,5+5*LOG(1+('MD-ratios'!$U30-1)*('MD-ratios'!AP30-'MD-ratios'!$AA30)/('MD-ratios'!$AC30-'MD-ratios'!$AA30))/LOG('MD-ratios'!$U30),IF('MD-ratios'!AP30&gt;'MD-ratios'!$Y30,5-5*LOG(1+('MD-ratios'!$U30-1)*('MD-ratios'!AP30-'MD-ratios'!$AA30)/('MD-ratios'!$Y30-'MD-ratios'!$AA30))/LOG('MD-ratios'!$U30),0)))</f>
        <v>7.1057095504579895</v>
      </c>
      <c r="AH27" s="242">
        <f>IF('MD-ratios'!AQ30&gt;'MD-ratios'!$AC30,10,IF('MD-ratios'!AQ30&gt;='MD-ratios'!$AA30,5+5*LOG(1+('MD-ratios'!$U30-1)*('MD-ratios'!AQ30-'MD-ratios'!$AA30)/('MD-ratios'!$AC30-'MD-ratios'!$AA30))/LOG('MD-ratios'!$U30),IF('MD-ratios'!AQ30&gt;'MD-ratios'!$Y30,5-5*LOG(1+('MD-ratios'!$U30-1)*('MD-ratios'!AQ30-'MD-ratios'!$AA30)/('MD-ratios'!$Y30-'MD-ratios'!$AA30))/LOG('MD-ratios'!$U30),0)))</f>
        <v>6.9314639056973064</v>
      </c>
      <c r="AI27" s="242">
        <f>IF('MD-ratios'!AR30&gt;'MD-ratios'!$AC30,10,IF('MD-ratios'!AR30&gt;='MD-ratios'!$AA30,5+5*LOG(1+('MD-ratios'!$U30-1)*('MD-ratios'!AR30-'MD-ratios'!$AA30)/('MD-ratios'!$AC30-'MD-ratios'!$AA30))/LOG('MD-ratios'!$U30),IF('MD-ratios'!AR30&gt;'MD-ratios'!$Y30,5-5*LOG(1+('MD-ratios'!$U30-1)*('MD-ratios'!AR30-'MD-ratios'!$AA30)/('MD-ratios'!$Y30-'MD-ratios'!$AA30))/LOG('MD-ratios'!$U30),0)))</f>
        <v>9.9655620610974651</v>
      </c>
      <c r="AJ27" s="242">
        <f>IF('MD-ratios'!AS30&gt;'MD-ratios'!$AC30,10,IF('MD-ratios'!AS30&gt;='MD-ratios'!$AA30,5+5*LOG(1+('MD-ratios'!$U30-1)*('MD-ratios'!AS30-'MD-ratios'!$AA30)/('MD-ratios'!$AC30-'MD-ratios'!$AA30))/LOG('MD-ratios'!$U30),IF('MD-ratios'!AS30&gt;'MD-ratios'!$Y30,5-5*LOG(1+('MD-ratios'!$U30-1)*('MD-ratios'!AS30-'MD-ratios'!$AA30)/('MD-ratios'!$Y30-'MD-ratios'!$AA30))/LOG('MD-ratios'!$U30),0)))</f>
        <v>6.2686390886977019</v>
      </c>
      <c r="AK27" s="242">
        <f>IF('MD-ratios'!AT30&gt;'MD-ratios'!$AC30,10,IF('MD-ratios'!AT30&gt;='MD-ratios'!$AA30,5+5*LOG(1+('MD-ratios'!$U30-1)*('MD-ratios'!AT30-'MD-ratios'!$AA30)/('MD-ratios'!$AC30-'MD-ratios'!$AA30))/LOG('MD-ratios'!$U30),IF('MD-ratios'!AT30&gt;'MD-ratios'!$Y30,5-5*LOG(1+('MD-ratios'!$U30-1)*('MD-ratios'!AT30-'MD-ratios'!$AA30)/('MD-ratios'!$Y30-'MD-ratios'!$AA30))/LOG('MD-ratios'!$U30),0)))</f>
        <v>6.8405725495816085</v>
      </c>
      <c r="AL27" s="242">
        <f>IF('MD-ratios'!AU30&gt;'MD-ratios'!$AC30,10,IF('MD-ratios'!AU30&gt;='MD-ratios'!$AA30,5+5*LOG(1+('MD-ratios'!$U30-1)*('MD-ratios'!AU30-'MD-ratios'!$AA30)/('MD-ratios'!$AC30-'MD-ratios'!$AA30))/LOG('MD-ratios'!$U30),IF('MD-ratios'!AU30&gt;'MD-ratios'!$Y30,5-5*LOG(1+('MD-ratios'!$U30-1)*('MD-ratios'!AU30-'MD-ratios'!$AA30)/('MD-ratios'!$Y30-'MD-ratios'!$AA30))/LOG('MD-ratios'!$U30),0)))</f>
        <v>8.5691621581683783</v>
      </c>
      <c r="AM27" s="242">
        <f>IF('MD-ratios'!AV30&gt;'MD-ratios'!$AC30,10,IF('MD-ratios'!AV30&gt;='MD-ratios'!$AA30,5+5*LOG(1+('MD-ratios'!$U30-1)*('MD-ratios'!AV30-'MD-ratios'!$AA30)/('MD-ratios'!$AC30-'MD-ratios'!$AA30))/LOG('MD-ratios'!$U30),IF('MD-ratios'!AV30&gt;'MD-ratios'!$Y30,5-5*LOG(1+('MD-ratios'!$U30-1)*('MD-ratios'!AV30-'MD-ratios'!$AA30)/('MD-ratios'!$Y30-'MD-ratios'!$AA30))/LOG('MD-ratios'!$U30),0)))</f>
        <v>6.4693687438648091</v>
      </c>
      <c r="AN27" s="242">
        <f>IF('MD-ratios'!AW30&gt;'MD-ratios'!$AC30,10,IF('MD-ratios'!AW30&gt;='MD-ratios'!$AA30,5+5*LOG(1+('MD-ratios'!$U30-1)*('MD-ratios'!AW30-'MD-ratios'!$AA30)/('MD-ratios'!$AC30-'MD-ratios'!$AA30))/LOG('MD-ratios'!$U30),IF('MD-ratios'!AW30&gt;'MD-ratios'!$Y30,5-5*LOG(1+('MD-ratios'!$U30-1)*('MD-ratios'!AW30-'MD-ratios'!$AA30)/('MD-ratios'!$Y30-'MD-ratios'!$AA30))/LOG('MD-ratios'!$U30),0)))</f>
        <v>6.0217497429938103</v>
      </c>
      <c r="AO27" s="242">
        <f>IF('MD-ratios'!AX30&gt;'MD-ratios'!$AC30,10,IF('MD-ratios'!AX30&gt;='MD-ratios'!$AA30,5+5*LOG(1+('MD-ratios'!$U30-1)*('MD-ratios'!AX30-'MD-ratios'!$AA30)/('MD-ratios'!$AC30-'MD-ratios'!$AA30))/LOG('MD-ratios'!$U30),IF('MD-ratios'!AX30&gt;'MD-ratios'!$Y30,5-5*LOG(1+('MD-ratios'!$U30-1)*('MD-ratios'!AX30-'MD-ratios'!$AA30)/('MD-ratios'!$Y30-'MD-ratios'!$AA30))/LOG('MD-ratios'!$U30),0)))</f>
        <v>6.919004653980938</v>
      </c>
      <c r="AP27" s="242">
        <f>IF('MD-ratios'!AY30&gt;'MD-ratios'!$AC30,10,IF('MD-ratios'!AY30&gt;='MD-ratios'!$AA30,5+5*LOG(1+('MD-ratios'!$U30-1)*('MD-ratios'!AY30-'MD-ratios'!$AA30)/('MD-ratios'!$AC30-'MD-ratios'!$AA30))/LOG('MD-ratios'!$U30),IF('MD-ratios'!AY30&gt;'MD-ratios'!$Y30,5-5*LOG(1+('MD-ratios'!$U30-1)*('MD-ratios'!AY30-'MD-ratios'!$AA30)/('MD-ratios'!$Y30-'MD-ratios'!$AA30))/LOG('MD-ratios'!$U30),0)))</f>
        <v>8.1205739534617649</v>
      </c>
      <c r="AQ27" s="242">
        <f>IF('MD-ratios'!AZ30&gt;'MD-ratios'!$AC30,10,IF('MD-ratios'!AZ30&gt;='MD-ratios'!$AA30,5+5*LOG(1+('MD-ratios'!$U30-1)*('MD-ratios'!AZ30-'MD-ratios'!$AA30)/('MD-ratios'!$AC30-'MD-ratios'!$AA30))/LOG('MD-ratios'!$U30),IF('MD-ratios'!AZ30&gt;'MD-ratios'!$Y30,5-5*LOG(1+('MD-ratios'!$U30-1)*('MD-ratios'!AZ30-'MD-ratios'!$AA30)/('MD-ratios'!$Y30-'MD-ratios'!$AA30))/LOG('MD-ratios'!$U30),0)))</f>
        <v>3.3689477208668857</v>
      </c>
      <c r="AR27" s="242">
        <f>IF('MD-ratios'!BA30&gt;'MD-ratios'!$AC30,10,IF('MD-ratios'!BA30&gt;='MD-ratios'!$AA30,5+5*LOG(1+('MD-ratios'!$U30-1)*('MD-ratios'!BA30-'MD-ratios'!$AA30)/('MD-ratios'!$AC30-'MD-ratios'!$AA30))/LOG('MD-ratios'!$U30),IF('MD-ratios'!BA30&gt;'MD-ratios'!$Y30,5-5*LOG(1+('MD-ratios'!$U30-1)*('MD-ratios'!BA30-'MD-ratios'!$AA30)/('MD-ratios'!$Y30-'MD-ratios'!$AA30))/LOG('MD-ratios'!$U30),0)))</f>
        <v>7.8617769899454171</v>
      </c>
      <c r="AS27" s="242">
        <f>IF('MD-ratios'!BB30&gt;'MD-ratios'!$AC30,10,IF('MD-ratios'!BB30&gt;='MD-ratios'!$AA30,5+5*LOG(1+('MD-ratios'!$U30-1)*('MD-ratios'!BB30-'MD-ratios'!$AA30)/('MD-ratios'!$AC30-'MD-ratios'!$AA30))/LOG('MD-ratios'!$U30),IF('MD-ratios'!BB30&gt;'MD-ratios'!$Y30,5-5*LOG(1+('MD-ratios'!$U30-1)*('MD-ratios'!BB30-'MD-ratios'!$AA30)/('MD-ratios'!$Y30-'MD-ratios'!$AA30))/LOG('MD-ratios'!$U30),0)))</f>
        <v>0.15597956350595243</v>
      </c>
      <c r="AT27" s="242">
        <f>IF('MD-ratios'!BC30&gt;'MD-ratios'!$AC30,10,IF('MD-ratios'!BC30&gt;='MD-ratios'!$AA30,5+5*LOG(1+('MD-ratios'!$U30-1)*('MD-ratios'!BC30-'MD-ratios'!$AA30)/('MD-ratios'!$AC30-'MD-ratios'!$AA30))/LOG('MD-ratios'!$U30),IF('MD-ratios'!BC30&gt;'MD-ratios'!$Y30,5-5*LOG(1+('MD-ratios'!$U30-1)*('MD-ratios'!BC30-'MD-ratios'!$AA30)/('MD-ratios'!$Y30-'MD-ratios'!$AA30))/LOG('MD-ratios'!$U30),0)))</f>
        <v>7.3973542973825683</v>
      </c>
      <c r="AU27" s="242">
        <f>IF('MD-ratios'!BD30&gt;'MD-ratios'!$AC30,10,IF('MD-ratios'!BD30&gt;='MD-ratios'!$AA30,5+5*LOG(1+('MD-ratios'!$U30-1)*('MD-ratios'!BD30-'MD-ratios'!$AA30)/('MD-ratios'!$AC30-'MD-ratios'!$AA30))/LOG('MD-ratios'!$U30),IF('MD-ratios'!BD30&gt;'MD-ratios'!$Y30,5-5*LOG(1+('MD-ratios'!$U30-1)*('MD-ratios'!BD30-'MD-ratios'!$AA30)/('MD-ratios'!$Y30-'MD-ratios'!$AA30))/LOG('MD-ratios'!$U30),0)))</f>
        <v>8.0884048367524013</v>
      </c>
      <c r="AV27" s="242">
        <f>IF('MD-ratios'!BE30&gt;'MD-ratios'!$AC30,10,IF('MD-ratios'!BE30&gt;='MD-ratios'!$AA30,5+5*LOG(1+('MD-ratios'!$U30-1)*('MD-ratios'!BE30-'MD-ratios'!$AA30)/('MD-ratios'!$AC30-'MD-ratios'!$AA30))/LOG('MD-ratios'!$U30),IF('MD-ratios'!BE30&gt;'MD-ratios'!$Y30,5-5*LOG(1+('MD-ratios'!$U30-1)*('MD-ratios'!BE30-'MD-ratios'!$AA30)/('MD-ratios'!$Y30-'MD-ratios'!$AA30))/LOG('MD-ratios'!$U30),0)))</f>
        <v>5.8747805611565296</v>
      </c>
      <c r="AW27" s="242">
        <f>IF('MD-ratios'!BF30&gt;'MD-ratios'!$AC30,10,IF('MD-ratios'!BF30&gt;='MD-ratios'!$AA30,5+5*LOG(1+('MD-ratios'!$U30-1)*('MD-ratios'!BF30-'MD-ratios'!$AA30)/('MD-ratios'!$AC30-'MD-ratios'!$AA30))/LOG('MD-ratios'!$U30),IF('MD-ratios'!BF30&gt;'MD-ratios'!$Y30,5-5*LOG(1+('MD-ratios'!$U30-1)*('MD-ratios'!BF30-'MD-ratios'!$AA30)/('MD-ratios'!$Y30-'MD-ratios'!$AA30))/LOG('MD-ratios'!$U30),0)))</f>
        <v>9.3381809589905416</v>
      </c>
      <c r="AX27" s="242">
        <f>IF('MD-ratios'!BG30&gt;'MD-ratios'!$AC30,10,IF('MD-ratios'!BG30&gt;='MD-ratios'!$AA30,5+5*LOG(1+('MD-ratios'!$U30-1)*('MD-ratios'!BG30-'MD-ratios'!$AA30)/('MD-ratios'!$AC30-'MD-ratios'!$AA30))/LOG('MD-ratios'!$U30),IF('MD-ratios'!BG30&gt;'MD-ratios'!$Y30,5-5*LOG(1+('MD-ratios'!$U30-1)*('MD-ratios'!BG30-'MD-ratios'!$AA30)/('MD-ratios'!$Y30-'MD-ratios'!$AA30))/LOG('MD-ratios'!$U30),0)))</f>
        <v>6.1528684858445439</v>
      </c>
      <c r="AY27" s="242">
        <f>IF('MD-ratios'!BH30&gt;'MD-ratios'!$AC30,10,IF('MD-ratios'!BH30&gt;='MD-ratios'!$AA30,5+5*LOG(1+('MD-ratios'!$U30-1)*('MD-ratios'!BH30-'MD-ratios'!$AA30)/('MD-ratios'!$AC30-'MD-ratios'!$AA30))/LOG('MD-ratios'!$U30),IF('MD-ratios'!BH30&gt;'MD-ratios'!$Y30,5-5*LOG(1+('MD-ratios'!$U30-1)*('MD-ratios'!BH30-'MD-ratios'!$AA30)/('MD-ratios'!$Y30-'MD-ratios'!$AA30))/LOG('MD-ratios'!$U30),0)))</f>
        <v>8.4388597693540692</v>
      </c>
      <c r="AZ27" s="242">
        <f>IF('MD-ratios'!BI30&gt;'MD-ratios'!$AC30,10,IF('MD-ratios'!BI30&gt;='MD-ratios'!$AA30,5+5*LOG(1+('MD-ratios'!$U30-1)*('MD-ratios'!BI30-'MD-ratios'!$AA30)/('MD-ratios'!$AC30-'MD-ratios'!$AA30))/LOG('MD-ratios'!$U30),IF('MD-ratios'!BI30&gt;'MD-ratios'!$Y30,5-5*LOG(1+('MD-ratios'!$U30-1)*('MD-ratios'!BI30-'MD-ratios'!$AA30)/('MD-ratios'!$Y30-'MD-ratios'!$AA30))/LOG('MD-ratios'!$U30),0)))</f>
        <v>6.2540526929163569</v>
      </c>
      <c r="BA27" s="242">
        <f>IF('MD-ratios'!BJ30&gt;'MD-ratios'!$AC30,10,IF('MD-ratios'!BJ30&gt;='MD-ratios'!$AA30,5+5*LOG(1+('MD-ratios'!$U30-1)*('MD-ratios'!BJ30-'MD-ratios'!$AA30)/('MD-ratios'!$AC30-'MD-ratios'!$AA30))/LOG('MD-ratios'!$U30),IF('MD-ratios'!BJ30&gt;'MD-ratios'!$Y30,5-5*LOG(1+('MD-ratios'!$U30-1)*('MD-ratios'!BJ30-'MD-ratios'!$AA30)/('MD-ratios'!$Y30-'MD-ratios'!$AA30))/LOG('MD-ratios'!$U30),0)))</f>
        <v>8.5471193058911048</v>
      </c>
      <c r="BB27" s="242">
        <f>IF('MD-ratios'!BK30&gt;'MD-ratios'!$AC30,10,IF('MD-ratios'!BK30&gt;='MD-ratios'!$AA30,5+5*LOG(1+('MD-ratios'!$U30-1)*('MD-ratios'!BK30-'MD-ratios'!$AA30)/('MD-ratios'!$AC30-'MD-ratios'!$AA30))/LOG('MD-ratios'!$U30),IF('MD-ratios'!BK30&gt;'MD-ratios'!$Y30,5-5*LOG(1+('MD-ratios'!$U30-1)*('MD-ratios'!BK30-'MD-ratios'!$AA30)/('MD-ratios'!$Y30-'MD-ratios'!$AA30))/LOG('MD-ratios'!$U30),0)))</f>
        <v>0.91944282378409969</v>
      </c>
      <c r="BC27" s="242">
        <f>IF('MD-ratios'!BL30&gt;'MD-ratios'!$AC30,10,IF('MD-ratios'!BL30&gt;='MD-ratios'!$AA30,5+5*LOG(1+('MD-ratios'!$U30-1)*('MD-ratios'!BL30-'MD-ratios'!$AA30)/('MD-ratios'!$AC30-'MD-ratios'!$AA30))/LOG('MD-ratios'!$U30),IF('MD-ratios'!BL30&gt;'MD-ratios'!$Y30,5-5*LOG(1+('MD-ratios'!$U30-1)*('MD-ratios'!BL30-'MD-ratios'!$AA30)/('MD-ratios'!$Y30-'MD-ratios'!$AA30))/LOG('MD-ratios'!$U30),0)))</f>
        <v>10</v>
      </c>
      <c r="BD27" s="242">
        <f>IF('MD-ratios'!BM30&gt;'MD-ratios'!$AC30,10,IF('MD-ratios'!BM30&gt;='MD-ratios'!$AA30,5+5*LOG(1+('MD-ratios'!$U30-1)*('MD-ratios'!BM30-'MD-ratios'!$AA30)/('MD-ratios'!$AC30-'MD-ratios'!$AA30))/LOG('MD-ratios'!$U30),IF('MD-ratios'!BM30&gt;'MD-ratios'!$Y30,5-5*LOG(1+('MD-ratios'!$U30-1)*('MD-ratios'!BM30-'MD-ratios'!$AA30)/('MD-ratios'!$Y30-'MD-ratios'!$AA30))/LOG('MD-ratios'!$U30),0)))</f>
        <v>7.6285931711874468</v>
      </c>
      <c r="BE27" s="242">
        <f>IF('MD-ratios'!BN30&gt;'MD-ratios'!$AC30,10,IF('MD-ratios'!BN30&gt;='MD-ratios'!$AA30,5+5*LOG(1+('MD-ratios'!$U30-1)*('MD-ratios'!BN30-'MD-ratios'!$AA30)/('MD-ratios'!$AC30-'MD-ratios'!$AA30))/LOG('MD-ratios'!$U30),IF('MD-ratios'!BN30&gt;'MD-ratios'!$Y30,5-5*LOG(1+('MD-ratios'!$U30-1)*('MD-ratios'!BN30-'MD-ratios'!$AA30)/('MD-ratios'!$Y30-'MD-ratios'!$AA30))/LOG('MD-ratios'!$U30),0)))</f>
        <v>6.5973474326075978</v>
      </c>
      <c r="BF27" s="242">
        <f>IF('MD-ratios'!BO30&gt;'MD-ratios'!$AC30,10,IF('MD-ratios'!BO30&gt;='MD-ratios'!$AA30,5+5*LOG(1+('MD-ratios'!$U30-1)*('MD-ratios'!BO30-'MD-ratios'!$AA30)/('MD-ratios'!$AC30-'MD-ratios'!$AA30))/LOG('MD-ratios'!$U30),IF('MD-ratios'!BO30&gt;'MD-ratios'!$Y30,5-5*LOG(1+('MD-ratios'!$U30-1)*('MD-ratios'!BO30-'MD-ratios'!$AA30)/('MD-ratios'!$Y30-'MD-ratios'!$AA30))/LOG('MD-ratios'!$U30),0)))</f>
        <v>7.0388079880960301</v>
      </c>
      <c r="BG27" s="242">
        <f>IF('MD-ratios'!BP30&gt;'MD-ratios'!$AC30,10,IF('MD-ratios'!BP30&gt;='MD-ratios'!$AA30,5+5*LOG(1+('MD-ratios'!$U30-1)*('MD-ratios'!BP30-'MD-ratios'!$AA30)/('MD-ratios'!$AC30-'MD-ratios'!$AA30))/LOG('MD-ratios'!$U30),IF('MD-ratios'!BP30&gt;'MD-ratios'!$Y30,5-5*LOG(1+('MD-ratios'!$U30-1)*('MD-ratios'!BP30-'MD-ratios'!$AA30)/('MD-ratios'!$Y30-'MD-ratios'!$AA30))/LOG('MD-ratios'!$U30),0)))</f>
        <v>10</v>
      </c>
      <c r="BH27" s="242">
        <f>IF('MD-ratios'!BQ30&gt;'MD-ratios'!$AC30,10,IF('MD-ratios'!BQ30&gt;='MD-ratios'!$AA30,5+5*LOG(1+('MD-ratios'!$U30-1)*('MD-ratios'!BQ30-'MD-ratios'!$AA30)/('MD-ratios'!$AC30-'MD-ratios'!$AA30))/LOG('MD-ratios'!$U30),IF('MD-ratios'!BQ30&gt;'MD-ratios'!$Y30,5-5*LOG(1+('MD-ratios'!$U30-1)*('MD-ratios'!BQ30-'MD-ratios'!$AA30)/('MD-ratios'!$Y30-'MD-ratios'!$AA30))/LOG('MD-ratios'!$U30),0)))</f>
        <v>0.79030304830928788</v>
      </c>
      <c r="BI27" s="242">
        <f>IF('MD-ratios'!BR30&gt;'MD-ratios'!$AC30,10,IF('MD-ratios'!BR30&gt;='MD-ratios'!$AA30,5+5*LOG(1+('MD-ratios'!$U30-1)*('MD-ratios'!BR30-'MD-ratios'!$AA30)/('MD-ratios'!$AC30-'MD-ratios'!$AA30))/LOG('MD-ratios'!$U30),IF('MD-ratios'!BR30&gt;'MD-ratios'!$Y30,5-5*LOG(1+('MD-ratios'!$U30-1)*('MD-ratios'!BR30-'MD-ratios'!$AA30)/('MD-ratios'!$Y30-'MD-ratios'!$AA30))/LOG('MD-ratios'!$U30),0)))</f>
        <v>8.4428879714327181</v>
      </c>
      <c r="BJ27" s="242">
        <f>IF('MD-ratios'!BS30&gt;'MD-ratios'!$AC30,10,IF('MD-ratios'!BS30&gt;='MD-ratios'!$AA30,5+5*LOG(1+('MD-ratios'!$U30-1)*('MD-ratios'!BS30-'MD-ratios'!$AA30)/('MD-ratios'!$AC30-'MD-ratios'!$AA30))/LOG('MD-ratios'!$U30),IF('MD-ratios'!BS30&gt;'MD-ratios'!$Y30,5-5*LOG(1+('MD-ratios'!$U30-1)*('MD-ratios'!BS30-'MD-ratios'!$AA30)/('MD-ratios'!$Y30-'MD-ratios'!$AA30))/LOG('MD-ratios'!$U30),0)))</f>
        <v>7.4464834557941373</v>
      </c>
      <c r="BK27" s="242">
        <f>IF('MD-ratios'!BT30&gt;'MD-ratios'!$AC30,10,IF('MD-ratios'!BT30&gt;='MD-ratios'!$AA30,5+5*LOG(1+('MD-ratios'!$U30-1)*('MD-ratios'!BT30-'MD-ratios'!$AA30)/('MD-ratios'!$AC30-'MD-ratios'!$AA30))/LOG('MD-ratios'!$U30),IF('MD-ratios'!BT30&gt;'MD-ratios'!$Y30,5-5*LOG(1+('MD-ratios'!$U30-1)*('MD-ratios'!BT30-'MD-ratios'!$AA30)/('MD-ratios'!$Y30-'MD-ratios'!$AA30))/LOG('MD-ratios'!$U30),0)))</f>
        <v>1.751337850421784</v>
      </c>
      <c r="BL27" s="242">
        <f>IF('MD-ratios'!BU30&gt;'MD-ratios'!$AC30,10,IF('MD-ratios'!BU30&gt;='MD-ratios'!$AA30,5+5*LOG(1+('MD-ratios'!$U30-1)*('MD-ratios'!BU30-'MD-ratios'!$AA30)/('MD-ratios'!$AC30-'MD-ratios'!$AA30))/LOG('MD-ratios'!$U30),IF('MD-ratios'!BU30&gt;'MD-ratios'!$Y30,5-5*LOG(1+('MD-ratios'!$U30-1)*('MD-ratios'!BU30-'MD-ratios'!$AA30)/('MD-ratios'!$Y30-'MD-ratios'!$AA30))/LOG('MD-ratios'!$U30),0)))</f>
        <v>8.5267576738844681</v>
      </c>
      <c r="BM27" s="242">
        <f>IF('MD-ratios'!BV30&gt;'MD-ratios'!$AC30,10,IF('MD-ratios'!BV30&gt;='MD-ratios'!$AA30,5+5*LOG(1+('MD-ratios'!$U30-1)*('MD-ratios'!BV30-'MD-ratios'!$AA30)/('MD-ratios'!$AC30-'MD-ratios'!$AA30))/LOG('MD-ratios'!$U30),IF('MD-ratios'!BV30&gt;'MD-ratios'!$Y30,5-5*LOG(1+('MD-ratios'!$U30-1)*('MD-ratios'!BV30-'MD-ratios'!$AA30)/('MD-ratios'!$Y30-'MD-ratios'!$AA30))/LOG('MD-ratios'!$U30),0)))</f>
        <v>6.339218540632479</v>
      </c>
      <c r="BN27" s="242">
        <f>IF('MD-ratios'!BW30&gt;'MD-ratios'!$AC30,10,IF('MD-ratios'!BW30&gt;='MD-ratios'!$AA30,5+5*LOG(1+('MD-ratios'!$U30-1)*('MD-ratios'!BW30-'MD-ratios'!$AA30)/('MD-ratios'!$AC30-'MD-ratios'!$AA30))/LOG('MD-ratios'!$U30),IF('MD-ratios'!BW30&gt;'MD-ratios'!$Y30,5-5*LOG(1+('MD-ratios'!$U30-1)*('MD-ratios'!BW30-'MD-ratios'!$AA30)/('MD-ratios'!$Y30-'MD-ratios'!$AA30))/LOG('MD-ratios'!$U30),0)))</f>
        <v>1.1120227155118356</v>
      </c>
      <c r="BO27" s="242">
        <f>IF('MD-ratios'!BX30&gt;'MD-ratios'!$AC30,10,IF('MD-ratios'!BX30&gt;='MD-ratios'!$AA30,5+5*LOG(1+('MD-ratios'!$U30-1)*('MD-ratios'!BX30-'MD-ratios'!$AA30)/('MD-ratios'!$AC30-'MD-ratios'!$AA30))/LOG('MD-ratios'!$U30),IF('MD-ratios'!BX30&gt;'MD-ratios'!$Y30,5-5*LOG(1+('MD-ratios'!$U30-1)*('MD-ratios'!BX30-'MD-ratios'!$AA30)/('MD-ratios'!$Y30-'MD-ratios'!$AA30))/LOG('MD-ratios'!$U30),0)))</f>
        <v>8.6655460859600595</v>
      </c>
      <c r="BP27" s="242">
        <f>IF('MD-ratios'!BY30&gt;'MD-ratios'!$AC30,10,IF('MD-ratios'!BY30&gt;='MD-ratios'!$AA30,5+5*LOG(1+('MD-ratios'!$U30-1)*('MD-ratios'!BY30-'MD-ratios'!$AA30)/('MD-ratios'!$AC30-'MD-ratios'!$AA30))/LOG('MD-ratios'!$U30),IF('MD-ratios'!BY30&gt;'MD-ratios'!$Y30,5-5*LOG(1+('MD-ratios'!$U30-1)*('MD-ratios'!BY30-'MD-ratios'!$AA30)/('MD-ratios'!$Y30-'MD-ratios'!$AA30))/LOG('MD-ratios'!$U30),0)))</f>
        <v>3.8416703582450467</v>
      </c>
      <c r="BQ27" s="242">
        <f>IF('MD-ratios'!BZ30&gt;'MD-ratios'!$AC30,10,IF('MD-ratios'!BZ30&gt;='MD-ratios'!$AA30,5+5*LOG(1+('MD-ratios'!$U30-1)*('MD-ratios'!BZ30-'MD-ratios'!$AA30)/('MD-ratios'!$AC30-'MD-ratios'!$AA30))/LOG('MD-ratios'!$U30),IF('MD-ratios'!BZ30&gt;'MD-ratios'!$Y30,5-5*LOG(1+('MD-ratios'!$U30-1)*('MD-ratios'!BZ30-'MD-ratios'!$AA30)/('MD-ratios'!$Y30-'MD-ratios'!$AA30))/LOG('MD-ratios'!$U30),0)))</f>
        <v>8.5749219964416721</v>
      </c>
      <c r="BR27" s="242">
        <f>IF('MD-ratios'!CA30&gt;'MD-ratios'!$AC30,10,IF('MD-ratios'!CA30&gt;='MD-ratios'!$AA30,5+5*LOG(1+('MD-ratios'!$U30-1)*('MD-ratios'!CA30-'MD-ratios'!$AA30)/('MD-ratios'!$AC30-'MD-ratios'!$AA30))/LOG('MD-ratios'!$U30),IF('MD-ratios'!CA30&gt;'MD-ratios'!$Y30,5-5*LOG(1+('MD-ratios'!$U30-1)*('MD-ratios'!CA30-'MD-ratios'!$AA30)/('MD-ratios'!$Y30-'MD-ratios'!$AA30))/LOG('MD-ratios'!$U30),0)))</f>
        <v>7.9452454120987426</v>
      </c>
      <c r="BS27" s="242">
        <f>IF('MD-ratios'!CB30&gt;'MD-ratios'!$AC30,10,IF('MD-ratios'!CB30&gt;='MD-ratios'!$AA30,5+5*LOG(1+('MD-ratios'!$U30-1)*('MD-ratios'!CB30-'MD-ratios'!$AA30)/('MD-ratios'!$AC30-'MD-ratios'!$AA30))/LOG('MD-ratios'!$U30),IF('MD-ratios'!CB30&gt;'MD-ratios'!$Y30,5-5*LOG(1+('MD-ratios'!$U30-1)*('MD-ratios'!CB30-'MD-ratios'!$AA30)/('MD-ratios'!$Y30-'MD-ratios'!$AA30))/LOG('MD-ratios'!$U30),0)))</f>
        <v>0</v>
      </c>
      <c r="BT27" s="242">
        <f>IF('MD-ratios'!CC30&gt;'MD-ratios'!$AC30,10,IF('MD-ratios'!CC30&gt;='MD-ratios'!$AA30,5+5*LOG(1+('MD-ratios'!$U30-1)*('MD-ratios'!CC30-'MD-ratios'!$AA30)/('MD-ratios'!$AC30-'MD-ratios'!$AA30))/LOG('MD-ratios'!$U30),IF('MD-ratios'!CC30&gt;'MD-ratios'!$Y30,5-5*LOG(1+('MD-ratios'!$U30-1)*('MD-ratios'!CC30-'MD-ratios'!$AA30)/('MD-ratios'!$Y30-'MD-ratios'!$AA30))/LOG('MD-ratios'!$U30),0)))</f>
        <v>5.7586642386025568</v>
      </c>
    </row>
    <row r="28" spans="1:72" s="270" customFormat="1" ht="15.75" thickBot="1" x14ac:dyDescent="0.3">
      <c r="A28" s="641"/>
      <c r="B28" s="635"/>
      <c r="C28" s="650" t="str">
        <f t="shared" ref="C28:C34" si="111">C11</f>
        <v>Profitability total</v>
      </c>
      <c r="D28" s="651"/>
      <c r="E28" s="652"/>
      <c r="F28" s="276"/>
      <c r="G28" s="276"/>
      <c r="H28" s="276"/>
      <c r="I28" s="276"/>
      <c r="K28" s="599"/>
      <c r="N28" s="653"/>
      <c r="P28" s="271"/>
      <c r="Q28" s="271"/>
      <c r="R28" s="271"/>
      <c r="S28" s="271"/>
      <c r="T28" s="271"/>
      <c r="V28" s="254"/>
      <c r="W28" s="269">
        <f>SUMPRODUCT(W25:W27,$C25:$C27)/SUM($C25:$C27)</f>
        <v>8.4273561300525746</v>
      </c>
      <c r="X28" s="269">
        <f t="shared" ref="X28" si="112">SUMPRODUCT(X25:X27,$C25:$C27)/SUM($C25:$C27)</f>
        <v>7.7666136441128533</v>
      </c>
      <c r="Y28" s="269">
        <f t="shared" ref="Y28" si="113">SUMPRODUCT(Y25:Y27,$C25:$C27)/SUM($C25:$C27)</f>
        <v>2.7905870382880096</v>
      </c>
      <c r="Z28" s="269">
        <f t="shared" ref="Z28" si="114">SUMPRODUCT(Z25:Z27,$C25:$C27)/SUM($C25:$C27)</f>
        <v>1.7711421473307443</v>
      </c>
      <c r="AA28" s="269">
        <f t="shared" ref="AA28" si="115">SUMPRODUCT(AA25:AA27,$C25:$C27)/SUM($C25:$C27)</f>
        <v>9.2880222234310139</v>
      </c>
      <c r="AB28" s="269">
        <f t="shared" ref="AB28" si="116">SUMPRODUCT(AB25:AB27,$C25:$C27)/SUM($C25:$C27)</f>
        <v>0</v>
      </c>
      <c r="AC28" s="269">
        <f t="shared" ref="AC28" si="117">SUMPRODUCT(AC25:AC27,$C25:$C27)/SUM($C25:$C27)</f>
        <v>7.2705494608900292</v>
      </c>
      <c r="AD28" s="269">
        <f t="shared" ref="AD28" si="118">SUMPRODUCT(AD25:AD27,$C25:$C27)/SUM($C25:$C27)</f>
        <v>8.8666272767967467</v>
      </c>
      <c r="AE28" s="269">
        <f t="shared" ref="AE28" si="119">SUMPRODUCT(AE25:AE27,$C25:$C27)/SUM($C25:$C27)</f>
        <v>6.3575015456877502</v>
      </c>
      <c r="AF28" s="269">
        <f t="shared" ref="AF28" si="120">SUMPRODUCT(AF25:AF27,$C25:$C27)/SUM($C25:$C27)</f>
        <v>2.5562302404411801</v>
      </c>
      <c r="AG28" s="269">
        <f t="shared" ref="AG28" si="121">SUMPRODUCT(AG25:AG27,$C25:$C27)/SUM($C25:$C27)</f>
        <v>5.8562575867134194</v>
      </c>
      <c r="AH28" s="269">
        <f t="shared" ref="AH28" si="122">SUMPRODUCT(AH25:AH27,$C25:$C27)/SUM($C25:$C27)</f>
        <v>6.7067008533451968</v>
      </c>
      <c r="AI28" s="269">
        <f t="shared" ref="AI28" si="123">SUMPRODUCT(AI25:AI27,$C25:$C27)/SUM($C25:$C27)</f>
        <v>9.5063034447119605</v>
      </c>
      <c r="AJ28" s="269">
        <f t="shared" ref="AJ28" si="124">SUMPRODUCT(AJ25:AJ27,$C25:$C27)/SUM($C25:$C27)</f>
        <v>5.9225211685149501</v>
      </c>
      <c r="AK28" s="269">
        <f t="shared" ref="AK28" si="125">SUMPRODUCT(AK25:AK27,$C25:$C27)/SUM($C25:$C27)</f>
        <v>8.0303146321703807</v>
      </c>
      <c r="AL28" s="269">
        <f t="shared" ref="AL28" si="126">SUMPRODUCT(AL25:AL27,$C25:$C27)/SUM($C25:$C27)</f>
        <v>8.1930178550252073</v>
      </c>
      <c r="AM28" s="269">
        <f t="shared" ref="AM28" si="127">SUMPRODUCT(AM25:AM27,$C25:$C27)/SUM($C25:$C27)</f>
        <v>6.7841159156656152</v>
      </c>
      <c r="AN28" s="269">
        <f t="shared" ref="AN28" si="128">SUMPRODUCT(AN25:AN27,$C25:$C27)/SUM($C25:$C27)</f>
        <v>6.7095819797338834</v>
      </c>
      <c r="AO28" s="269">
        <f t="shared" ref="AO28" si="129">SUMPRODUCT(AO25:AO27,$C25:$C27)/SUM($C25:$C27)</f>
        <v>6.6787232227273865</v>
      </c>
      <c r="AP28" s="269">
        <f t="shared" ref="AP28" si="130">SUMPRODUCT(AP25:AP27,$C25:$C27)/SUM($C25:$C27)</f>
        <v>8.7432637669034641</v>
      </c>
      <c r="AQ28" s="269">
        <f t="shared" ref="AQ28" si="131">SUMPRODUCT(AQ25:AQ27,$C25:$C27)/SUM($C25:$C27)</f>
        <v>3.2201797144273585</v>
      </c>
      <c r="AR28" s="269">
        <f t="shared" ref="AR28" si="132">SUMPRODUCT(AR25:AR27,$C25:$C27)/SUM($C25:$C27)</f>
        <v>8.856377481536196</v>
      </c>
      <c r="AS28" s="269">
        <f t="shared" ref="AS28" si="133">SUMPRODUCT(AS25:AS27,$C25:$C27)/SUM($C25:$C27)</f>
        <v>0.13912103277316562</v>
      </c>
      <c r="AT28" s="269">
        <f t="shared" ref="AT28" si="134">SUMPRODUCT(AT25:AT27,$C25:$C27)/SUM($C25:$C27)</f>
        <v>7.9361286764419301</v>
      </c>
      <c r="AU28" s="269">
        <f t="shared" ref="AU28" si="135">SUMPRODUCT(AU25:AU27,$C25:$C27)/SUM($C25:$C27)</f>
        <v>6.5647339399119087</v>
      </c>
      <c r="AV28" s="269">
        <f t="shared" ref="AV28" si="136">SUMPRODUCT(AV25:AV27,$C25:$C27)/SUM($C25:$C27)</f>
        <v>7.7114353012255386</v>
      </c>
      <c r="AW28" s="269">
        <f t="shared" ref="AW28" si="137">SUMPRODUCT(AW25:AW27,$C25:$C27)/SUM($C25:$C27)</f>
        <v>9.5701701376922248</v>
      </c>
      <c r="AX28" s="269">
        <f t="shared" ref="AX28" si="138">SUMPRODUCT(AX25:AX27,$C25:$C27)/SUM($C25:$C27)</f>
        <v>5.7214944796818115</v>
      </c>
      <c r="AY28" s="269">
        <f t="shared" ref="AY28" si="139">SUMPRODUCT(AY25:AY27,$C25:$C27)/SUM($C25:$C27)</f>
        <v>7.8355968721769464</v>
      </c>
      <c r="AZ28" s="269">
        <f t="shared" ref="AZ28" si="140">SUMPRODUCT(AZ25:AZ27,$C25:$C27)/SUM($C25:$C27)</f>
        <v>6.2712319855151852</v>
      </c>
      <c r="BA28" s="269">
        <f t="shared" ref="BA28" si="141">SUMPRODUCT(BA25:BA27,$C25:$C27)/SUM($C25:$C27)</f>
        <v>9.2250795196634865</v>
      </c>
      <c r="BB28" s="269">
        <f t="shared" ref="BB28" si="142">SUMPRODUCT(BB25:BB27,$C25:$C27)/SUM($C25:$C27)</f>
        <v>0.36777712951363989</v>
      </c>
      <c r="BC28" s="269">
        <f t="shared" ref="BC28" si="143">SUMPRODUCT(BC25:BC27,$C25:$C27)/SUM($C25:$C27)</f>
        <v>9.4277773316394491</v>
      </c>
      <c r="BD28" s="269">
        <f t="shared" ref="BD28" si="144">SUMPRODUCT(BD25:BD27,$C25:$C27)/SUM($C25:$C27)</f>
        <v>8.8677782332537127</v>
      </c>
      <c r="BE28" s="269">
        <f t="shared" ref="BE28" si="145">SUMPRODUCT(BE25:BE27,$C25:$C27)/SUM($C25:$C27)</f>
        <v>6.7051033196342082</v>
      </c>
      <c r="BF28" s="269">
        <f t="shared" ref="BF28" si="146">SUMPRODUCT(BF25:BF27,$C25:$C27)/SUM($C25:$C27)</f>
        <v>6.9995376701794569</v>
      </c>
      <c r="BG28" s="269">
        <f t="shared" ref="BG28" si="147">SUMPRODUCT(BG25:BG27,$C25:$C27)/SUM($C25:$C27)</f>
        <v>9.9581206074120878</v>
      </c>
      <c r="BH28" s="269">
        <f t="shared" ref="BH28" si="148">SUMPRODUCT(BH25:BH27,$C25:$C27)/SUM($C25:$C27)</f>
        <v>2.8340814830547005</v>
      </c>
      <c r="BI28" s="269">
        <f t="shared" ref="BI28" si="149">SUMPRODUCT(BI25:BI27,$C25:$C27)/SUM($C25:$C27)</f>
        <v>7.5820300959953499</v>
      </c>
      <c r="BJ28" s="269">
        <f t="shared" ref="BJ28" si="150">SUMPRODUCT(BJ25:BJ27,$C25:$C27)/SUM($C25:$C27)</f>
        <v>6.4221228188391306</v>
      </c>
      <c r="BK28" s="269">
        <f t="shared" ref="BK28" si="151">SUMPRODUCT(BK25:BK27,$C25:$C27)/SUM($C25:$C27)</f>
        <v>1.7270007907551945</v>
      </c>
      <c r="BL28" s="269">
        <f t="shared" ref="BL28" si="152">SUMPRODUCT(BL25:BL27,$C25:$C27)/SUM($C25:$C27)</f>
        <v>8.3416486251445097</v>
      </c>
      <c r="BM28" s="269">
        <f t="shared" ref="BM28" si="153">SUMPRODUCT(BM25:BM27,$C25:$C27)/SUM($C25:$C27)</f>
        <v>7.0519407107255461</v>
      </c>
      <c r="BN28" s="269">
        <f t="shared" ref="BN28" si="154">SUMPRODUCT(BN25:BN27,$C25:$C27)/SUM($C25:$C27)</f>
        <v>0.74389928464884814</v>
      </c>
      <c r="BO28" s="269">
        <f t="shared" ref="BO28" si="155">SUMPRODUCT(BO25:BO27,$C25:$C27)/SUM($C25:$C27)</f>
        <v>8.5539776488451906</v>
      </c>
      <c r="BP28" s="269">
        <f t="shared" ref="BP28" si="156">SUMPRODUCT(BP25:BP27,$C25:$C27)/SUM($C25:$C27)</f>
        <v>4.0460115630659921</v>
      </c>
      <c r="BQ28" s="269">
        <f t="shared" ref="BQ28" si="157">SUMPRODUCT(BQ25:BQ27,$C25:$C27)/SUM($C25:$C27)</f>
        <v>8.3132774108495386</v>
      </c>
      <c r="BR28" s="269">
        <f t="shared" ref="BR28" si="158">SUMPRODUCT(BR25:BR27,$C25:$C27)/SUM($C25:$C27)</f>
        <v>7.8105240005285692</v>
      </c>
      <c r="BS28" s="269">
        <f t="shared" ref="BS28" si="159">SUMPRODUCT(BS25:BS27,$C25:$C27)/SUM($C25:$C27)</f>
        <v>1.5400611078622073</v>
      </c>
      <c r="BT28" s="269">
        <f t="shared" ref="BT28" si="160">SUMPRODUCT(BT25:BT27,$C25:$C27)/SUM($C25:$C27)</f>
        <v>5.7287655609138781</v>
      </c>
    </row>
    <row r="29" spans="1:72" s="259" customFormat="1" ht="15.75" thickBot="1" x14ac:dyDescent="0.3">
      <c r="A29" s="639">
        <f>A12</f>
        <v>0.3</v>
      </c>
      <c r="B29" s="633" t="str">
        <f>B12</f>
        <v>Leverage</v>
      </c>
      <c r="C29" s="235">
        <f t="shared" si="111"/>
        <v>0.15</v>
      </c>
      <c r="D29" s="234" t="str">
        <f>D12</f>
        <v>Total Debt to Total Assets</v>
      </c>
      <c r="E29" s="225" t="str">
        <f>E12</f>
        <v>Total Debt ÷ Total Assets</v>
      </c>
      <c r="F29" s="278">
        <f t="shared" ref="F29:I29" si="161">F12</f>
        <v>1</v>
      </c>
      <c r="G29" s="278">
        <f t="shared" si="161"/>
        <v>2</v>
      </c>
      <c r="H29" s="278">
        <f t="shared" si="161"/>
        <v>3</v>
      </c>
      <c r="I29" s="278">
        <f t="shared" si="161"/>
        <v>4</v>
      </c>
      <c r="K29" s="596" t="s">
        <v>311</v>
      </c>
      <c r="L29" s="259" t="s">
        <v>388</v>
      </c>
      <c r="N29" s="653"/>
      <c r="P29" s="260">
        <f>'MD-ratios'!Y32</f>
        <v>0.34811326308868218</v>
      </c>
      <c r="Q29" s="567">
        <f>'MD-ratios'!Z32</f>
        <v>3.808485790894664E-2</v>
      </c>
      <c r="R29" s="567">
        <f>'MD-ratios'!AA32</f>
        <v>9.5004357420602186E-3</v>
      </c>
      <c r="S29" s="567">
        <f>'MD-ratios'!AB32</f>
        <v>2.3699255884006443E-3</v>
      </c>
      <c r="T29" s="260">
        <f>'MD-ratios'!AC32</f>
        <v>0</v>
      </c>
      <c r="V29" s="261"/>
      <c r="W29" s="262">
        <f>IF('MD-ratios'!AF32&lt;0,IF(ABS('MD-ratios'!AF32)&gt;'MD-ratios'!$Y32,0,10-10*LOG(1+('MD-ratios'!$U32-1)*(ABS('MD-ratios'!AF32)-'MD-ratios'!$AC32)/('MD-ratios'!$Y32-'MD-ratios'!$AC32))/LOG('MD-ratios'!$U32))/2,IF('MD-ratios'!AF32&gt;'MD-ratios'!$Y32,0,10-10*LOG(1+('MD-ratios'!$U32-1)*('MD-ratios'!AF32-'MD-ratios'!$AC32)/('MD-ratios'!$Y32-'MD-ratios'!$AC32))/LOG('MD-ratios'!$U32)))</f>
        <v>9.9266450776345962</v>
      </c>
      <c r="X29" s="262">
        <f>IF('MD-ratios'!AG32&lt;0,IF(ABS('MD-ratios'!AG32)&gt;'MD-ratios'!$Y32,0,10-10*LOG(1+('MD-ratios'!$U32-1)*(ABS('MD-ratios'!AG32)-'MD-ratios'!$AC32)/('MD-ratios'!$Y32-'MD-ratios'!$AC32))/LOG('MD-ratios'!$U32))/2,IF('MD-ratios'!AG32&gt;'MD-ratios'!$Y32,0,10-10*LOG(1+('MD-ratios'!$U32-1)*('MD-ratios'!AG32-'MD-ratios'!$AC32)/('MD-ratios'!$Y32-'MD-ratios'!$AC32))/LOG('MD-ratios'!$U32)))</f>
        <v>0.9498975226070332</v>
      </c>
      <c r="Y29" s="262">
        <f>IF('MD-ratios'!AH32&lt;0,IF(ABS('MD-ratios'!AH32)&gt;'MD-ratios'!$Y32,0,10-10*LOG(1+('MD-ratios'!$U32-1)*(ABS('MD-ratios'!AH32)-'MD-ratios'!$AC32)/('MD-ratios'!$Y32-'MD-ratios'!$AC32))/LOG('MD-ratios'!$U32))/2,IF('MD-ratios'!AH32&gt;'MD-ratios'!$Y32,0,10-10*LOG(1+('MD-ratios'!$U32-1)*('MD-ratios'!AH32-'MD-ratios'!$AC32)/('MD-ratios'!$Y32-'MD-ratios'!$AC32))/LOG('MD-ratios'!$U32)))</f>
        <v>0</v>
      </c>
      <c r="Z29" s="262">
        <f>IF('MD-ratios'!AI32&lt;0,IF(ABS('MD-ratios'!AI32)&gt;'MD-ratios'!$Y32,0,10-10*LOG(1+('MD-ratios'!$U32-1)*(ABS('MD-ratios'!AI32)-'MD-ratios'!$AC32)/('MD-ratios'!$Y32-'MD-ratios'!$AC32))/LOG('MD-ratios'!$U32))/2,IF('MD-ratios'!AI32&gt;'MD-ratios'!$Y32,0,10-10*LOG(1+('MD-ratios'!$U32-1)*('MD-ratios'!AI32-'MD-ratios'!$AC32)/('MD-ratios'!$Y32-'MD-ratios'!$AC32))/LOG('MD-ratios'!$U32)))</f>
        <v>9.1774553800840941</v>
      </c>
      <c r="AA29" s="262">
        <f>IF('MD-ratios'!AJ32&lt;0,IF(ABS('MD-ratios'!AJ32)&gt;'MD-ratios'!$Y32,0,10-10*LOG(1+('MD-ratios'!$U32-1)*(ABS('MD-ratios'!AJ32)-'MD-ratios'!$AC32)/('MD-ratios'!$Y32-'MD-ratios'!$AC32))/LOG('MD-ratios'!$U32))/2,IF('MD-ratios'!AJ32&gt;'MD-ratios'!$Y32,0,10-10*LOG(1+('MD-ratios'!$U32-1)*('MD-ratios'!AJ32-'MD-ratios'!$AC32)/('MD-ratios'!$Y32-'MD-ratios'!$AC32))/LOG('MD-ratios'!$U32)))</f>
        <v>0.74227990811482236</v>
      </c>
      <c r="AB29" s="262">
        <f>IF('MD-ratios'!AK32&lt;0,IF(ABS('MD-ratios'!AK32)&gt;'MD-ratios'!$Y32,0,10-10*LOG(1+('MD-ratios'!$U32-1)*(ABS('MD-ratios'!AK32)-'MD-ratios'!$AC32)/('MD-ratios'!$Y32-'MD-ratios'!$AC32))/LOG('MD-ratios'!$U32))/2,IF('MD-ratios'!AK32&gt;'MD-ratios'!$Y32,0,10-10*LOG(1+('MD-ratios'!$U32-1)*('MD-ratios'!AK32-'MD-ratios'!$AC32)/('MD-ratios'!$Y32-'MD-ratios'!$AC32))/LOG('MD-ratios'!$U32)))</f>
        <v>5.7888194653469807</v>
      </c>
      <c r="AC29" s="262">
        <f>IF('MD-ratios'!AL32&lt;0,IF(ABS('MD-ratios'!AL32)&gt;'MD-ratios'!$Y32,0,10-10*LOG(1+('MD-ratios'!$U32-1)*(ABS('MD-ratios'!AL32)-'MD-ratios'!$AC32)/('MD-ratios'!$Y32-'MD-ratios'!$AC32))/LOG('MD-ratios'!$U32))/2,IF('MD-ratios'!AL32&gt;'MD-ratios'!$Y32,0,10-10*LOG(1+('MD-ratios'!$U32-1)*('MD-ratios'!AL32-'MD-ratios'!$AC32)/('MD-ratios'!$Y32-'MD-ratios'!$AC32))/LOG('MD-ratios'!$U32)))</f>
        <v>0</v>
      </c>
      <c r="AD29" s="262">
        <f>IF('MD-ratios'!AM32&lt;0,IF(ABS('MD-ratios'!AM32)&gt;'MD-ratios'!$Y32,0,10-10*LOG(1+('MD-ratios'!$U32-1)*(ABS('MD-ratios'!AM32)-'MD-ratios'!$AC32)/('MD-ratios'!$Y32-'MD-ratios'!$AC32))/LOG('MD-ratios'!$U32))/2,IF('MD-ratios'!AM32&gt;'MD-ratios'!$Y32,0,10-10*LOG(1+('MD-ratios'!$U32-1)*('MD-ratios'!AM32-'MD-ratios'!$AC32)/('MD-ratios'!$Y32-'MD-ratios'!$AC32))/LOG('MD-ratios'!$U32)))</f>
        <v>10</v>
      </c>
      <c r="AE29" s="262">
        <f>IF('MD-ratios'!AN32&lt;0,IF(ABS('MD-ratios'!AN32)&gt;'MD-ratios'!$Y32,0,10-10*LOG(1+('MD-ratios'!$U32-1)*(ABS('MD-ratios'!AN32)-'MD-ratios'!$AC32)/('MD-ratios'!$Y32-'MD-ratios'!$AC32))/LOG('MD-ratios'!$U32))/2,IF('MD-ratios'!AN32&gt;'MD-ratios'!$Y32,0,10-10*LOG(1+('MD-ratios'!$U32-1)*('MD-ratios'!AN32-'MD-ratios'!$AC32)/('MD-ratios'!$Y32-'MD-ratios'!$AC32))/LOG('MD-ratios'!$U32)))</f>
        <v>8.9722975728720247</v>
      </c>
      <c r="AF29" s="262">
        <f>IF('MD-ratios'!AO32&lt;0,IF(ABS('MD-ratios'!AO32)&gt;'MD-ratios'!$Y32,0,10-10*LOG(1+('MD-ratios'!$U32-1)*(ABS('MD-ratios'!AO32)-'MD-ratios'!$AC32)/('MD-ratios'!$Y32-'MD-ratios'!$AC32))/LOG('MD-ratios'!$U32))/2,IF('MD-ratios'!AO32&gt;'MD-ratios'!$Y32,0,10-10*LOG(1+('MD-ratios'!$U32-1)*('MD-ratios'!AO32-'MD-ratios'!$AC32)/('MD-ratios'!$Y32-'MD-ratios'!$AC32))/LOG('MD-ratios'!$U32)))</f>
        <v>4.1386681220917065</v>
      </c>
      <c r="AG29" s="262">
        <f>IF('MD-ratios'!AP32&lt;0,IF(ABS('MD-ratios'!AP32)&gt;'MD-ratios'!$Y32,0,10-10*LOG(1+('MD-ratios'!$U32-1)*(ABS('MD-ratios'!AP32)-'MD-ratios'!$AC32)/('MD-ratios'!$Y32-'MD-ratios'!$AC32))/LOG('MD-ratios'!$U32))/2,IF('MD-ratios'!AP32&gt;'MD-ratios'!$Y32,0,10-10*LOG(1+('MD-ratios'!$U32-1)*('MD-ratios'!AP32-'MD-ratios'!$AC32)/('MD-ratios'!$Y32-'MD-ratios'!$AC32))/LOG('MD-ratios'!$U32)))</f>
        <v>1.2532337993122109</v>
      </c>
      <c r="AH29" s="262">
        <f>IF('MD-ratios'!AQ32&lt;0,IF(ABS('MD-ratios'!AQ32)&gt;'MD-ratios'!$Y32,0,10-10*LOG(1+('MD-ratios'!$U32-1)*(ABS('MD-ratios'!AQ32)-'MD-ratios'!$AC32)/('MD-ratios'!$Y32-'MD-ratios'!$AC32))/LOG('MD-ratios'!$U32))/2,IF('MD-ratios'!AQ32&gt;'MD-ratios'!$Y32,0,10-10*LOG(1+('MD-ratios'!$U32-1)*('MD-ratios'!AQ32-'MD-ratios'!$AC32)/('MD-ratios'!$Y32-'MD-ratios'!$AC32))/LOG('MD-ratios'!$U32)))</f>
        <v>9.9999690197193374</v>
      </c>
      <c r="AI29" s="262">
        <f>IF('MD-ratios'!AR32&lt;0,IF(ABS('MD-ratios'!AR32)&gt;'MD-ratios'!$Y32,0,10-10*LOG(1+('MD-ratios'!$U32-1)*(ABS('MD-ratios'!AR32)-'MD-ratios'!$AC32)/('MD-ratios'!$Y32-'MD-ratios'!$AC32))/LOG('MD-ratios'!$U32))/2,IF('MD-ratios'!AR32&gt;'MD-ratios'!$Y32,0,10-10*LOG(1+('MD-ratios'!$U32-1)*('MD-ratios'!AR32-'MD-ratios'!$AC32)/('MD-ratios'!$Y32-'MD-ratios'!$AC32))/LOG('MD-ratios'!$U32)))</f>
        <v>9.1302895262288501</v>
      </c>
      <c r="AJ29" s="262">
        <f>IF('MD-ratios'!AS32&lt;0,IF(ABS('MD-ratios'!AS32)&gt;'MD-ratios'!$Y32,0,10-10*LOG(1+('MD-ratios'!$U32-1)*(ABS('MD-ratios'!AS32)-'MD-ratios'!$AC32)/('MD-ratios'!$Y32-'MD-ratios'!$AC32))/LOG('MD-ratios'!$U32))/2,IF('MD-ratios'!AS32&gt;'MD-ratios'!$Y32,0,10-10*LOG(1+('MD-ratios'!$U32-1)*('MD-ratios'!AS32-'MD-ratios'!$AC32)/('MD-ratios'!$Y32-'MD-ratios'!$AC32))/LOG('MD-ratios'!$U32)))</f>
        <v>1.3613009086246972</v>
      </c>
      <c r="AK29" s="262">
        <f>IF('MD-ratios'!AT32&lt;0,IF(ABS('MD-ratios'!AT32)&gt;'MD-ratios'!$Y32,0,10-10*LOG(1+('MD-ratios'!$U32-1)*(ABS('MD-ratios'!AT32)-'MD-ratios'!$AC32)/('MD-ratios'!$Y32-'MD-ratios'!$AC32))/LOG('MD-ratios'!$U32))/2,IF('MD-ratios'!AT32&gt;'MD-ratios'!$Y32,0,10-10*LOG(1+('MD-ratios'!$U32-1)*('MD-ratios'!AT32-'MD-ratios'!$AC32)/('MD-ratios'!$Y32-'MD-ratios'!$AC32))/LOG('MD-ratios'!$U32)))</f>
        <v>9.0181720004329282</v>
      </c>
      <c r="AL29" s="262">
        <f>IF('MD-ratios'!AU32&lt;0,IF(ABS('MD-ratios'!AU32)&gt;'MD-ratios'!$Y32,0,10-10*LOG(1+('MD-ratios'!$U32-1)*(ABS('MD-ratios'!AU32)-'MD-ratios'!$AC32)/('MD-ratios'!$Y32-'MD-ratios'!$AC32))/LOG('MD-ratios'!$U32))/2,IF('MD-ratios'!AU32&gt;'MD-ratios'!$Y32,0,10-10*LOG(1+('MD-ratios'!$U32-1)*('MD-ratios'!AU32-'MD-ratios'!$AC32)/('MD-ratios'!$Y32-'MD-ratios'!$AC32))/LOG('MD-ratios'!$U32)))</f>
        <v>9.2666611088494726</v>
      </c>
      <c r="AM29" s="262">
        <f>IF('MD-ratios'!AV32&lt;0,IF(ABS('MD-ratios'!AV32)&gt;'MD-ratios'!$Y32,0,10-10*LOG(1+('MD-ratios'!$U32-1)*(ABS('MD-ratios'!AV32)-'MD-ratios'!$AC32)/('MD-ratios'!$Y32-'MD-ratios'!$AC32))/LOG('MD-ratios'!$U32))/2,IF('MD-ratios'!AV32&gt;'MD-ratios'!$Y32,0,10-10*LOG(1+('MD-ratios'!$U32-1)*('MD-ratios'!AV32-'MD-ratios'!$AC32)/('MD-ratios'!$Y32-'MD-ratios'!$AC32))/LOG('MD-ratios'!$U32)))</f>
        <v>7.7747277165785196</v>
      </c>
      <c r="AN29" s="262">
        <f>IF('MD-ratios'!AW32&lt;0,IF(ABS('MD-ratios'!AW32)&gt;'MD-ratios'!$Y32,0,10-10*LOG(1+('MD-ratios'!$U32-1)*(ABS('MD-ratios'!AW32)-'MD-ratios'!$AC32)/('MD-ratios'!$Y32-'MD-ratios'!$AC32))/LOG('MD-ratios'!$U32))/2,IF('MD-ratios'!AW32&gt;'MD-ratios'!$Y32,0,10-10*LOG(1+('MD-ratios'!$U32-1)*('MD-ratios'!AW32-'MD-ratios'!$AC32)/('MD-ratios'!$Y32-'MD-ratios'!$AC32))/LOG('MD-ratios'!$U32)))</f>
        <v>9.4014004127642909</v>
      </c>
      <c r="AO29" s="262">
        <f>IF('MD-ratios'!AX32&lt;0,IF(ABS('MD-ratios'!AX32)&gt;'MD-ratios'!$Y32,0,10-10*LOG(1+('MD-ratios'!$U32-1)*(ABS('MD-ratios'!AX32)-'MD-ratios'!$AC32)/('MD-ratios'!$Y32-'MD-ratios'!$AC32))/LOG('MD-ratios'!$U32))/2,IF('MD-ratios'!AX32&gt;'MD-ratios'!$Y32,0,10-10*LOG(1+('MD-ratios'!$U32-1)*('MD-ratios'!AX32-'MD-ratios'!$AC32)/('MD-ratios'!$Y32-'MD-ratios'!$AC32))/LOG('MD-ratios'!$U32)))</f>
        <v>7.8048256258698547</v>
      </c>
      <c r="AP29" s="262">
        <f>IF('MD-ratios'!AY32&lt;0,IF(ABS('MD-ratios'!AY32)&gt;'MD-ratios'!$Y32,0,10-10*LOG(1+('MD-ratios'!$U32-1)*(ABS('MD-ratios'!AY32)-'MD-ratios'!$AC32)/('MD-ratios'!$Y32-'MD-ratios'!$AC32))/LOG('MD-ratios'!$U32))/2,IF('MD-ratios'!AY32&gt;'MD-ratios'!$Y32,0,10-10*LOG(1+('MD-ratios'!$U32-1)*('MD-ratios'!AY32-'MD-ratios'!$AC32)/('MD-ratios'!$Y32-'MD-ratios'!$AC32))/LOG('MD-ratios'!$U32)))</f>
        <v>9.3674729894644422</v>
      </c>
      <c r="AQ29" s="262">
        <f>IF('MD-ratios'!AZ32&lt;0,IF(ABS('MD-ratios'!AZ32)&gt;'MD-ratios'!$Y32,0,10-10*LOG(1+('MD-ratios'!$U32-1)*(ABS('MD-ratios'!AZ32)-'MD-ratios'!$AC32)/('MD-ratios'!$Y32-'MD-ratios'!$AC32))/LOG('MD-ratios'!$U32))/2,IF('MD-ratios'!AZ32&gt;'MD-ratios'!$Y32,0,10-10*LOG(1+('MD-ratios'!$U32-1)*('MD-ratios'!AZ32-'MD-ratios'!$AC32)/('MD-ratios'!$Y32-'MD-ratios'!$AC32))/LOG('MD-ratios'!$U32)))</f>
        <v>9.0911431777616603</v>
      </c>
      <c r="AR29" s="262">
        <f>IF('MD-ratios'!BA32&lt;0,IF(ABS('MD-ratios'!BA32)&gt;'MD-ratios'!$Y32,0,10-10*LOG(1+('MD-ratios'!$U32-1)*(ABS('MD-ratios'!BA32)-'MD-ratios'!$AC32)/('MD-ratios'!$Y32-'MD-ratios'!$AC32))/LOG('MD-ratios'!$U32))/2,IF('MD-ratios'!BA32&gt;'MD-ratios'!$Y32,0,10-10*LOG(1+('MD-ratios'!$U32-1)*('MD-ratios'!BA32-'MD-ratios'!$AC32)/('MD-ratios'!$Y32-'MD-ratios'!$AC32))/LOG('MD-ratios'!$U32)))</f>
        <v>9.6120772704135344</v>
      </c>
      <c r="AS29" s="262">
        <f>IF('MD-ratios'!BB32&lt;0,IF(ABS('MD-ratios'!BB32)&gt;'MD-ratios'!$Y32,0,10-10*LOG(1+('MD-ratios'!$U32-1)*(ABS('MD-ratios'!BB32)-'MD-ratios'!$AC32)/('MD-ratios'!$Y32-'MD-ratios'!$AC32))/LOG('MD-ratios'!$U32))/2,IF('MD-ratios'!BB32&gt;'MD-ratios'!$Y32,0,10-10*LOG(1+('MD-ratios'!$U32-1)*('MD-ratios'!BB32-'MD-ratios'!$AC32)/('MD-ratios'!$Y32-'MD-ratios'!$AC32))/LOG('MD-ratios'!$U32)))</f>
        <v>3.9302888444044175</v>
      </c>
      <c r="AT29" s="262">
        <f>IF('MD-ratios'!BC32&lt;0,IF(ABS('MD-ratios'!BC32)&gt;'MD-ratios'!$Y32,0,10-10*LOG(1+('MD-ratios'!$U32-1)*(ABS('MD-ratios'!BC32)-'MD-ratios'!$AC32)/('MD-ratios'!$Y32-'MD-ratios'!$AC32))/LOG('MD-ratios'!$U32))/2,IF('MD-ratios'!BC32&gt;'MD-ratios'!$Y32,0,10-10*LOG(1+('MD-ratios'!$U32-1)*('MD-ratios'!BC32-'MD-ratios'!$AC32)/('MD-ratios'!$Y32-'MD-ratios'!$AC32))/LOG('MD-ratios'!$U32)))</f>
        <v>4.648630195913813</v>
      </c>
      <c r="AU29" s="262">
        <f>IF('MD-ratios'!BD32&lt;0,IF(ABS('MD-ratios'!BD32)&gt;'MD-ratios'!$Y32,0,10-10*LOG(1+('MD-ratios'!$U32-1)*(ABS('MD-ratios'!BD32)-'MD-ratios'!$AC32)/('MD-ratios'!$Y32-'MD-ratios'!$AC32))/LOG('MD-ratios'!$U32))/2,IF('MD-ratios'!BD32&gt;'MD-ratios'!$Y32,0,10-10*LOG(1+('MD-ratios'!$U32-1)*('MD-ratios'!BD32-'MD-ratios'!$AC32)/('MD-ratios'!$Y32-'MD-ratios'!$AC32))/LOG('MD-ratios'!$U32)))</f>
        <v>0.61000488266887309</v>
      </c>
      <c r="AV29" s="262">
        <f>IF('MD-ratios'!BE32&lt;0,IF(ABS('MD-ratios'!BE32)&gt;'MD-ratios'!$Y32,0,10-10*LOG(1+('MD-ratios'!$U32-1)*(ABS('MD-ratios'!BE32)-'MD-ratios'!$AC32)/('MD-ratios'!$Y32-'MD-ratios'!$AC32))/LOG('MD-ratios'!$U32))/2,IF('MD-ratios'!BE32&gt;'MD-ratios'!$Y32,0,10-10*LOG(1+('MD-ratios'!$U32-1)*('MD-ratios'!BE32-'MD-ratios'!$AC32)/('MD-ratios'!$Y32-'MD-ratios'!$AC32))/LOG('MD-ratios'!$U32)))</f>
        <v>10</v>
      </c>
      <c r="AW29" s="262">
        <f>IF('MD-ratios'!BF32&lt;0,IF(ABS('MD-ratios'!BF32)&gt;'MD-ratios'!$Y32,0,10-10*LOG(1+('MD-ratios'!$U32-1)*(ABS('MD-ratios'!BF32)-'MD-ratios'!$AC32)/('MD-ratios'!$Y32-'MD-ratios'!$AC32))/LOG('MD-ratios'!$U32))/2,IF('MD-ratios'!BF32&gt;'MD-ratios'!$Y32,0,10-10*LOG(1+('MD-ratios'!$U32-1)*('MD-ratios'!BF32-'MD-ratios'!$AC32)/('MD-ratios'!$Y32-'MD-ratios'!$AC32))/LOG('MD-ratios'!$U32)))</f>
        <v>2.2692839262482005</v>
      </c>
      <c r="AX29" s="262">
        <f>IF('MD-ratios'!BG32&lt;0,IF(ABS('MD-ratios'!BG32)&gt;'MD-ratios'!$Y32,0,10-10*LOG(1+('MD-ratios'!$U32-1)*(ABS('MD-ratios'!BG32)-'MD-ratios'!$AC32)/('MD-ratios'!$Y32-'MD-ratios'!$AC32))/LOG('MD-ratios'!$U32))/2,IF('MD-ratios'!BG32&gt;'MD-ratios'!$Y32,0,10-10*LOG(1+('MD-ratios'!$U32-1)*('MD-ratios'!BG32-'MD-ratios'!$AC32)/('MD-ratios'!$Y32-'MD-ratios'!$AC32))/LOG('MD-ratios'!$U32)))</f>
        <v>1.3765263388862294</v>
      </c>
      <c r="AY29" s="262">
        <f>IF('MD-ratios'!BH32&lt;0,IF(ABS('MD-ratios'!BH32)&gt;'MD-ratios'!$Y32,0,10-10*LOG(1+('MD-ratios'!$U32-1)*(ABS('MD-ratios'!BH32)-'MD-ratios'!$AC32)/('MD-ratios'!$Y32-'MD-ratios'!$AC32))/LOG('MD-ratios'!$U32))/2,IF('MD-ratios'!BH32&gt;'MD-ratios'!$Y32,0,10-10*LOG(1+('MD-ratios'!$U32-1)*('MD-ratios'!BH32-'MD-ratios'!$AC32)/('MD-ratios'!$Y32-'MD-ratios'!$AC32))/LOG('MD-ratios'!$U32)))</f>
        <v>1.740557793663811</v>
      </c>
      <c r="AZ29" s="262">
        <f>IF('MD-ratios'!BI32&lt;0,IF(ABS('MD-ratios'!BI32)&gt;'MD-ratios'!$Y32,0,10-10*LOG(1+('MD-ratios'!$U32-1)*(ABS('MD-ratios'!BI32)-'MD-ratios'!$AC32)/('MD-ratios'!$Y32-'MD-ratios'!$AC32))/LOG('MD-ratios'!$U32))/2,IF('MD-ratios'!BI32&gt;'MD-ratios'!$Y32,0,10-10*LOG(1+('MD-ratios'!$U32-1)*('MD-ratios'!BI32-'MD-ratios'!$AC32)/('MD-ratios'!$Y32-'MD-ratios'!$AC32))/LOG('MD-ratios'!$U32)))</f>
        <v>7.1872877245971374</v>
      </c>
      <c r="BA29" s="262">
        <f>IF('MD-ratios'!BJ32&lt;0,IF(ABS('MD-ratios'!BJ32)&gt;'MD-ratios'!$Y32,0,10-10*LOG(1+('MD-ratios'!$U32-1)*(ABS('MD-ratios'!BJ32)-'MD-ratios'!$AC32)/('MD-ratios'!$Y32-'MD-ratios'!$AC32))/LOG('MD-ratios'!$U32))/2,IF('MD-ratios'!BJ32&gt;'MD-ratios'!$Y32,0,10-10*LOG(1+('MD-ratios'!$U32-1)*('MD-ratios'!BJ32-'MD-ratios'!$AC32)/('MD-ratios'!$Y32-'MD-ratios'!$AC32))/LOG('MD-ratios'!$U32)))</f>
        <v>8.2333190461158399</v>
      </c>
      <c r="BB29" s="262">
        <f>IF('MD-ratios'!BK32&lt;0,IF(ABS('MD-ratios'!BK32)&gt;'MD-ratios'!$Y32,0,10-10*LOG(1+('MD-ratios'!$U32-1)*(ABS('MD-ratios'!BK32)-'MD-ratios'!$AC32)/('MD-ratios'!$Y32-'MD-ratios'!$AC32))/LOG('MD-ratios'!$U32))/2,IF('MD-ratios'!BK32&gt;'MD-ratios'!$Y32,0,10-10*LOG(1+('MD-ratios'!$U32-1)*('MD-ratios'!BK32-'MD-ratios'!$AC32)/('MD-ratios'!$Y32-'MD-ratios'!$AC32))/LOG('MD-ratios'!$U32)))</f>
        <v>0</v>
      </c>
      <c r="BC29" s="262">
        <f>IF('MD-ratios'!BL32&lt;0,IF(ABS('MD-ratios'!BL32)&gt;'MD-ratios'!$Y32,0,10-10*LOG(1+('MD-ratios'!$U32-1)*(ABS('MD-ratios'!BL32)-'MD-ratios'!$AC32)/('MD-ratios'!$Y32-'MD-ratios'!$AC32))/LOG('MD-ratios'!$U32))/2,IF('MD-ratios'!BL32&gt;'MD-ratios'!$Y32,0,10-10*LOG(1+('MD-ratios'!$U32-1)*('MD-ratios'!BL32-'MD-ratios'!$AC32)/('MD-ratios'!$Y32-'MD-ratios'!$AC32))/LOG('MD-ratios'!$U32)))</f>
        <v>0</v>
      </c>
      <c r="BD29" s="262">
        <f>IF('MD-ratios'!BM32&lt;0,IF(ABS('MD-ratios'!BM32)&gt;'MD-ratios'!$Y32,0,10-10*LOG(1+('MD-ratios'!$U32-1)*(ABS('MD-ratios'!BM32)-'MD-ratios'!$AC32)/('MD-ratios'!$Y32-'MD-ratios'!$AC32))/LOG('MD-ratios'!$U32))/2,IF('MD-ratios'!BM32&gt;'MD-ratios'!$Y32,0,10-10*LOG(1+('MD-ratios'!$U32-1)*('MD-ratios'!BM32-'MD-ratios'!$AC32)/('MD-ratios'!$Y32-'MD-ratios'!$AC32))/LOG('MD-ratios'!$U32)))</f>
        <v>9.996596848136198</v>
      </c>
      <c r="BE29" s="262">
        <f>IF('MD-ratios'!BN32&lt;0,IF(ABS('MD-ratios'!BN32)&gt;'MD-ratios'!$Y32,0,10-10*LOG(1+('MD-ratios'!$U32-1)*(ABS('MD-ratios'!BN32)-'MD-ratios'!$AC32)/('MD-ratios'!$Y32-'MD-ratios'!$AC32))/LOG('MD-ratios'!$U32))/2,IF('MD-ratios'!BN32&gt;'MD-ratios'!$Y32,0,10-10*LOG(1+('MD-ratios'!$U32-1)*('MD-ratios'!BN32-'MD-ratios'!$AC32)/('MD-ratios'!$Y32-'MD-ratios'!$AC32))/LOG('MD-ratios'!$U32)))</f>
        <v>8.6750619657115706</v>
      </c>
      <c r="BF29" s="262">
        <f>IF('MD-ratios'!BO32&lt;0,IF(ABS('MD-ratios'!BO32)&gt;'MD-ratios'!$Y32,0,10-10*LOG(1+('MD-ratios'!$U32-1)*(ABS('MD-ratios'!BO32)-'MD-ratios'!$AC32)/('MD-ratios'!$Y32-'MD-ratios'!$AC32))/LOG('MD-ratios'!$U32))/2,IF('MD-ratios'!BO32&gt;'MD-ratios'!$Y32,0,10-10*LOG(1+('MD-ratios'!$U32-1)*('MD-ratios'!BO32-'MD-ratios'!$AC32)/('MD-ratios'!$Y32-'MD-ratios'!$AC32))/LOG('MD-ratios'!$U32)))</f>
        <v>9.1287457072585703</v>
      </c>
      <c r="BG29" s="262">
        <f>IF('MD-ratios'!BP32&lt;0,IF(ABS('MD-ratios'!BP32)&gt;'MD-ratios'!$Y32,0,10-10*LOG(1+('MD-ratios'!$U32-1)*(ABS('MD-ratios'!BP32)-'MD-ratios'!$AC32)/('MD-ratios'!$Y32-'MD-ratios'!$AC32))/LOG('MD-ratios'!$U32))/2,IF('MD-ratios'!BP32&gt;'MD-ratios'!$Y32,0,10-10*LOG(1+('MD-ratios'!$U32-1)*('MD-ratios'!BP32-'MD-ratios'!$AC32)/('MD-ratios'!$Y32-'MD-ratios'!$AC32))/LOG('MD-ratios'!$U32)))</f>
        <v>9.9949714602349555</v>
      </c>
      <c r="BH29" s="262">
        <f>IF('MD-ratios'!BQ32&lt;0,IF(ABS('MD-ratios'!BQ32)&gt;'MD-ratios'!$Y32,0,10-10*LOG(1+('MD-ratios'!$U32-1)*(ABS('MD-ratios'!BQ32)-'MD-ratios'!$AC32)/('MD-ratios'!$Y32-'MD-ratios'!$AC32))/LOG('MD-ratios'!$U32))/2,IF('MD-ratios'!BQ32&gt;'MD-ratios'!$Y32,0,10-10*LOG(1+('MD-ratios'!$U32-1)*('MD-ratios'!BQ32-'MD-ratios'!$AC32)/('MD-ratios'!$Y32-'MD-ratios'!$AC32))/LOG('MD-ratios'!$U32)))</f>
        <v>9.9849130109353332</v>
      </c>
      <c r="BI29" s="262">
        <f>IF('MD-ratios'!BR32&lt;0,IF(ABS('MD-ratios'!BR32)&gt;'MD-ratios'!$Y32,0,10-10*LOG(1+('MD-ratios'!$U32-1)*(ABS('MD-ratios'!BR32)-'MD-ratios'!$AC32)/('MD-ratios'!$Y32-'MD-ratios'!$AC32))/LOG('MD-ratios'!$U32))/2,IF('MD-ratios'!BR32&gt;'MD-ratios'!$Y32,0,10-10*LOG(1+('MD-ratios'!$U32-1)*('MD-ratios'!BR32-'MD-ratios'!$AC32)/('MD-ratios'!$Y32-'MD-ratios'!$AC32))/LOG('MD-ratios'!$U32)))</f>
        <v>7.9008198490981307</v>
      </c>
      <c r="BJ29" s="262">
        <f>IF('MD-ratios'!BS32&lt;0,IF(ABS('MD-ratios'!BS32)&gt;'MD-ratios'!$Y32,0,10-10*LOG(1+('MD-ratios'!$U32-1)*(ABS('MD-ratios'!BS32)-'MD-ratios'!$AC32)/('MD-ratios'!$Y32-'MD-ratios'!$AC32))/LOG('MD-ratios'!$U32))/2,IF('MD-ratios'!BS32&gt;'MD-ratios'!$Y32,0,10-10*LOG(1+('MD-ratios'!$U32-1)*('MD-ratios'!BS32-'MD-ratios'!$AC32)/('MD-ratios'!$Y32-'MD-ratios'!$AC32))/LOG('MD-ratios'!$U32)))</f>
        <v>6.4381060055791046</v>
      </c>
      <c r="BK29" s="262">
        <f>IF('MD-ratios'!BT32&lt;0,IF(ABS('MD-ratios'!BT32)&gt;'MD-ratios'!$Y32,0,10-10*LOG(1+('MD-ratios'!$U32-1)*(ABS('MD-ratios'!BT32)-'MD-ratios'!$AC32)/('MD-ratios'!$Y32-'MD-ratios'!$AC32))/LOG('MD-ratios'!$U32))/2,IF('MD-ratios'!BT32&gt;'MD-ratios'!$Y32,0,10-10*LOG(1+('MD-ratios'!$U32-1)*('MD-ratios'!BT32-'MD-ratios'!$AC32)/('MD-ratios'!$Y32-'MD-ratios'!$AC32))/LOG('MD-ratios'!$U32)))</f>
        <v>10</v>
      </c>
      <c r="BL29" s="262">
        <f>IF('MD-ratios'!BU32&lt;0,IF(ABS('MD-ratios'!BU32)&gt;'MD-ratios'!$Y32,0,10-10*LOG(1+('MD-ratios'!$U32-1)*(ABS('MD-ratios'!BU32)-'MD-ratios'!$AC32)/('MD-ratios'!$Y32-'MD-ratios'!$AC32))/LOG('MD-ratios'!$U32))/2,IF('MD-ratios'!BU32&gt;'MD-ratios'!$Y32,0,10-10*LOG(1+('MD-ratios'!$U32-1)*('MD-ratios'!BU32-'MD-ratios'!$AC32)/('MD-ratios'!$Y32-'MD-ratios'!$AC32))/LOG('MD-ratios'!$U32)))</f>
        <v>3.38690689490309</v>
      </c>
      <c r="BM29" s="262">
        <f>IF('MD-ratios'!BV32&lt;0,IF(ABS('MD-ratios'!BV32)&gt;'MD-ratios'!$Y32,0,10-10*LOG(1+('MD-ratios'!$U32-1)*(ABS('MD-ratios'!BV32)-'MD-ratios'!$AC32)/('MD-ratios'!$Y32-'MD-ratios'!$AC32))/LOG('MD-ratios'!$U32))/2,IF('MD-ratios'!BV32&gt;'MD-ratios'!$Y32,0,10-10*LOG(1+('MD-ratios'!$U32-1)*('MD-ratios'!BV32-'MD-ratios'!$AC32)/('MD-ratios'!$Y32-'MD-ratios'!$AC32))/LOG('MD-ratios'!$U32)))</f>
        <v>7.4594302597097801</v>
      </c>
      <c r="BN29" s="262">
        <f>IF('MD-ratios'!BW32&lt;0,IF(ABS('MD-ratios'!BW32)&gt;'MD-ratios'!$Y32,0,10-10*LOG(1+('MD-ratios'!$U32-1)*(ABS('MD-ratios'!BW32)-'MD-ratios'!$AC32)/('MD-ratios'!$Y32-'MD-ratios'!$AC32))/LOG('MD-ratios'!$U32))/2,IF('MD-ratios'!BW32&gt;'MD-ratios'!$Y32,0,10-10*LOG(1+('MD-ratios'!$U32-1)*('MD-ratios'!BW32-'MD-ratios'!$AC32)/('MD-ratios'!$Y32-'MD-ratios'!$AC32))/LOG('MD-ratios'!$U32)))</f>
        <v>9.0426315202110636</v>
      </c>
      <c r="BO29" s="262">
        <f>IF('MD-ratios'!BX32&lt;0,IF(ABS('MD-ratios'!BX32)&gt;'MD-ratios'!$Y32,0,10-10*LOG(1+('MD-ratios'!$U32-1)*(ABS('MD-ratios'!BX32)-'MD-ratios'!$AC32)/('MD-ratios'!$Y32-'MD-ratios'!$AC32))/LOG('MD-ratios'!$U32))/2,IF('MD-ratios'!BX32&gt;'MD-ratios'!$Y32,0,10-10*LOG(1+('MD-ratios'!$U32-1)*('MD-ratios'!BX32-'MD-ratios'!$AC32)/('MD-ratios'!$Y32-'MD-ratios'!$AC32))/LOG('MD-ratios'!$U32)))</f>
        <v>6.092656097986648</v>
      </c>
      <c r="BP29" s="262">
        <f>IF('MD-ratios'!BY32&lt;0,IF(ABS('MD-ratios'!BY32)&gt;'MD-ratios'!$Y32,0,10-10*LOG(1+('MD-ratios'!$U32-1)*(ABS('MD-ratios'!BY32)-'MD-ratios'!$AC32)/('MD-ratios'!$Y32-'MD-ratios'!$AC32))/LOG('MD-ratios'!$U32))/2,IF('MD-ratios'!BY32&gt;'MD-ratios'!$Y32,0,10-10*LOG(1+('MD-ratios'!$U32-1)*('MD-ratios'!BY32-'MD-ratios'!$AC32)/('MD-ratios'!$Y32-'MD-ratios'!$AC32))/LOG('MD-ratios'!$U32)))</f>
        <v>5.6008473330545998</v>
      </c>
      <c r="BQ29" s="262">
        <f>IF('MD-ratios'!BZ32&lt;0,IF(ABS('MD-ratios'!BZ32)&gt;'MD-ratios'!$Y32,0,10-10*LOG(1+('MD-ratios'!$U32-1)*(ABS('MD-ratios'!BZ32)-'MD-ratios'!$AC32)/('MD-ratios'!$Y32-'MD-ratios'!$AC32))/LOG('MD-ratios'!$U32))/2,IF('MD-ratios'!BZ32&gt;'MD-ratios'!$Y32,0,10-10*LOG(1+('MD-ratios'!$U32-1)*('MD-ratios'!BZ32-'MD-ratios'!$AC32)/('MD-ratios'!$Y32-'MD-ratios'!$AC32))/LOG('MD-ratios'!$U32)))</f>
        <v>4.2933629708929164</v>
      </c>
      <c r="BR29" s="262">
        <f>IF('MD-ratios'!CA32&lt;0,IF(ABS('MD-ratios'!CA32)&gt;'MD-ratios'!$Y32,0,10-10*LOG(1+('MD-ratios'!$U32-1)*(ABS('MD-ratios'!CA32)-'MD-ratios'!$AC32)/('MD-ratios'!$Y32-'MD-ratios'!$AC32))/LOG('MD-ratios'!$U32))/2,IF('MD-ratios'!CA32&gt;'MD-ratios'!$Y32,0,10-10*LOG(1+('MD-ratios'!$U32-1)*('MD-ratios'!CA32-'MD-ratios'!$AC32)/('MD-ratios'!$Y32-'MD-ratios'!$AC32))/LOG('MD-ratios'!$U32)))</f>
        <v>0</v>
      </c>
      <c r="BS29" s="262">
        <f>IF('MD-ratios'!CB32&lt;0,IF(ABS('MD-ratios'!CB32)&gt;'MD-ratios'!$Y32,0,10-10*LOG(1+('MD-ratios'!$U32-1)*(ABS('MD-ratios'!CB32)-'MD-ratios'!$AC32)/('MD-ratios'!$Y32-'MD-ratios'!$AC32))/LOG('MD-ratios'!$U32))/2,IF('MD-ratios'!CB32&gt;'MD-ratios'!$Y32,0,10-10*LOG(1+('MD-ratios'!$U32-1)*('MD-ratios'!CB32-'MD-ratios'!$AC32)/('MD-ratios'!$Y32-'MD-ratios'!$AC32))/LOG('MD-ratios'!$U32)))</f>
        <v>8.068359795049405</v>
      </c>
      <c r="BT29" s="262">
        <f>IF('MD-ratios'!CC32&lt;0,IF(ABS('MD-ratios'!CC32)&gt;'MD-ratios'!$Y32,0,10-10*LOG(1+('MD-ratios'!$U32-1)*(ABS('MD-ratios'!CC32)-'MD-ratios'!$AC32)/('MD-ratios'!$Y32-'MD-ratios'!$AC32))/LOG('MD-ratios'!$U32))/2,IF('MD-ratios'!CC32&gt;'MD-ratios'!$Y32,0,10-10*LOG(1+('MD-ratios'!$U32-1)*('MD-ratios'!CC32-'MD-ratios'!$AC32)/('MD-ratios'!$Y32-'MD-ratios'!$AC32))/LOG('MD-ratios'!$U32)))</f>
        <v>9.1042166995993234</v>
      </c>
    </row>
    <row r="30" spans="1:72" s="243" customFormat="1" ht="30.75" thickBot="1" x14ac:dyDescent="0.3">
      <c r="A30" s="640"/>
      <c r="B30" s="634"/>
      <c r="C30" s="240">
        <f t="shared" si="111"/>
        <v>0.15</v>
      </c>
      <c r="D30" s="234" t="str">
        <f>D13</f>
        <v>Debt-to-EBITDA Ratio</v>
      </c>
      <c r="E30" s="225" t="str">
        <f>E13</f>
        <v>Total Debt / Earnings Before Interest Taxes Depreciation &amp; Amortization</v>
      </c>
      <c r="F30" s="279">
        <f t="shared" ref="F30:I30" si="162">F13</f>
        <v>1</v>
      </c>
      <c r="G30" s="279">
        <f t="shared" si="162"/>
        <v>2</v>
      </c>
      <c r="H30" s="279">
        <f t="shared" si="162"/>
        <v>3</v>
      </c>
      <c r="I30" s="279">
        <f t="shared" si="162"/>
        <v>4</v>
      </c>
      <c r="K30" s="597" t="s">
        <v>1533</v>
      </c>
      <c r="L30" s="265" t="s">
        <v>388</v>
      </c>
      <c r="M30" s="265"/>
      <c r="N30" s="653"/>
      <c r="P30" s="258">
        <f>'MD-ratios'!Y33</f>
        <v>97.081782949143062</v>
      </c>
      <c r="Q30" s="568">
        <f>'MD-ratios'!Z33</f>
        <v>2.3542398244661604</v>
      </c>
      <c r="R30" s="568">
        <f>'MD-ratios'!AA33</f>
        <v>0.32187866093933049</v>
      </c>
      <c r="S30" s="568">
        <f>'MD-ratios'!AB33</f>
        <v>4.4008206509542756E-2</v>
      </c>
      <c r="T30" s="258">
        <f>'MD-ratios'!AC33</f>
        <v>0</v>
      </c>
      <c r="V30" s="252"/>
      <c r="W30" s="242">
        <f>IF('MD-ratios'!AF33&lt;0,IF(ABS('MD-ratios'!AF33)&gt;'MD-ratios'!$Y33,0,10-10*LOG(1+('MD-ratios'!$U33-1)*(ABS('MD-ratios'!AF33)-'MD-ratios'!$AC33)/('MD-ratios'!$Y33-'MD-ratios'!$AC33))/LOG('MD-ratios'!$U33))/2,IF('MD-ratios'!AF33&gt;'MD-ratios'!$Y33,0,10-10*LOG(1+('MD-ratios'!$U33-1)*('MD-ratios'!AF33-'MD-ratios'!$AC33)/('MD-ratios'!$Y33-'MD-ratios'!$AC33))/LOG('MD-ratios'!$U33)))</f>
        <v>9.9142222895823391</v>
      </c>
      <c r="X30" s="242">
        <f>IF('MD-ratios'!AG33&lt;0,IF(ABS('MD-ratios'!AG33)&gt;'MD-ratios'!$Y33,0,10-10*LOG(1+('MD-ratios'!$U33-1)*(ABS('MD-ratios'!AG33)-'MD-ratios'!$AC33)/('MD-ratios'!$Y33-'MD-ratios'!$AC33))/LOG('MD-ratios'!$U33))/2,IF('MD-ratios'!AG33&gt;'MD-ratios'!$Y33,0,10-10*LOG(1+('MD-ratios'!$U33-1)*('MD-ratios'!AG33-'MD-ratios'!$AC33)/('MD-ratios'!$Y33-'MD-ratios'!$AC33))/LOG('MD-ratios'!$U33)))</f>
        <v>5.1262521376829149</v>
      </c>
      <c r="Y30" s="242">
        <f>IF('MD-ratios'!AH33&lt;0,IF(ABS('MD-ratios'!AH33)&gt;'MD-ratios'!$Y33,0,10-10*LOG(1+('MD-ratios'!$U33-1)*(ABS('MD-ratios'!AH33)-'MD-ratios'!$AC33)/('MD-ratios'!$Y33-'MD-ratios'!$AC33))/LOG('MD-ratios'!$U33))/2,IF('MD-ratios'!AH33&gt;'MD-ratios'!$Y33,0,10-10*LOG(1+('MD-ratios'!$U33-1)*('MD-ratios'!AH33-'MD-ratios'!$AC33)/('MD-ratios'!$Y33-'MD-ratios'!$AC33))/LOG('MD-ratios'!$U33)))</f>
        <v>0.62819488057814965</v>
      </c>
      <c r="Z30" s="242">
        <f>IF('MD-ratios'!AI33&lt;0,IF(ABS('MD-ratios'!AI33)&gt;'MD-ratios'!$Y33,0,10-10*LOG(1+('MD-ratios'!$U33-1)*(ABS('MD-ratios'!AI33)-'MD-ratios'!$AC33)/('MD-ratios'!$Y33-'MD-ratios'!$AC33))/LOG('MD-ratios'!$U33))/2,IF('MD-ratios'!AI33&gt;'MD-ratios'!$Y33,0,10-10*LOG(1+('MD-ratios'!$U33-1)*('MD-ratios'!AI33-'MD-ratios'!$AC33)/('MD-ratios'!$Y33-'MD-ratios'!$AC33))/LOG('MD-ratios'!$U33)))</f>
        <v>4.688599138656107</v>
      </c>
      <c r="AA30" s="242">
        <f>IF('MD-ratios'!AJ33&lt;0,IF(ABS('MD-ratios'!AJ33)&gt;'MD-ratios'!$Y33,0,10-10*LOG(1+('MD-ratios'!$U33-1)*(ABS('MD-ratios'!AJ33)-'MD-ratios'!$AC33)/('MD-ratios'!$Y33-'MD-ratios'!$AC33))/LOG('MD-ratios'!$U33))/2,IF('MD-ratios'!AJ33&gt;'MD-ratios'!$Y33,0,10-10*LOG(1+('MD-ratios'!$U33-1)*('MD-ratios'!AJ33-'MD-ratios'!$AC33)/('MD-ratios'!$Y33-'MD-ratios'!$AC33))/LOG('MD-ratios'!$U33)))</f>
        <v>10</v>
      </c>
      <c r="AB30" s="242">
        <f>IF('MD-ratios'!AK33&lt;0,IF(ABS('MD-ratios'!AK33)&gt;'MD-ratios'!$Y33,0,10-10*LOG(1+('MD-ratios'!$U33-1)*(ABS('MD-ratios'!AK33)-'MD-ratios'!$AC33)/('MD-ratios'!$Y33-'MD-ratios'!$AC33))/LOG('MD-ratios'!$U33))/2,IF('MD-ratios'!AK33&gt;'MD-ratios'!$Y33,0,10-10*LOG(1+('MD-ratios'!$U33-1)*('MD-ratios'!AK33-'MD-ratios'!$AC33)/('MD-ratios'!$Y33-'MD-ratios'!$AC33))/LOG('MD-ratios'!$U33)))</f>
        <v>4.7295576274226958</v>
      </c>
      <c r="AC30" s="242">
        <f>IF('MD-ratios'!AL33&lt;0,IF(ABS('MD-ratios'!AL33)&gt;'MD-ratios'!$Y33,0,10-10*LOG(1+('MD-ratios'!$U33-1)*(ABS('MD-ratios'!AL33)-'MD-ratios'!$AC33)/('MD-ratios'!$Y33-'MD-ratios'!$AC33))/LOG('MD-ratios'!$U33))/2,IF('MD-ratios'!AL33&gt;'MD-ratios'!$Y33,0,10-10*LOG(1+('MD-ratios'!$U33-1)*('MD-ratios'!AL33-'MD-ratios'!$AC33)/('MD-ratios'!$Y33-'MD-ratios'!$AC33))/LOG('MD-ratios'!$U33)))</f>
        <v>0.32459760321844477</v>
      </c>
      <c r="AD30" s="242">
        <f>IF('MD-ratios'!AM33&lt;0,IF(ABS('MD-ratios'!AM33)&gt;'MD-ratios'!$Y33,0,10-10*LOG(1+('MD-ratios'!$U33-1)*(ABS('MD-ratios'!AM33)-'MD-ratios'!$AC33)/('MD-ratios'!$Y33-'MD-ratios'!$AC33))/LOG('MD-ratios'!$U33))/2,IF('MD-ratios'!AM33&gt;'MD-ratios'!$Y33,0,10-10*LOG(1+('MD-ratios'!$U33-1)*('MD-ratios'!AM33-'MD-ratios'!$AC33)/('MD-ratios'!$Y33-'MD-ratios'!$AC33))/LOG('MD-ratios'!$U33)))</f>
        <v>10</v>
      </c>
      <c r="AE30" s="242">
        <f>IF('MD-ratios'!AN33&lt;0,IF(ABS('MD-ratios'!AN33)&gt;'MD-ratios'!$Y33,0,10-10*LOG(1+('MD-ratios'!$U33-1)*(ABS('MD-ratios'!AN33)-'MD-ratios'!$AC33)/('MD-ratios'!$Y33-'MD-ratios'!$AC33))/LOG('MD-ratios'!$U33))/2,IF('MD-ratios'!AN33&gt;'MD-ratios'!$Y33,0,10-10*LOG(1+('MD-ratios'!$U33-1)*('MD-ratios'!AN33-'MD-ratios'!$AC33)/('MD-ratios'!$Y33-'MD-ratios'!$AC33))/LOG('MD-ratios'!$U33)))</f>
        <v>9.2040665835256412</v>
      </c>
      <c r="AF30" s="242">
        <f>IF('MD-ratios'!AO33&lt;0,IF(ABS('MD-ratios'!AO33)&gt;'MD-ratios'!$Y33,0,10-10*LOG(1+('MD-ratios'!$U33-1)*(ABS('MD-ratios'!AO33)-'MD-ratios'!$AC33)/('MD-ratios'!$Y33-'MD-ratios'!$AC33))/LOG('MD-ratios'!$U33))/2,IF('MD-ratios'!AO33&gt;'MD-ratios'!$Y33,0,10-10*LOG(1+('MD-ratios'!$U33-1)*('MD-ratios'!AO33-'MD-ratios'!$AC33)/('MD-ratios'!$Y33-'MD-ratios'!$AC33))/LOG('MD-ratios'!$U33)))</f>
        <v>2.6774894966609777</v>
      </c>
      <c r="AG30" s="242">
        <f>IF('MD-ratios'!AP33&lt;0,IF(ABS('MD-ratios'!AP33)&gt;'MD-ratios'!$Y33,0,10-10*LOG(1+('MD-ratios'!$U33-1)*(ABS('MD-ratios'!AP33)-'MD-ratios'!$AC33)/('MD-ratios'!$Y33-'MD-ratios'!$AC33))/LOG('MD-ratios'!$U33))/2,IF('MD-ratios'!AP33&gt;'MD-ratios'!$Y33,0,10-10*LOG(1+('MD-ratios'!$U33-1)*('MD-ratios'!AP33-'MD-ratios'!$AC33)/('MD-ratios'!$Y33-'MD-ratios'!$AC33))/LOG('MD-ratios'!$U33)))</f>
        <v>0</v>
      </c>
      <c r="AH30" s="242">
        <f>IF('MD-ratios'!AQ33&lt;0,IF(ABS('MD-ratios'!AQ33)&gt;'MD-ratios'!$Y33,0,10-10*LOG(1+('MD-ratios'!$U33-1)*(ABS('MD-ratios'!AQ33)-'MD-ratios'!$AC33)/('MD-ratios'!$Y33-'MD-ratios'!$AC33))/LOG('MD-ratios'!$U33))/2,IF('MD-ratios'!AQ33&gt;'MD-ratios'!$Y33,0,10-10*LOG(1+('MD-ratios'!$U33-1)*('MD-ratios'!AQ33-'MD-ratios'!$AC33)/('MD-ratios'!$Y33-'MD-ratios'!$AC33))/LOG('MD-ratios'!$U33)))</f>
        <v>9.999965508189268</v>
      </c>
      <c r="AI30" s="242">
        <f>IF('MD-ratios'!AR33&lt;0,IF(ABS('MD-ratios'!AR33)&gt;'MD-ratios'!$Y33,0,10-10*LOG(1+('MD-ratios'!$U33-1)*(ABS('MD-ratios'!AR33)-'MD-ratios'!$AC33)/('MD-ratios'!$Y33-'MD-ratios'!$AC33))/LOG('MD-ratios'!$U33))/2,IF('MD-ratios'!AR33&gt;'MD-ratios'!$Y33,0,10-10*LOG(1+('MD-ratios'!$U33-1)*('MD-ratios'!AR33-'MD-ratios'!$AC33)/('MD-ratios'!$Y33-'MD-ratios'!$AC33))/LOG('MD-ratios'!$U33)))</f>
        <v>9.8689032464744031</v>
      </c>
      <c r="AJ30" s="242">
        <f>IF('MD-ratios'!AS33&lt;0,IF(ABS('MD-ratios'!AS33)&gt;'MD-ratios'!$Y33,0,10-10*LOG(1+('MD-ratios'!$U33-1)*(ABS('MD-ratios'!AS33)-'MD-ratios'!$AC33)/('MD-ratios'!$Y33-'MD-ratios'!$AC33))/LOG('MD-ratios'!$U33))/2,IF('MD-ratios'!AS33&gt;'MD-ratios'!$Y33,0,10-10*LOG(1+('MD-ratios'!$U33-1)*('MD-ratios'!AS33-'MD-ratios'!$AC33)/('MD-ratios'!$Y33-'MD-ratios'!$AC33))/LOG('MD-ratios'!$U33)))</f>
        <v>0.49045538067075967</v>
      </c>
      <c r="AK30" s="242">
        <f>IF('MD-ratios'!AT33&lt;0,IF(ABS('MD-ratios'!AT33)&gt;'MD-ratios'!$Y33,0,10-10*LOG(1+('MD-ratios'!$U33-1)*(ABS('MD-ratios'!AT33)-'MD-ratios'!$AC33)/('MD-ratios'!$Y33-'MD-ratios'!$AC33))/LOG('MD-ratios'!$U33))/2,IF('MD-ratios'!AT33&gt;'MD-ratios'!$Y33,0,10-10*LOG(1+('MD-ratios'!$U33-1)*('MD-ratios'!AT33-'MD-ratios'!$AC33)/('MD-ratios'!$Y33-'MD-ratios'!$AC33))/LOG('MD-ratios'!$U33)))</f>
        <v>9.8289493471711218</v>
      </c>
      <c r="AL30" s="242">
        <f>IF('MD-ratios'!AU33&lt;0,IF(ABS('MD-ratios'!AU33)&gt;'MD-ratios'!$Y33,0,10-10*LOG(1+('MD-ratios'!$U33-1)*(ABS('MD-ratios'!AU33)-'MD-ratios'!$AC33)/('MD-ratios'!$Y33-'MD-ratios'!$AC33))/LOG('MD-ratios'!$U33))/2,IF('MD-ratios'!AU33&gt;'MD-ratios'!$Y33,0,10-10*LOG(1+('MD-ratios'!$U33-1)*('MD-ratios'!AU33-'MD-ratios'!$AC33)/('MD-ratios'!$Y33-'MD-ratios'!$AC33))/LOG('MD-ratios'!$U33)))</f>
        <v>9.7740201211507785</v>
      </c>
      <c r="AM30" s="242">
        <f>IF('MD-ratios'!AV33&lt;0,IF(ABS('MD-ratios'!AV33)&gt;'MD-ratios'!$Y33,0,10-10*LOG(1+('MD-ratios'!$U33-1)*(ABS('MD-ratios'!AV33)-'MD-ratios'!$AC33)/('MD-ratios'!$Y33-'MD-ratios'!$AC33))/LOG('MD-ratios'!$U33))/2,IF('MD-ratios'!AV33&gt;'MD-ratios'!$Y33,0,10-10*LOG(1+('MD-ratios'!$U33-1)*('MD-ratios'!AV33-'MD-ratios'!$AC33)/('MD-ratios'!$Y33-'MD-ratios'!$AC33))/LOG('MD-ratios'!$U33)))</f>
        <v>8.5844096842407129</v>
      </c>
      <c r="AN30" s="242">
        <f>IF('MD-ratios'!AW33&lt;0,IF(ABS('MD-ratios'!AW33)&gt;'MD-ratios'!$Y33,0,10-10*LOG(1+('MD-ratios'!$U33-1)*(ABS('MD-ratios'!AW33)-'MD-ratios'!$AC33)/('MD-ratios'!$Y33-'MD-ratios'!$AC33))/LOG('MD-ratios'!$U33))/2,IF('MD-ratios'!AW33&gt;'MD-ratios'!$Y33,0,10-10*LOG(1+('MD-ratios'!$U33-1)*('MD-ratios'!AW33-'MD-ratios'!$AC33)/('MD-ratios'!$Y33-'MD-ratios'!$AC33))/LOG('MD-ratios'!$U33)))</f>
        <v>9.5877818223428548</v>
      </c>
      <c r="AO30" s="242">
        <f>IF('MD-ratios'!AX33&lt;0,IF(ABS('MD-ratios'!AX33)&gt;'MD-ratios'!$Y33,0,10-10*LOG(1+('MD-ratios'!$U33-1)*(ABS('MD-ratios'!AX33)-'MD-ratios'!$AC33)/('MD-ratios'!$Y33-'MD-ratios'!$AC33))/LOG('MD-ratios'!$U33))/2,IF('MD-ratios'!AX33&gt;'MD-ratios'!$Y33,0,10-10*LOG(1+('MD-ratios'!$U33-1)*('MD-ratios'!AX33-'MD-ratios'!$AC33)/('MD-ratios'!$Y33-'MD-ratios'!$AC33))/LOG('MD-ratios'!$U33)))</f>
        <v>8.1562463175463193</v>
      </c>
      <c r="AP30" s="242">
        <f>IF('MD-ratios'!AY33&lt;0,IF(ABS('MD-ratios'!AY33)&gt;'MD-ratios'!$Y33,0,10-10*LOG(1+('MD-ratios'!$U33-1)*(ABS('MD-ratios'!AY33)-'MD-ratios'!$AC33)/('MD-ratios'!$Y33-'MD-ratios'!$AC33))/LOG('MD-ratios'!$U33))/2,IF('MD-ratios'!AY33&gt;'MD-ratios'!$Y33,0,10-10*LOG(1+('MD-ratios'!$U33-1)*('MD-ratios'!AY33-'MD-ratios'!$AC33)/('MD-ratios'!$Y33-'MD-ratios'!$AC33))/LOG('MD-ratios'!$U33)))</f>
        <v>9.9028603844123211</v>
      </c>
      <c r="AQ30" s="242">
        <f>IF('MD-ratios'!AZ33&lt;0,IF(ABS('MD-ratios'!AZ33)&gt;'MD-ratios'!$Y33,0,10-10*LOG(1+('MD-ratios'!$U33-1)*(ABS('MD-ratios'!AZ33)-'MD-ratios'!$AC33)/('MD-ratios'!$Y33-'MD-ratios'!$AC33))/LOG('MD-ratios'!$U33))/2,IF('MD-ratios'!AZ33&gt;'MD-ratios'!$Y33,0,10-10*LOG(1+('MD-ratios'!$U33-1)*('MD-ratios'!AZ33-'MD-ratios'!$AC33)/('MD-ratios'!$Y33-'MD-ratios'!$AC33))/LOG('MD-ratios'!$U33)))</f>
        <v>4.5215299385226393</v>
      </c>
      <c r="AR30" s="242">
        <f>IF('MD-ratios'!BA33&lt;0,IF(ABS('MD-ratios'!BA33)&gt;'MD-ratios'!$Y33,0,10-10*LOG(1+('MD-ratios'!$U33-1)*(ABS('MD-ratios'!BA33)-'MD-ratios'!$AC33)/('MD-ratios'!$Y33-'MD-ratios'!$AC33))/LOG('MD-ratios'!$U33))/2,IF('MD-ratios'!BA33&gt;'MD-ratios'!$Y33,0,10-10*LOG(1+('MD-ratios'!$U33-1)*('MD-ratios'!BA33-'MD-ratios'!$AC33)/('MD-ratios'!$Y33-'MD-ratios'!$AC33))/LOG('MD-ratios'!$U33)))</f>
        <v>9.9748948525694665</v>
      </c>
      <c r="AS30" s="242">
        <f>IF('MD-ratios'!BB33&lt;0,IF(ABS('MD-ratios'!BB33)&gt;'MD-ratios'!$Y33,0,10-10*LOG(1+('MD-ratios'!$U33-1)*(ABS('MD-ratios'!BB33)-'MD-ratios'!$AC33)/('MD-ratios'!$Y33-'MD-ratios'!$AC33))/LOG('MD-ratios'!$U33))/2,IF('MD-ratios'!BB33&gt;'MD-ratios'!$Y33,0,10-10*LOG(1+('MD-ratios'!$U33-1)*('MD-ratios'!BB33-'MD-ratios'!$AC33)/('MD-ratios'!$Y33-'MD-ratios'!$AC33))/LOG('MD-ratios'!$U33)))</f>
        <v>4.1313324649539869</v>
      </c>
      <c r="AT30" s="242">
        <f>IF('MD-ratios'!BC33&lt;0,IF(ABS('MD-ratios'!BC33)&gt;'MD-ratios'!$Y33,0,10-10*LOG(1+('MD-ratios'!$U33-1)*(ABS('MD-ratios'!BC33)-'MD-ratios'!$AC33)/('MD-ratios'!$Y33-'MD-ratios'!$AC33))/LOG('MD-ratios'!$U33))/2,IF('MD-ratios'!BC33&gt;'MD-ratios'!$Y33,0,10-10*LOG(1+('MD-ratios'!$U33-1)*('MD-ratios'!BC33-'MD-ratios'!$AC33)/('MD-ratios'!$Y33-'MD-ratios'!$AC33))/LOG('MD-ratios'!$U33)))</f>
        <v>7.1438763216542212</v>
      </c>
      <c r="AU30" s="242">
        <f>IF('MD-ratios'!BD33&lt;0,IF(ABS('MD-ratios'!BD33)&gt;'MD-ratios'!$Y33,0,10-10*LOG(1+('MD-ratios'!$U33-1)*(ABS('MD-ratios'!BD33)-'MD-ratios'!$AC33)/('MD-ratios'!$Y33-'MD-ratios'!$AC33))/LOG('MD-ratios'!$U33))/2,IF('MD-ratios'!BD33&gt;'MD-ratios'!$Y33,0,10-10*LOG(1+('MD-ratios'!$U33-1)*('MD-ratios'!BD33-'MD-ratios'!$AC33)/('MD-ratios'!$Y33-'MD-ratios'!$AC33))/LOG('MD-ratios'!$U33)))</f>
        <v>2.5747454286474363</v>
      </c>
      <c r="AV30" s="242">
        <f>IF('MD-ratios'!BE33&lt;0,IF(ABS('MD-ratios'!BE33)&gt;'MD-ratios'!$Y33,0,10-10*LOG(1+('MD-ratios'!$U33-1)*(ABS('MD-ratios'!BE33)-'MD-ratios'!$AC33)/('MD-ratios'!$Y33-'MD-ratios'!$AC33))/LOG('MD-ratios'!$U33))/2,IF('MD-ratios'!BE33&gt;'MD-ratios'!$Y33,0,10-10*LOG(1+('MD-ratios'!$U33-1)*('MD-ratios'!BE33-'MD-ratios'!$AC33)/('MD-ratios'!$Y33-'MD-ratios'!$AC33))/LOG('MD-ratios'!$U33)))</f>
        <v>10</v>
      </c>
      <c r="AW30" s="242">
        <f>IF('MD-ratios'!BF33&lt;0,IF(ABS('MD-ratios'!BF33)&gt;'MD-ratios'!$Y33,0,10-10*LOG(1+('MD-ratios'!$U33-1)*(ABS('MD-ratios'!BF33)-'MD-ratios'!$AC33)/('MD-ratios'!$Y33-'MD-ratios'!$AC33))/LOG('MD-ratios'!$U33))/2,IF('MD-ratios'!BF33&gt;'MD-ratios'!$Y33,0,10-10*LOG(1+('MD-ratios'!$U33-1)*('MD-ratios'!BF33-'MD-ratios'!$AC33)/('MD-ratios'!$Y33-'MD-ratios'!$AC33))/LOG('MD-ratios'!$U33)))</f>
        <v>7.6339833223634965</v>
      </c>
      <c r="AX30" s="242">
        <f>IF('MD-ratios'!BG33&lt;0,IF(ABS('MD-ratios'!BG33)&gt;'MD-ratios'!$Y33,0,10-10*LOG(1+('MD-ratios'!$U33-1)*(ABS('MD-ratios'!BG33)-'MD-ratios'!$AC33)/('MD-ratios'!$Y33-'MD-ratios'!$AC33))/LOG('MD-ratios'!$U33))/2,IF('MD-ratios'!BG33&gt;'MD-ratios'!$Y33,0,10-10*LOG(1+('MD-ratios'!$U33-1)*('MD-ratios'!BG33-'MD-ratios'!$AC33)/('MD-ratios'!$Y33-'MD-ratios'!$AC33))/LOG('MD-ratios'!$U33)))</f>
        <v>0.81380907525295854</v>
      </c>
      <c r="AY30" s="242">
        <f>IF('MD-ratios'!BH33&lt;0,IF(ABS('MD-ratios'!BH33)&gt;'MD-ratios'!$Y33,0,10-10*LOG(1+('MD-ratios'!$U33-1)*(ABS('MD-ratios'!BH33)-'MD-ratios'!$AC33)/('MD-ratios'!$Y33-'MD-ratios'!$AC33))/LOG('MD-ratios'!$U33))/2,IF('MD-ratios'!BH33&gt;'MD-ratios'!$Y33,0,10-10*LOG(1+('MD-ratios'!$U33-1)*('MD-ratios'!BH33-'MD-ratios'!$AC33)/('MD-ratios'!$Y33-'MD-ratios'!$AC33))/LOG('MD-ratios'!$U33)))</f>
        <v>4.5656278225096374</v>
      </c>
      <c r="AZ30" s="242">
        <f>IF('MD-ratios'!BI33&lt;0,IF(ABS('MD-ratios'!BI33)&gt;'MD-ratios'!$Y33,0,10-10*LOG(1+('MD-ratios'!$U33-1)*(ABS('MD-ratios'!BI33)-'MD-ratios'!$AC33)/('MD-ratios'!$Y33-'MD-ratios'!$AC33))/LOG('MD-ratios'!$U33))/2,IF('MD-ratios'!BI33&gt;'MD-ratios'!$Y33,0,10-10*LOG(1+('MD-ratios'!$U33-1)*('MD-ratios'!BI33-'MD-ratios'!$AC33)/('MD-ratios'!$Y33-'MD-ratios'!$AC33))/LOG('MD-ratios'!$U33)))</f>
        <v>7.2625703267600343</v>
      </c>
      <c r="BA30" s="242">
        <f>IF('MD-ratios'!BJ33&lt;0,IF(ABS('MD-ratios'!BJ33)&gt;'MD-ratios'!$Y33,0,10-10*LOG(1+('MD-ratios'!$U33-1)*(ABS('MD-ratios'!BJ33)-'MD-ratios'!$AC33)/('MD-ratios'!$Y33-'MD-ratios'!$AC33))/LOG('MD-ratios'!$U33))/2,IF('MD-ratios'!BJ33&gt;'MD-ratios'!$Y33,0,10-10*LOG(1+('MD-ratios'!$U33-1)*('MD-ratios'!BJ33-'MD-ratios'!$AC33)/('MD-ratios'!$Y33-'MD-ratios'!$AC33))/LOG('MD-ratios'!$U33)))</f>
        <v>9.7729197316427499</v>
      </c>
      <c r="BB30" s="242">
        <f>IF('MD-ratios'!BK33&lt;0,IF(ABS('MD-ratios'!BK33)&gt;'MD-ratios'!$Y33,0,10-10*LOG(1+('MD-ratios'!$U33-1)*(ABS('MD-ratios'!BK33)-'MD-ratios'!$AC33)/('MD-ratios'!$Y33-'MD-ratios'!$AC33))/LOG('MD-ratios'!$U33))/2,IF('MD-ratios'!BK33&gt;'MD-ratios'!$Y33,0,10-10*LOG(1+('MD-ratios'!$U33-1)*('MD-ratios'!BK33-'MD-ratios'!$AC33)/('MD-ratios'!$Y33-'MD-ratios'!$AC33))/LOG('MD-ratios'!$U33)))</f>
        <v>3.1645930339458546</v>
      </c>
      <c r="BC30" s="242">
        <f>IF('MD-ratios'!BL33&lt;0,IF(ABS('MD-ratios'!BL33)&gt;'MD-ratios'!$Y33,0,10-10*LOG(1+('MD-ratios'!$U33-1)*(ABS('MD-ratios'!BL33)-'MD-ratios'!$AC33)/('MD-ratios'!$Y33-'MD-ratios'!$AC33))/LOG('MD-ratios'!$U33))/2,IF('MD-ratios'!BL33&gt;'MD-ratios'!$Y33,0,10-10*LOG(1+('MD-ratios'!$U33-1)*('MD-ratios'!BL33-'MD-ratios'!$AC33)/('MD-ratios'!$Y33-'MD-ratios'!$AC33))/LOG('MD-ratios'!$U33)))</f>
        <v>3.2824538669852856</v>
      </c>
      <c r="BD30" s="242">
        <f>IF('MD-ratios'!BM33&lt;0,IF(ABS('MD-ratios'!BM33)&gt;'MD-ratios'!$Y33,0,10-10*LOG(1+('MD-ratios'!$U33-1)*(ABS('MD-ratios'!BM33)-'MD-ratios'!$AC33)/('MD-ratios'!$Y33-'MD-ratios'!$AC33))/LOG('MD-ratios'!$U33))/2,IF('MD-ratios'!BM33&gt;'MD-ratios'!$Y33,0,10-10*LOG(1+('MD-ratios'!$U33-1)*('MD-ratios'!BM33-'MD-ratios'!$AC33)/('MD-ratios'!$Y33-'MD-ratios'!$AC33))/LOG('MD-ratios'!$U33)))</f>
        <v>9.9997105024550592</v>
      </c>
      <c r="BE30" s="242">
        <f>IF('MD-ratios'!BN33&lt;0,IF(ABS('MD-ratios'!BN33)&gt;'MD-ratios'!$Y33,0,10-10*LOG(1+('MD-ratios'!$U33-1)*(ABS('MD-ratios'!BN33)-'MD-ratios'!$AC33)/('MD-ratios'!$Y33-'MD-ratios'!$AC33))/LOG('MD-ratios'!$U33))/2,IF('MD-ratios'!BN33&gt;'MD-ratios'!$Y33,0,10-10*LOG(1+('MD-ratios'!$U33-1)*('MD-ratios'!BN33-'MD-ratios'!$AC33)/('MD-ratios'!$Y33-'MD-ratios'!$AC33))/LOG('MD-ratios'!$U33)))</f>
        <v>8.7303101591036008</v>
      </c>
      <c r="BF30" s="242">
        <f>IF('MD-ratios'!BO33&lt;0,IF(ABS('MD-ratios'!BO33)&gt;'MD-ratios'!$Y33,0,10-10*LOG(1+('MD-ratios'!$U33-1)*(ABS('MD-ratios'!BO33)-'MD-ratios'!$AC33)/('MD-ratios'!$Y33-'MD-ratios'!$AC33))/LOG('MD-ratios'!$U33))/2,IF('MD-ratios'!BO33&gt;'MD-ratios'!$Y33,0,10-10*LOG(1+('MD-ratios'!$U33-1)*('MD-ratios'!BO33-'MD-ratios'!$AC33)/('MD-ratios'!$Y33-'MD-ratios'!$AC33))/LOG('MD-ratios'!$U33)))</f>
        <v>9.4803446841685748</v>
      </c>
      <c r="BG30" s="242">
        <f>IF('MD-ratios'!BP33&lt;0,IF(ABS('MD-ratios'!BP33)&gt;'MD-ratios'!$Y33,0,10-10*LOG(1+('MD-ratios'!$U33-1)*(ABS('MD-ratios'!BP33)-'MD-ratios'!$AC33)/('MD-ratios'!$Y33-'MD-ratios'!$AC33))/LOG('MD-ratios'!$U33))/2,IF('MD-ratios'!BP33&gt;'MD-ratios'!$Y33,0,10-10*LOG(1+('MD-ratios'!$U33-1)*('MD-ratios'!BP33-'MD-ratios'!$AC33)/('MD-ratios'!$Y33-'MD-ratios'!$AC33))/LOG('MD-ratios'!$U33)))</f>
        <v>9.9997219063853819</v>
      </c>
      <c r="BH30" s="242">
        <f>IF('MD-ratios'!BQ33&lt;0,IF(ABS('MD-ratios'!BQ33)&gt;'MD-ratios'!$Y33,0,10-10*LOG(1+('MD-ratios'!$U33-1)*(ABS('MD-ratios'!BQ33)-'MD-ratios'!$AC33)/('MD-ratios'!$Y33-'MD-ratios'!$AC33))/LOG('MD-ratios'!$U33))/2,IF('MD-ratios'!BQ33&gt;'MD-ratios'!$Y33,0,10-10*LOG(1+('MD-ratios'!$U33-1)*('MD-ratios'!BQ33-'MD-ratios'!$AC33)/('MD-ratios'!$Y33-'MD-ratios'!$AC33))/LOG('MD-ratios'!$U33)))</f>
        <v>4.976274284864207</v>
      </c>
      <c r="BI30" s="242">
        <f>IF('MD-ratios'!BR33&lt;0,IF(ABS('MD-ratios'!BR33)&gt;'MD-ratios'!$Y33,0,10-10*LOG(1+('MD-ratios'!$U33-1)*(ABS('MD-ratios'!BR33)-'MD-ratios'!$AC33)/('MD-ratios'!$Y33-'MD-ratios'!$AC33))/LOG('MD-ratios'!$U33))/2,IF('MD-ratios'!BR33&gt;'MD-ratios'!$Y33,0,10-10*LOG(1+('MD-ratios'!$U33-1)*('MD-ratios'!BR33-'MD-ratios'!$AC33)/('MD-ratios'!$Y33-'MD-ratios'!$AC33))/LOG('MD-ratios'!$U33)))</f>
        <v>8.7744646268296549</v>
      </c>
      <c r="BJ30" s="242">
        <f>IF('MD-ratios'!BS33&lt;0,IF(ABS('MD-ratios'!BS33)&gt;'MD-ratios'!$Y33,0,10-10*LOG(1+('MD-ratios'!$U33-1)*(ABS('MD-ratios'!BS33)-'MD-ratios'!$AC33)/('MD-ratios'!$Y33-'MD-ratios'!$AC33))/LOG('MD-ratios'!$U33))/2,IF('MD-ratios'!BS33&gt;'MD-ratios'!$Y33,0,10-10*LOG(1+('MD-ratios'!$U33-1)*('MD-ratios'!BS33-'MD-ratios'!$AC33)/('MD-ratios'!$Y33-'MD-ratios'!$AC33))/LOG('MD-ratios'!$U33)))</f>
        <v>5.0928418718419719</v>
      </c>
      <c r="BK30" s="242">
        <f>IF('MD-ratios'!BT33&lt;0,IF(ABS('MD-ratios'!BT33)&gt;'MD-ratios'!$Y33,0,10-10*LOG(1+('MD-ratios'!$U33-1)*(ABS('MD-ratios'!BT33)-'MD-ratios'!$AC33)/('MD-ratios'!$Y33-'MD-ratios'!$AC33))/LOG('MD-ratios'!$U33))/2,IF('MD-ratios'!BT33&gt;'MD-ratios'!$Y33,0,10-10*LOG(1+('MD-ratios'!$U33-1)*('MD-ratios'!BT33-'MD-ratios'!$AC33)/('MD-ratios'!$Y33-'MD-ratios'!$AC33))/LOG('MD-ratios'!$U33)))</f>
        <v>10</v>
      </c>
      <c r="BL30" s="242">
        <f>IF('MD-ratios'!BU33&lt;0,IF(ABS('MD-ratios'!BU33)&gt;'MD-ratios'!$Y33,0,10-10*LOG(1+('MD-ratios'!$U33-1)*(ABS('MD-ratios'!BU33)-'MD-ratios'!$AC33)/('MD-ratios'!$Y33-'MD-ratios'!$AC33))/LOG('MD-ratios'!$U33))/2,IF('MD-ratios'!BU33&gt;'MD-ratios'!$Y33,0,10-10*LOG(1+('MD-ratios'!$U33-1)*('MD-ratios'!BU33-'MD-ratios'!$AC33)/('MD-ratios'!$Y33-'MD-ratios'!$AC33))/LOG('MD-ratios'!$U33)))</f>
        <v>6.5749930895539901</v>
      </c>
      <c r="BM30" s="242">
        <f>IF('MD-ratios'!BV33&lt;0,IF(ABS('MD-ratios'!BV33)&gt;'MD-ratios'!$Y33,0,10-10*LOG(1+('MD-ratios'!$U33-1)*(ABS('MD-ratios'!BV33)-'MD-ratios'!$AC33)/('MD-ratios'!$Y33-'MD-ratios'!$AC33))/LOG('MD-ratios'!$U33))/2,IF('MD-ratios'!BV33&gt;'MD-ratios'!$Y33,0,10-10*LOG(1+('MD-ratios'!$U33-1)*('MD-ratios'!BV33-'MD-ratios'!$AC33)/('MD-ratios'!$Y33-'MD-ratios'!$AC33))/LOG('MD-ratios'!$U33)))</f>
        <v>8.3541120968617157</v>
      </c>
      <c r="BN30" s="242">
        <f>IF('MD-ratios'!BW33&lt;0,IF(ABS('MD-ratios'!BW33)&gt;'MD-ratios'!$Y33,0,10-10*LOG(1+('MD-ratios'!$U33-1)*(ABS('MD-ratios'!BW33)-'MD-ratios'!$AC33)/('MD-ratios'!$Y33-'MD-ratios'!$AC33))/LOG('MD-ratios'!$U33))/2,IF('MD-ratios'!BW33&gt;'MD-ratios'!$Y33,0,10-10*LOG(1+('MD-ratios'!$U33-1)*('MD-ratios'!BW33-'MD-ratios'!$AC33)/('MD-ratios'!$Y33-'MD-ratios'!$AC33))/LOG('MD-ratios'!$U33)))</f>
        <v>4.9268328895318927</v>
      </c>
      <c r="BO30" s="242">
        <f>IF('MD-ratios'!BX33&lt;0,IF(ABS('MD-ratios'!BX33)&gt;'MD-ratios'!$Y33,0,10-10*LOG(1+('MD-ratios'!$U33-1)*(ABS('MD-ratios'!BX33)-'MD-ratios'!$AC33)/('MD-ratios'!$Y33-'MD-ratios'!$AC33))/LOG('MD-ratios'!$U33))/2,IF('MD-ratios'!BX33&gt;'MD-ratios'!$Y33,0,10-10*LOG(1+('MD-ratios'!$U33-1)*('MD-ratios'!BX33-'MD-ratios'!$AC33)/('MD-ratios'!$Y33-'MD-ratios'!$AC33))/LOG('MD-ratios'!$U33)))</f>
        <v>8.3594812762055835</v>
      </c>
      <c r="BP30" s="242">
        <f>IF('MD-ratios'!BY33&lt;0,IF(ABS('MD-ratios'!BY33)&gt;'MD-ratios'!$Y33,0,10-10*LOG(1+('MD-ratios'!$U33-1)*(ABS('MD-ratios'!BY33)-'MD-ratios'!$AC33)/('MD-ratios'!$Y33-'MD-ratios'!$AC33))/LOG('MD-ratios'!$U33))/2,IF('MD-ratios'!BY33&gt;'MD-ratios'!$Y33,0,10-10*LOG(1+('MD-ratios'!$U33-1)*('MD-ratios'!BY33-'MD-ratios'!$AC33)/('MD-ratios'!$Y33-'MD-ratios'!$AC33))/LOG('MD-ratios'!$U33)))</f>
        <v>2.1896746115487038</v>
      </c>
      <c r="BQ30" s="242">
        <f>IF('MD-ratios'!BZ33&lt;0,IF(ABS('MD-ratios'!BZ33)&gt;'MD-ratios'!$Y33,0,10-10*LOG(1+('MD-ratios'!$U33-1)*(ABS('MD-ratios'!BZ33)-'MD-ratios'!$AC33)/('MD-ratios'!$Y33-'MD-ratios'!$AC33))/LOG('MD-ratios'!$U33))/2,IF('MD-ratios'!BZ33&gt;'MD-ratios'!$Y33,0,10-10*LOG(1+('MD-ratios'!$U33-1)*('MD-ratios'!BZ33-'MD-ratios'!$AC33)/('MD-ratios'!$Y33-'MD-ratios'!$AC33))/LOG('MD-ratios'!$U33)))</f>
        <v>7.098064990111939</v>
      </c>
      <c r="BR30" s="242">
        <f>IF('MD-ratios'!CA33&lt;0,IF(ABS('MD-ratios'!CA33)&gt;'MD-ratios'!$Y33,0,10-10*LOG(1+('MD-ratios'!$U33-1)*(ABS('MD-ratios'!CA33)-'MD-ratios'!$AC33)/('MD-ratios'!$Y33-'MD-ratios'!$AC33))/LOG('MD-ratios'!$U33))/2,IF('MD-ratios'!CA33&gt;'MD-ratios'!$Y33,0,10-10*LOG(1+('MD-ratios'!$U33-1)*('MD-ratios'!CA33-'MD-ratios'!$AC33)/('MD-ratios'!$Y33-'MD-ratios'!$AC33))/LOG('MD-ratios'!$U33)))</f>
        <v>3.2003598050711242</v>
      </c>
      <c r="BS30" s="242">
        <f>IF('MD-ratios'!CB33&lt;0,IF(ABS('MD-ratios'!CB33)&gt;'MD-ratios'!$Y33,0,10-10*LOG(1+('MD-ratios'!$U33-1)*(ABS('MD-ratios'!CB33)-'MD-ratios'!$AC33)/('MD-ratios'!$Y33-'MD-ratios'!$AC33))/LOG('MD-ratios'!$U33))/2,IF('MD-ratios'!CB33&gt;'MD-ratios'!$Y33,0,10-10*LOG(1+('MD-ratios'!$U33-1)*('MD-ratios'!CB33-'MD-ratios'!$AC33)/('MD-ratios'!$Y33-'MD-ratios'!$AC33))/LOG('MD-ratios'!$U33)))</f>
        <v>4.4142009258158765</v>
      </c>
      <c r="BT30" s="242">
        <f>IF('MD-ratios'!CC33&lt;0,IF(ABS('MD-ratios'!CC33)&gt;'MD-ratios'!$Y33,0,10-10*LOG(1+('MD-ratios'!$U33-1)*(ABS('MD-ratios'!CC33)-'MD-ratios'!$AC33)/('MD-ratios'!$Y33-'MD-ratios'!$AC33))/LOG('MD-ratios'!$U33))/2,IF('MD-ratios'!CC33&gt;'MD-ratios'!$Y33,0,10-10*LOG(1+('MD-ratios'!$U33-1)*('MD-ratios'!CC33-'MD-ratios'!$AC33)/('MD-ratios'!$Y33-'MD-ratios'!$AC33))/LOG('MD-ratios'!$U33)))</f>
        <v>7.8279387627503754</v>
      </c>
    </row>
    <row r="31" spans="1:72" s="266" customFormat="1" ht="15.75" thickBot="1" x14ac:dyDescent="0.3">
      <c r="A31" s="641"/>
      <c r="B31" s="635"/>
      <c r="C31" s="647" t="str">
        <f t="shared" si="111"/>
        <v>Leverage total</v>
      </c>
      <c r="D31" s="648"/>
      <c r="E31" s="649"/>
      <c r="F31" s="275"/>
      <c r="G31" s="275"/>
      <c r="H31" s="275"/>
      <c r="I31" s="275"/>
      <c r="K31" s="598"/>
      <c r="L31" s="272"/>
      <c r="M31" s="272"/>
      <c r="N31" s="653"/>
      <c r="P31" s="267"/>
      <c r="Q31" s="569"/>
      <c r="R31" s="569"/>
      <c r="S31" s="569"/>
      <c r="T31" s="267"/>
      <c r="V31" s="268"/>
      <c r="W31" s="269">
        <f>SUMPRODUCT(W29:W30,$C29:$C30)/SUM($C29:$C30)</f>
        <v>9.9204336836084686</v>
      </c>
      <c r="X31" s="269">
        <f t="shared" ref="X31" si="163">SUMPRODUCT(X29:X30,$C29:$C30)/SUM($C29:$C30)</f>
        <v>3.038074830144974</v>
      </c>
      <c r="Y31" s="269">
        <f t="shared" ref="Y31" si="164">SUMPRODUCT(Y29:Y30,$C29:$C30)/SUM($C29:$C30)</f>
        <v>0.31409744028907483</v>
      </c>
      <c r="Z31" s="269">
        <f t="shared" ref="Z31" si="165">SUMPRODUCT(Z29:Z30,$C29:$C30)/SUM($C29:$C30)</f>
        <v>6.9330272593701006</v>
      </c>
      <c r="AA31" s="269">
        <f t="shared" ref="AA31" si="166">SUMPRODUCT(AA29:AA30,$C29:$C30)/SUM($C29:$C30)</f>
        <v>5.3711399540574112</v>
      </c>
      <c r="AB31" s="269">
        <f t="shared" ref="AB31" si="167">SUMPRODUCT(AB29:AB30,$C29:$C30)/SUM($C29:$C30)</f>
        <v>5.2591885463848387</v>
      </c>
      <c r="AC31" s="269">
        <f t="shared" ref="AC31" si="168">SUMPRODUCT(AC29:AC30,$C29:$C30)/SUM($C29:$C30)</f>
        <v>0.16229880160922239</v>
      </c>
      <c r="AD31" s="269">
        <f t="shared" ref="AD31" si="169">SUMPRODUCT(AD29:AD30,$C29:$C30)/SUM($C29:$C30)</f>
        <v>10</v>
      </c>
      <c r="AE31" s="269">
        <f t="shared" ref="AE31" si="170">SUMPRODUCT(AE29:AE30,$C29:$C30)/SUM($C29:$C30)</f>
        <v>9.0881820781988321</v>
      </c>
      <c r="AF31" s="269">
        <f t="shared" ref="AF31" si="171">SUMPRODUCT(AF29:AF30,$C29:$C30)/SUM($C29:$C30)</f>
        <v>3.4080788093763421</v>
      </c>
      <c r="AG31" s="269">
        <f t="shared" ref="AG31" si="172">SUMPRODUCT(AG29:AG30,$C29:$C30)/SUM($C29:$C30)</f>
        <v>0.62661689965610545</v>
      </c>
      <c r="AH31" s="269">
        <f t="shared" ref="AH31" si="173">SUMPRODUCT(AH29:AH30,$C29:$C30)/SUM($C29:$C30)</f>
        <v>9.9999672639543036</v>
      </c>
      <c r="AI31" s="269">
        <f t="shared" ref="AI31" si="174">SUMPRODUCT(AI29:AI30,$C29:$C30)/SUM($C29:$C30)</f>
        <v>9.4995963863516266</v>
      </c>
      <c r="AJ31" s="269">
        <f t="shared" ref="AJ31" si="175">SUMPRODUCT(AJ29:AJ30,$C29:$C30)/SUM($C29:$C30)</f>
        <v>0.92587814464772844</v>
      </c>
      <c r="AK31" s="269">
        <f t="shared" ref="AK31" si="176">SUMPRODUCT(AK29:AK30,$C29:$C30)/SUM($C29:$C30)</f>
        <v>9.4235606738020241</v>
      </c>
      <c r="AL31" s="269">
        <f t="shared" ref="AL31" si="177">SUMPRODUCT(AL29:AL30,$C29:$C30)/SUM($C29:$C30)</f>
        <v>9.5203406150001246</v>
      </c>
      <c r="AM31" s="269">
        <f t="shared" ref="AM31" si="178">SUMPRODUCT(AM29:AM30,$C29:$C30)/SUM($C29:$C30)</f>
        <v>8.1795687004096163</v>
      </c>
      <c r="AN31" s="269">
        <f t="shared" ref="AN31" si="179">SUMPRODUCT(AN29:AN30,$C29:$C30)/SUM($C29:$C30)</f>
        <v>9.4945911175535738</v>
      </c>
      <c r="AO31" s="269">
        <f t="shared" ref="AO31" si="180">SUMPRODUCT(AO29:AO30,$C29:$C30)/SUM($C29:$C30)</f>
        <v>7.9805359717080862</v>
      </c>
      <c r="AP31" s="269">
        <f t="shared" ref="AP31" si="181">SUMPRODUCT(AP29:AP30,$C29:$C30)/SUM($C29:$C30)</f>
        <v>9.6351666869383816</v>
      </c>
      <c r="AQ31" s="269">
        <f t="shared" ref="AQ31" si="182">SUMPRODUCT(AQ29:AQ30,$C29:$C30)/SUM($C29:$C30)</f>
        <v>6.8063365581421511</v>
      </c>
      <c r="AR31" s="269">
        <f t="shared" ref="AR31" si="183">SUMPRODUCT(AR29:AR30,$C29:$C30)/SUM($C29:$C30)</f>
        <v>9.7934860614915014</v>
      </c>
      <c r="AS31" s="269">
        <f t="shared" ref="AS31" si="184">SUMPRODUCT(AS29:AS30,$C29:$C30)/SUM($C29:$C30)</f>
        <v>4.0308106546792022</v>
      </c>
      <c r="AT31" s="269">
        <f t="shared" ref="AT31" si="185">SUMPRODUCT(AT29:AT30,$C29:$C30)/SUM($C29:$C30)</f>
        <v>5.896253258784018</v>
      </c>
      <c r="AU31" s="269">
        <f t="shared" ref="AU31" si="186">SUMPRODUCT(AU29:AU30,$C29:$C30)/SUM($C29:$C30)</f>
        <v>1.5923751556581547</v>
      </c>
      <c r="AV31" s="269">
        <f t="shared" ref="AV31" si="187">SUMPRODUCT(AV29:AV30,$C29:$C30)/SUM($C29:$C30)</f>
        <v>10</v>
      </c>
      <c r="AW31" s="269">
        <f t="shared" ref="AW31" si="188">SUMPRODUCT(AW29:AW30,$C29:$C30)/SUM($C29:$C30)</f>
        <v>4.9516336243058481</v>
      </c>
      <c r="AX31" s="269">
        <f t="shared" ref="AX31" si="189">SUMPRODUCT(AX29:AX30,$C29:$C30)/SUM($C29:$C30)</f>
        <v>1.095167707069594</v>
      </c>
      <c r="AY31" s="269">
        <f t="shared" ref="AY31" si="190">SUMPRODUCT(AY29:AY30,$C29:$C30)/SUM($C29:$C30)</f>
        <v>3.1530928080867238</v>
      </c>
      <c r="AZ31" s="269">
        <f t="shared" ref="AZ31" si="191">SUMPRODUCT(AZ29:AZ30,$C29:$C30)/SUM($C29:$C30)</f>
        <v>7.2249290256785859</v>
      </c>
      <c r="BA31" s="269">
        <f t="shared" ref="BA31" si="192">SUMPRODUCT(BA29:BA30,$C29:$C30)/SUM($C29:$C30)</f>
        <v>9.0031193888792949</v>
      </c>
      <c r="BB31" s="269">
        <f t="shared" ref="BB31" si="193">SUMPRODUCT(BB29:BB30,$C29:$C30)/SUM($C29:$C30)</f>
        <v>1.5822965169729273</v>
      </c>
      <c r="BC31" s="269">
        <f t="shared" ref="BC31" si="194">SUMPRODUCT(BC29:BC30,$C29:$C30)/SUM($C29:$C30)</f>
        <v>1.6412269334926428</v>
      </c>
      <c r="BD31" s="269">
        <f t="shared" ref="BD31" si="195">SUMPRODUCT(BD29:BD30,$C29:$C30)/SUM($C29:$C30)</f>
        <v>9.9981536752956295</v>
      </c>
      <c r="BE31" s="269">
        <f t="shared" ref="BE31" si="196">SUMPRODUCT(BE29:BE30,$C29:$C30)/SUM($C29:$C30)</f>
        <v>8.7026860624075866</v>
      </c>
      <c r="BF31" s="269">
        <f t="shared" ref="BF31" si="197">SUMPRODUCT(BF29:BF30,$C29:$C30)/SUM($C29:$C30)</f>
        <v>9.3045451957135743</v>
      </c>
      <c r="BG31" s="269">
        <f t="shared" ref="BG31" si="198">SUMPRODUCT(BG29:BG30,$C29:$C30)/SUM($C29:$C30)</f>
        <v>9.9973466833101696</v>
      </c>
      <c r="BH31" s="269">
        <f t="shared" ref="BH31" si="199">SUMPRODUCT(BH29:BH30,$C29:$C30)/SUM($C29:$C30)</f>
        <v>7.4805936478997692</v>
      </c>
      <c r="BI31" s="269">
        <f t="shared" ref="BI31" si="200">SUMPRODUCT(BI29:BI30,$C29:$C30)/SUM($C29:$C30)</f>
        <v>8.3376422379638928</v>
      </c>
      <c r="BJ31" s="269">
        <f t="shared" ref="BJ31" si="201">SUMPRODUCT(BJ29:BJ30,$C29:$C30)/SUM($C29:$C30)</f>
        <v>5.7654739387105387</v>
      </c>
      <c r="BK31" s="269">
        <f t="shared" ref="BK31" si="202">SUMPRODUCT(BK29:BK30,$C29:$C30)/SUM($C29:$C30)</f>
        <v>10</v>
      </c>
      <c r="BL31" s="269">
        <f t="shared" ref="BL31" si="203">SUMPRODUCT(BL29:BL30,$C29:$C30)/SUM($C29:$C30)</f>
        <v>4.9809499922285401</v>
      </c>
      <c r="BM31" s="269">
        <f t="shared" ref="BM31" si="204">SUMPRODUCT(BM29:BM30,$C29:$C30)/SUM($C29:$C30)</f>
        <v>7.906771178285747</v>
      </c>
      <c r="BN31" s="269">
        <f t="shared" ref="BN31" si="205">SUMPRODUCT(BN29:BN30,$C29:$C30)/SUM($C29:$C30)</f>
        <v>6.9847322048714791</v>
      </c>
      <c r="BO31" s="269">
        <f t="shared" ref="BO31" si="206">SUMPRODUCT(BO29:BO30,$C29:$C30)/SUM($C29:$C30)</f>
        <v>7.2260686870961157</v>
      </c>
      <c r="BP31" s="269">
        <f t="shared" ref="BP31" si="207">SUMPRODUCT(BP29:BP30,$C29:$C30)/SUM($C29:$C30)</f>
        <v>3.8952609723016516</v>
      </c>
      <c r="BQ31" s="269">
        <f t="shared" ref="BQ31" si="208">SUMPRODUCT(BQ29:BQ30,$C29:$C30)/SUM($C29:$C30)</f>
        <v>5.6957139805024282</v>
      </c>
      <c r="BR31" s="269">
        <f t="shared" ref="BR31" si="209">SUMPRODUCT(BR29:BR30,$C29:$C30)/SUM($C29:$C30)</f>
        <v>1.6001799025355621</v>
      </c>
      <c r="BS31" s="269">
        <f t="shared" ref="BS31" si="210">SUMPRODUCT(BS29:BS30,$C29:$C30)/SUM($C29:$C30)</f>
        <v>6.2412803604326408</v>
      </c>
      <c r="BT31" s="269">
        <f t="shared" ref="BT31" si="211">SUMPRODUCT(BT29:BT30,$C29:$C30)/SUM($C29:$C30)</f>
        <v>8.4660777311748507</v>
      </c>
    </row>
    <row r="32" spans="1:72" s="243" customFormat="1" ht="51.75" thickBot="1" x14ac:dyDescent="0.3">
      <c r="A32" s="630">
        <f>A15</f>
        <v>0.2</v>
      </c>
      <c r="B32" s="633" t="str">
        <f>B15</f>
        <v>Activity</v>
      </c>
      <c r="C32" s="263">
        <f t="shared" si="111"/>
        <v>0.1</v>
      </c>
      <c r="D32" s="264" t="str">
        <f>D15</f>
        <v>Working capital turnover ratio</v>
      </c>
      <c r="E32" s="227" t="str">
        <f>E15</f>
        <v>Net Sales ÷ ((Beginning Working Capital + Ending Working Capital) / 2) Note: Working Capital = Current Assets Minus Current Liabilities)</v>
      </c>
      <c r="F32" s="279">
        <f t="shared" ref="F32:I32" si="212">F15</f>
        <v>1</v>
      </c>
      <c r="G32" s="279">
        <f t="shared" si="212"/>
        <v>2</v>
      </c>
      <c r="H32" s="279">
        <f t="shared" si="212"/>
        <v>3</v>
      </c>
      <c r="I32" s="279">
        <f t="shared" si="212"/>
        <v>4</v>
      </c>
      <c r="K32" s="597" t="s">
        <v>1534</v>
      </c>
      <c r="L32" s="265" t="s">
        <v>388</v>
      </c>
      <c r="M32" s="265"/>
      <c r="N32" s="653"/>
      <c r="P32" s="258">
        <f>'MD-ratios'!Y35</f>
        <v>0</v>
      </c>
      <c r="Q32" s="568">
        <f>'MD-ratios'!Z35</f>
        <v>1.3738708781648035</v>
      </c>
      <c r="R32" s="568">
        <f>'MD-ratios'!AA35</f>
        <v>2.8478021159290718</v>
      </c>
      <c r="S32" s="568">
        <f>'MD-ratios'!AB35</f>
        <v>5.9030124448982324</v>
      </c>
      <c r="T32" s="258">
        <f>'MD-ratios'!AC35</f>
        <v>21.74155194030655</v>
      </c>
      <c r="V32" s="252"/>
      <c r="W32" s="242">
        <f>IF(ABS('MD-ratios'!AF35)&lt;0,0,IF(ABS('MD-ratios'!AF35)&gt;'MD-ratios'!$AC35,10,10*LOG(1+('MD-ratios'!$U35-1)*(ABS('MD-ratios'!AF35)-'MD-ratios'!$Y35)/('MD-ratios'!$AC35-'MD-ratios'!$Y35))/LOG('MD-ratios'!$U35)))</f>
        <v>1.8498244574268747</v>
      </c>
      <c r="X32" s="242">
        <f>IF(ABS('MD-ratios'!AG35)&lt;0,0,IF(ABS('MD-ratios'!AG35)&gt;'MD-ratios'!$AC35,10,10*LOG(1+('MD-ratios'!$U35-1)*(ABS('MD-ratios'!AG35)-'MD-ratios'!$Y35)/('MD-ratios'!$AC35-'MD-ratios'!$Y35))/LOG('MD-ratios'!$U35)))</f>
        <v>9.6458511839683183</v>
      </c>
      <c r="Y32" s="242">
        <f>IF(ABS('MD-ratios'!AH35)&lt;0,0,IF(ABS('MD-ratios'!AH35)&gt;'MD-ratios'!$AC35,10,10*LOG(1+('MD-ratios'!$U35-1)*(ABS('MD-ratios'!AH35)-'MD-ratios'!$Y35)/('MD-ratios'!$AC35-'MD-ratios'!$Y35))/LOG('MD-ratios'!$U35)))</f>
        <v>4.0852903876404723</v>
      </c>
      <c r="Z32" s="242">
        <f>IF(ABS('MD-ratios'!AI35)&lt;0,0,IF(ABS('MD-ratios'!AI35)&gt;'MD-ratios'!$AC35,10,10*LOG(1+('MD-ratios'!$U35-1)*(ABS('MD-ratios'!AI35)-'MD-ratios'!$Y35)/('MD-ratios'!$AC35-'MD-ratios'!$Y35))/LOG('MD-ratios'!$U35)))</f>
        <v>4.5455755521376222</v>
      </c>
      <c r="AA32" s="242">
        <f>IF(ABS('MD-ratios'!AJ35)&lt;0,0,IF(ABS('MD-ratios'!AJ35)&gt;'MD-ratios'!$AC35,10,10*LOG(1+('MD-ratios'!$U35-1)*(ABS('MD-ratios'!AJ35)-'MD-ratios'!$Y35)/('MD-ratios'!$AC35-'MD-ratios'!$Y35))/LOG('MD-ratios'!$U35)))</f>
        <v>3.3659005224992242</v>
      </c>
      <c r="AB32" s="242">
        <f>IF(ABS('MD-ratios'!AK35)&lt;0,0,IF(ABS('MD-ratios'!AK35)&gt;'MD-ratios'!$AC35,10,10*LOG(1+('MD-ratios'!$U35-1)*(ABS('MD-ratios'!AK35)-'MD-ratios'!$Y35)/('MD-ratios'!$AC35-'MD-ratios'!$Y35))/LOG('MD-ratios'!$U35)))</f>
        <v>10</v>
      </c>
      <c r="AC32" s="242">
        <f>IF(ABS('MD-ratios'!AL35)&lt;0,0,IF(ABS('MD-ratios'!AL35)&gt;'MD-ratios'!$AC35,10,10*LOG(1+('MD-ratios'!$U35-1)*(ABS('MD-ratios'!AL35)-'MD-ratios'!$Y35)/('MD-ratios'!$AC35-'MD-ratios'!$Y35))/LOG('MD-ratios'!$U35)))</f>
        <v>1.0257328136258941</v>
      </c>
      <c r="AD32" s="242">
        <f>IF(ABS('MD-ratios'!AM35)&lt;0,0,IF(ABS('MD-ratios'!AM35)&gt;'MD-ratios'!$AC35,10,10*LOG(1+('MD-ratios'!$U35-1)*(ABS('MD-ratios'!AM35)-'MD-ratios'!$Y35)/('MD-ratios'!$AC35-'MD-ratios'!$Y35))/LOG('MD-ratios'!$U35)))</f>
        <v>2.2916178110521987</v>
      </c>
      <c r="AE32" s="242">
        <f>IF(ABS('MD-ratios'!AN35)&lt;0,0,IF(ABS('MD-ratios'!AN35)&gt;'MD-ratios'!$AC35,10,10*LOG(1+('MD-ratios'!$U35-1)*(ABS('MD-ratios'!AN35)-'MD-ratios'!$Y35)/('MD-ratios'!$AC35-'MD-ratios'!$Y35))/LOG('MD-ratios'!$U35)))</f>
        <v>0.97025205700100803</v>
      </c>
      <c r="AF32" s="242">
        <f>IF(ABS('MD-ratios'!AO35)&lt;0,0,IF(ABS('MD-ratios'!AO35)&gt;'MD-ratios'!$AC35,10,10*LOG(1+('MD-ratios'!$U35-1)*(ABS('MD-ratios'!AO35)-'MD-ratios'!$Y35)/('MD-ratios'!$AC35-'MD-ratios'!$Y35))/LOG('MD-ratios'!$U35)))</f>
        <v>8.2541536483573807</v>
      </c>
      <c r="AG32" s="242">
        <f>IF(ABS('MD-ratios'!AP35)&lt;0,0,IF(ABS('MD-ratios'!AP35)&gt;'MD-ratios'!$AC35,10,10*LOG(1+('MD-ratios'!$U35-1)*(ABS('MD-ratios'!AP35)-'MD-ratios'!$Y35)/('MD-ratios'!$AC35-'MD-ratios'!$Y35))/LOG('MD-ratios'!$U35)))</f>
        <v>1.1514680779467472</v>
      </c>
      <c r="AH32" s="242">
        <f>IF(ABS('MD-ratios'!AQ35)&lt;0,0,IF(ABS('MD-ratios'!AQ35)&gt;'MD-ratios'!$AC35,10,10*LOG(1+('MD-ratios'!$U35-1)*(ABS('MD-ratios'!AQ35)-'MD-ratios'!$Y35)/('MD-ratios'!$AC35-'MD-ratios'!$Y35))/LOG('MD-ratios'!$U35)))</f>
        <v>3.6583076977587385</v>
      </c>
      <c r="AI32" s="242">
        <f>IF(ABS('MD-ratios'!AR35)&lt;0,0,IF(ABS('MD-ratios'!AR35)&gt;'MD-ratios'!$AC35,10,10*LOG(1+('MD-ratios'!$U35-1)*(ABS('MD-ratios'!AR35)-'MD-ratios'!$Y35)/('MD-ratios'!$AC35-'MD-ratios'!$Y35))/LOG('MD-ratios'!$U35)))</f>
        <v>4.6131114144456822</v>
      </c>
      <c r="AJ32" s="242">
        <f>IF(ABS('MD-ratios'!AS35)&lt;0,0,IF(ABS('MD-ratios'!AS35)&gt;'MD-ratios'!$AC35,10,10*LOG(1+('MD-ratios'!$U35-1)*(ABS('MD-ratios'!AS35)-'MD-ratios'!$Y35)/('MD-ratios'!$AC35-'MD-ratios'!$Y35))/LOG('MD-ratios'!$U35)))</f>
        <v>6.844914623615912</v>
      </c>
      <c r="AK32" s="242">
        <f>IF(ABS('MD-ratios'!AT35)&lt;0,0,IF(ABS('MD-ratios'!AT35)&gt;'MD-ratios'!$AC35,10,10*LOG(1+('MD-ratios'!$U35-1)*(ABS('MD-ratios'!AT35)-'MD-ratios'!$Y35)/('MD-ratios'!$AC35-'MD-ratios'!$Y35))/LOG('MD-ratios'!$U35)))</f>
        <v>10</v>
      </c>
      <c r="AL32" s="242">
        <f>IF(ABS('MD-ratios'!AU35)&lt;0,0,IF(ABS('MD-ratios'!AU35)&gt;'MD-ratios'!$AC35,10,10*LOG(1+('MD-ratios'!$U35-1)*(ABS('MD-ratios'!AU35)-'MD-ratios'!$Y35)/('MD-ratios'!$AC35-'MD-ratios'!$Y35))/LOG('MD-ratios'!$U35)))</f>
        <v>6.3358680232615896</v>
      </c>
      <c r="AM32" s="242">
        <f>IF(ABS('MD-ratios'!AV35)&lt;0,0,IF(ABS('MD-ratios'!AV35)&gt;'MD-ratios'!$AC35,10,10*LOG(1+('MD-ratios'!$U35-1)*(ABS('MD-ratios'!AV35)-'MD-ratios'!$Y35)/('MD-ratios'!$AC35-'MD-ratios'!$Y35))/LOG('MD-ratios'!$U35)))</f>
        <v>5.3772030697523183</v>
      </c>
      <c r="AN32" s="242">
        <f>IF(ABS('MD-ratios'!AW35)&lt;0,0,IF(ABS('MD-ratios'!AW35)&gt;'MD-ratios'!$AC35,10,10*LOG(1+('MD-ratios'!$U35-1)*(ABS('MD-ratios'!AW35)-'MD-ratios'!$Y35)/('MD-ratios'!$AC35-'MD-ratios'!$Y35))/LOG('MD-ratios'!$U35)))</f>
        <v>4.7335114802897102</v>
      </c>
      <c r="AO32" s="242">
        <f>IF(ABS('MD-ratios'!AX35)&lt;0,0,IF(ABS('MD-ratios'!AX35)&gt;'MD-ratios'!$AC35,10,10*LOG(1+('MD-ratios'!$U35-1)*(ABS('MD-ratios'!AX35)-'MD-ratios'!$Y35)/('MD-ratios'!$AC35-'MD-ratios'!$Y35))/LOG('MD-ratios'!$U35)))</f>
        <v>4.0871788805321883</v>
      </c>
      <c r="AP32" s="242">
        <f>IF(ABS('MD-ratios'!AY35)&lt;0,0,IF(ABS('MD-ratios'!AY35)&gt;'MD-ratios'!$AC35,10,10*LOG(1+('MD-ratios'!$U35-1)*(ABS('MD-ratios'!AY35)-'MD-ratios'!$Y35)/('MD-ratios'!$AC35-'MD-ratios'!$Y35))/LOG('MD-ratios'!$U35)))</f>
        <v>8.3599749635754321</v>
      </c>
      <c r="AQ32" s="242">
        <f>IF(ABS('MD-ratios'!AZ35)&lt;0,0,IF(ABS('MD-ratios'!AZ35)&gt;'MD-ratios'!$AC35,10,10*LOG(1+('MD-ratios'!$U35-1)*(ABS('MD-ratios'!AZ35)-'MD-ratios'!$Y35)/('MD-ratios'!$AC35-'MD-ratios'!$Y35))/LOG('MD-ratios'!$U35)))</f>
        <v>8.2310105554384982</v>
      </c>
      <c r="AR32" s="242">
        <f>IF(ABS('MD-ratios'!BA35)&lt;0,0,IF(ABS('MD-ratios'!BA35)&gt;'MD-ratios'!$AC35,10,10*LOG(1+('MD-ratios'!$U35-1)*(ABS('MD-ratios'!BA35)-'MD-ratios'!$Y35)/('MD-ratios'!$AC35-'MD-ratios'!$Y35))/LOG('MD-ratios'!$U35)))</f>
        <v>5.5681169712806069</v>
      </c>
      <c r="AS32" s="242">
        <f>IF(ABS('MD-ratios'!BB35)&lt;0,0,IF(ABS('MD-ratios'!BB35)&gt;'MD-ratios'!$AC35,10,10*LOG(1+('MD-ratios'!$U35-1)*(ABS('MD-ratios'!BB35)-'MD-ratios'!$Y35)/('MD-ratios'!$AC35-'MD-ratios'!$Y35))/LOG('MD-ratios'!$U35)))</f>
        <v>4.8249369477952024</v>
      </c>
      <c r="AT32" s="242">
        <f>IF(ABS('MD-ratios'!BC35)&lt;0,0,IF(ABS('MD-ratios'!BC35)&gt;'MD-ratios'!$AC35,10,10*LOG(1+('MD-ratios'!$U35-1)*(ABS('MD-ratios'!BC35)-'MD-ratios'!$Y35)/('MD-ratios'!$AC35-'MD-ratios'!$Y35))/LOG('MD-ratios'!$U35)))</f>
        <v>10</v>
      </c>
      <c r="AU32" s="242">
        <f>IF(ABS('MD-ratios'!BD35)&lt;0,0,IF(ABS('MD-ratios'!BD35)&gt;'MD-ratios'!$AC35,10,10*LOG(1+('MD-ratios'!$U35-1)*(ABS('MD-ratios'!BD35)-'MD-ratios'!$Y35)/('MD-ratios'!$AC35-'MD-ratios'!$Y35))/LOG('MD-ratios'!$U35)))</f>
        <v>2.1518848137559599</v>
      </c>
      <c r="AV32" s="242">
        <f>IF(ABS('MD-ratios'!BE35)&lt;0,0,IF(ABS('MD-ratios'!BE35)&gt;'MD-ratios'!$AC35,10,10*LOG(1+('MD-ratios'!$U35-1)*(ABS('MD-ratios'!BE35)-'MD-ratios'!$Y35)/('MD-ratios'!$AC35-'MD-ratios'!$Y35))/LOG('MD-ratios'!$U35)))</f>
        <v>10</v>
      </c>
      <c r="AW32" s="242">
        <f>IF(ABS('MD-ratios'!BF35)&lt;0,0,IF(ABS('MD-ratios'!BF35)&gt;'MD-ratios'!$AC35,10,10*LOG(1+('MD-ratios'!$U35-1)*(ABS('MD-ratios'!BF35)-'MD-ratios'!$Y35)/('MD-ratios'!$AC35-'MD-ratios'!$Y35))/LOG('MD-ratios'!$U35)))</f>
        <v>6.1564809587098912</v>
      </c>
      <c r="AX32" s="242">
        <f>IF(ABS('MD-ratios'!BG35)&lt;0,0,IF(ABS('MD-ratios'!BG35)&gt;'MD-ratios'!$AC35,10,10*LOG(1+('MD-ratios'!$U35-1)*(ABS('MD-ratios'!BG35)-'MD-ratios'!$Y35)/('MD-ratios'!$AC35-'MD-ratios'!$Y35))/LOG('MD-ratios'!$U35)))</f>
        <v>10</v>
      </c>
      <c r="AY32" s="242">
        <f>IF(ABS('MD-ratios'!BH35)&lt;0,0,IF(ABS('MD-ratios'!BH35)&gt;'MD-ratios'!$AC35,10,10*LOG(1+('MD-ratios'!$U35-1)*(ABS('MD-ratios'!BH35)-'MD-ratios'!$Y35)/('MD-ratios'!$AC35-'MD-ratios'!$Y35))/LOG('MD-ratios'!$U35)))</f>
        <v>4.9990333081728249</v>
      </c>
      <c r="AZ32" s="242">
        <f>IF(ABS('MD-ratios'!BI35)&lt;0,0,IF(ABS('MD-ratios'!BI35)&gt;'MD-ratios'!$AC35,10,10*LOG(1+('MD-ratios'!$U35-1)*(ABS('MD-ratios'!BI35)-'MD-ratios'!$Y35)/('MD-ratios'!$AC35-'MD-ratios'!$Y35))/LOG('MD-ratios'!$U35)))</f>
        <v>5.6718566426511581</v>
      </c>
      <c r="BA32" s="242">
        <f>IF(ABS('MD-ratios'!BJ35)&lt;0,0,IF(ABS('MD-ratios'!BJ35)&gt;'MD-ratios'!$AC35,10,10*LOG(1+('MD-ratios'!$U35-1)*(ABS('MD-ratios'!BJ35)-'MD-ratios'!$Y35)/('MD-ratios'!$AC35-'MD-ratios'!$Y35))/LOG('MD-ratios'!$U35)))</f>
        <v>6.0210806238253687</v>
      </c>
      <c r="BB32" s="242">
        <f>IF(ABS('MD-ratios'!BK35)&lt;0,0,IF(ABS('MD-ratios'!BK35)&gt;'MD-ratios'!$AC35,10,10*LOG(1+('MD-ratios'!$U35-1)*(ABS('MD-ratios'!BK35)-'MD-ratios'!$Y35)/('MD-ratios'!$AC35-'MD-ratios'!$Y35))/LOG('MD-ratios'!$U35)))</f>
        <v>6.8428706223706355</v>
      </c>
      <c r="BC32" s="242">
        <f>IF(ABS('MD-ratios'!BL35)&lt;0,0,IF(ABS('MD-ratios'!BL35)&gt;'MD-ratios'!$AC35,10,10*LOG(1+('MD-ratios'!$U35-1)*(ABS('MD-ratios'!BL35)-'MD-ratios'!$Y35)/('MD-ratios'!$AC35-'MD-ratios'!$Y35))/LOG('MD-ratios'!$U35)))</f>
        <v>3.9682744449091536</v>
      </c>
      <c r="BD32" s="242">
        <f>IF(ABS('MD-ratios'!BM35)&lt;0,0,IF(ABS('MD-ratios'!BM35)&gt;'MD-ratios'!$AC35,10,10*LOG(1+('MD-ratios'!$U35-1)*(ABS('MD-ratios'!BM35)-'MD-ratios'!$Y35)/('MD-ratios'!$AC35-'MD-ratios'!$Y35))/LOG('MD-ratios'!$U35)))</f>
        <v>6.594433946249695</v>
      </c>
      <c r="BE32" s="242">
        <f>IF(ABS('MD-ratios'!BN35)&lt;0,0,IF(ABS('MD-ratios'!BN35)&gt;'MD-ratios'!$AC35,10,10*LOG(1+('MD-ratios'!$U35-1)*(ABS('MD-ratios'!BN35)-'MD-ratios'!$Y35)/('MD-ratios'!$AC35-'MD-ratios'!$Y35))/LOG('MD-ratios'!$U35)))</f>
        <v>5.0371808763394137</v>
      </c>
      <c r="BF32" s="242">
        <f>IF(ABS('MD-ratios'!BO35)&lt;0,0,IF(ABS('MD-ratios'!BO35)&gt;'MD-ratios'!$AC35,10,10*LOG(1+('MD-ratios'!$U35-1)*(ABS('MD-ratios'!BO35)-'MD-ratios'!$Y35)/('MD-ratios'!$AC35-'MD-ratios'!$Y35))/LOG('MD-ratios'!$U35)))</f>
        <v>3.5846282836761292</v>
      </c>
      <c r="BG32" s="242">
        <f>IF(ABS('MD-ratios'!BP35)&lt;0,0,IF(ABS('MD-ratios'!BP35)&gt;'MD-ratios'!$AC35,10,10*LOG(1+('MD-ratios'!$U35-1)*(ABS('MD-ratios'!BP35)-'MD-ratios'!$Y35)/('MD-ratios'!$AC35-'MD-ratios'!$Y35))/LOG('MD-ratios'!$U35)))</f>
        <v>2.0722453015265221</v>
      </c>
      <c r="BH32" s="242">
        <f>IF(ABS('MD-ratios'!BQ35)&lt;0,0,IF(ABS('MD-ratios'!BQ35)&gt;'MD-ratios'!$AC35,10,10*LOG(1+('MD-ratios'!$U35-1)*(ABS('MD-ratios'!BQ35)-'MD-ratios'!$Y35)/('MD-ratios'!$AC35-'MD-ratios'!$Y35))/LOG('MD-ratios'!$U35)))</f>
        <v>4.721027983929182</v>
      </c>
      <c r="BI32" s="242">
        <f>IF(ABS('MD-ratios'!BR35)&lt;0,0,IF(ABS('MD-ratios'!BR35)&gt;'MD-ratios'!$AC35,10,10*LOG(1+('MD-ratios'!$U35-1)*(ABS('MD-ratios'!BR35)-'MD-ratios'!$Y35)/('MD-ratios'!$AC35-'MD-ratios'!$Y35))/LOG('MD-ratios'!$U35)))</f>
        <v>6.4927991452818441</v>
      </c>
      <c r="BJ32" s="242">
        <f>IF(ABS('MD-ratios'!BS35)&lt;0,0,IF(ABS('MD-ratios'!BS35)&gt;'MD-ratios'!$AC35,10,10*LOG(1+('MD-ratios'!$U35-1)*(ABS('MD-ratios'!BS35)-'MD-ratios'!$Y35)/('MD-ratios'!$AC35-'MD-ratios'!$Y35))/LOG('MD-ratios'!$U35)))</f>
        <v>0.79075973450447767</v>
      </c>
      <c r="BK32" s="242">
        <f>IF(ABS('MD-ratios'!BT35)&lt;0,0,IF(ABS('MD-ratios'!BT35)&gt;'MD-ratios'!$AC35,10,10*LOG(1+('MD-ratios'!$U35-1)*(ABS('MD-ratios'!BT35)-'MD-ratios'!$Y35)/('MD-ratios'!$AC35-'MD-ratios'!$Y35))/LOG('MD-ratios'!$U35)))</f>
        <v>3.2887343704668006</v>
      </c>
      <c r="BL32" s="242">
        <f>IF(ABS('MD-ratios'!BU35)&lt;0,0,IF(ABS('MD-ratios'!BU35)&gt;'MD-ratios'!$AC35,10,10*LOG(1+('MD-ratios'!$U35-1)*(ABS('MD-ratios'!BU35)-'MD-ratios'!$Y35)/('MD-ratios'!$AC35-'MD-ratios'!$Y35))/LOG('MD-ratios'!$U35)))</f>
        <v>4.4145251055788286</v>
      </c>
      <c r="BM32" s="242">
        <f>IF(ABS('MD-ratios'!BV35)&lt;0,0,IF(ABS('MD-ratios'!BV35)&gt;'MD-ratios'!$AC35,10,10*LOG(1+('MD-ratios'!$U35-1)*(ABS('MD-ratios'!BV35)-'MD-ratios'!$Y35)/('MD-ratios'!$AC35-'MD-ratios'!$Y35))/LOG('MD-ratios'!$U35)))</f>
        <v>8.0766949762278646</v>
      </c>
      <c r="BN32" s="242">
        <f>IF(ABS('MD-ratios'!BW35)&lt;0,0,IF(ABS('MD-ratios'!BW35)&gt;'MD-ratios'!$AC35,10,10*LOG(1+('MD-ratios'!$U35-1)*(ABS('MD-ratios'!BW35)-'MD-ratios'!$Y35)/('MD-ratios'!$AC35-'MD-ratios'!$Y35))/LOG('MD-ratios'!$U35)))</f>
        <v>4.8375470670438219</v>
      </c>
      <c r="BO32" s="242">
        <f>IF(ABS('MD-ratios'!BX35)&lt;0,0,IF(ABS('MD-ratios'!BX35)&gt;'MD-ratios'!$AC35,10,10*LOG(1+('MD-ratios'!$U35-1)*(ABS('MD-ratios'!BX35)-'MD-ratios'!$Y35)/('MD-ratios'!$AC35-'MD-ratios'!$Y35))/LOG('MD-ratios'!$U35)))</f>
        <v>7.0771801961988583</v>
      </c>
      <c r="BP32" s="242">
        <f>IF(ABS('MD-ratios'!BY35)&lt;0,0,IF(ABS('MD-ratios'!BY35)&gt;'MD-ratios'!$AC35,10,10*LOG(1+('MD-ratios'!$U35-1)*(ABS('MD-ratios'!BY35)-'MD-ratios'!$Y35)/('MD-ratios'!$AC35-'MD-ratios'!$Y35))/LOG('MD-ratios'!$U35)))</f>
        <v>4.8353928289131574</v>
      </c>
      <c r="BQ32" s="242">
        <f>IF(ABS('MD-ratios'!BZ35)&lt;0,0,IF(ABS('MD-ratios'!BZ35)&gt;'MD-ratios'!$AC35,10,10*LOG(1+('MD-ratios'!$U35-1)*(ABS('MD-ratios'!BZ35)-'MD-ratios'!$Y35)/('MD-ratios'!$AC35-'MD-ratios'!$Y35))/LOG('MD-ratios'!$U35)))</f>
        <v>4.2903945918616353</v>
      </c>
      <c r="BR32" s="242">
        <f>IF(ABS('MD-ratios'!CA35)&lt;0,0,IF(ABS('MD-ratios'!CA35)&gt;'MD-ratios'!$AC35,10,10*LOG(1+('MD-ratios'!$U35-1)*(ABS('MD-ratios'!CA35)-'MD-ratios'!$Y35)/('MD-ratios'!$AC35-'MD-ratios'!$Y35))/LOG('MD-ratios'!$U35)))</f>
        <v>9.0235952665252039</v>
      </c>
      <c r="BS32" s="242">
        <f>IF(ABS('MD-ratios'!CB35)&lt;0,0,IF(ABS('MD-ratios'!CB35)&gt;'MD-ratios'!$AC35,10,10*LOG(1+('MD-ratios'!$U35-1)*(ABS('MD-ratios'!CB35)-'MD-ratios'!$Y35)/('MD-ratios'!$AC35-'MD-ratios'!$Y35))/LOG('MD-ratios'!$U35)))</f>
        <v>1.6314500443071602</v>
      </c>
      <c r="BT32" s="242">
        <f>IF(ABS('MD-ratios'!CC35)&lt;0,0,IF(ABS('MD-ratios'!CC35)&gt;'MD-ratios'!$AC35,10,10*LOG(1+('MD-ratios'!$U35-1)*(ABS('MD-ratios'!CC35)-'MD-ratios'!$Y35)/('MD-ratios'!$AC35-'MD-ratios'!$Y35))/LOG('MD-ratios'!$U35)))</f>
        <v>5.2327096092071992</v>
      </c>
    </row>
    <row r="33" spans="1:72" ht="30.75" thickBot="1" x14ac:dyDescent="0.3">
      <c r="A33" s="631"/>
      <c r="B33" s="634"/>
      <c r="C33" s="245">
        <f t="shared" si="111"/>
        <v>0.1</v>
      </c>
      <c r="D33" s="229" t="str">
        <f>D16</f>
        <v>Accounts receivable turnover ratio</v>
      </c>
      <c r="E33" s="227" t="str">
        <f>E16</f>
        <v>Net Sales ÷ ((Beginning Accounts Receivable + Ending Accounts Receivable) / 2)</v>
      </c>
      <c r="F33" s="279">
        <f t="shared" ref="F33:I33" si="213">F16</f>
        <v>1</v>
      </c>
      <c r="G33" s="279">
        <f t="shared" si="213"/>
        <v>2</v>
      </c>
      <c r="H33" s="279">
        <f t="shared" si="213"/>
        <v>3</v>
      </c>
      <c r="I33" s="279">
        <f t="shared" si="213"/>
        <v>4</v>
      </c>
      <c r="K33" s="595" t="s">
        <v>386</v>
      </c>
      <c r="L33" s="224" t="s">
        <v>388</v>
      </c>
      <c r="N33" s="653"/>
      <c r="P33" s="226">
        <f>'MD-ratios'!Y36</f>
        <v>0</v>
      </c>
      <c r="Q33" s="566">
        <f>'MD-ratios'!Z36</f>
        <v>8.1013956036067523</v>
      </c>
      <c r="R33" s="566">
        <f>'MD-ratios'!AA36</f>
        <v>15.379473905148243</v>
      </c>
      <c r="S33" s="566">
        <f>'MD-ratios'!AB36</f>
        <v>29.195984145476498</v>
      </c>
      <c r="T33" s="226">
        <f>'MD-ratios'!AC36</f>
        <v>98.091960842394769</v>
      </c>
      <c r="W33" s="242">
        <f>IF('MD-ratios'!AF36&gt;'MD-ratios'!$AC36,10,10*LOG(1+('MD-ratios'!$U36-1)*('MD-ratios'!AF36-'MD-ratios'!$Y36)/('MD-ratios'!$AC36-'MD-ratios'!$Y36))/LOG('MD-ratios'!$U36))</f>
        <v>1.0151045447033842</v>
      </c>
      <c r="X33" s="242">
        <f>IF('MD-ratios'!AG36&gt;'MD-ratios'!$AC36,10,10*LOG(1+('MD-ratios'!$U36-1)*('MD-ratios'!AG36-'MD-ratios'!$Y36)/('MD-ratios'!$AC36-'MD-ratios'!$Y36))/LOG('MD-ratios'!$U36))</f>
        <v>7.8133411507378874</v>
      </c>
      <c r="Y33" s="242">
        <f>IF('MD-ratios'!AH36&gt;'MD-ratios'!$AC36,10,10*LOG(1+('MD-ratios'!$U36-1)*('MD-ratios'!AH36-'MD-ratios'!$Y36)/('MD-ratios'!$AC36-'MD-ratios'!$Y36))/LOG('MD-ratios'!$U36))</f>
        <v>1.4916252403179173</v>
      </c>
      <c r="Z33" s="242">
        <f>IF('MD-ratios'!AI36&gt;'MD-ratios'!$AC36,10,10*LOG(1+('MD-ratios'!$U36-1)*('MD-ratios'!AI36-'MD-ratios'!$Y36)/('MD-ratios'!$AC36-'MD-ratios'!$Y36))/LOG('MD-ratios'!$U36))</f>
        <v>3.3385517601423755</v>
      </c>
      <c r="AA33" s="242">
        <f>IF('MD-ratios'!AJ36&gt;'MD-ratios'!$AC36,10,10*LOG(1+('MD-ratios'!$U36-1)*('MD-ratios'!AJ36-'MD-ratios'!$Y36)/('MD-ratios'!$AC36-'MD-ratios'!$Y36))/LOG('MD-ratios'!$U36))</f>
        <v>8.9079994406918388</v>
      </c>
      <c r="AB33" s="242">
        <f>IF('MD-ratios'!AK36&gt;'MD-ratios'!$AC36,10,10*LOG(1+('MD-ratios'!$U36-1)*('MD-ratios'!AK36-'MD-ratios'!$Y36)/('MD-ratios'!$AC36-'MD-ratios'!$Y36))/LOG('MD-ratios'!$U36))</f>
        <v>4.9285466839558163</v>
      </c>
      <c r="AC33" s="242">
        <f>IF('MD-ratios'!AL36&gt;'MD-ratios'!$AC36,10,10*LOG(1+('MD-ratios'!$U36-1)*('MD-ratios'!AL36-'MD-ratios'!$Y36)/('MD-ratios'!$AC36-'MD-ratios'!$Y36))/LOG('MD-ratios'!$U36))</f>
        <v>4.6988750881616301</v>
      </c>
      <c r="AD33" s="242">
        <f>IF('MD-ratios'!AM36&gt;'MD-ratios'!$AC36,10,10*LOG(1+('MD-ratios'!$U36-1)*('MD-ratios'!AM36-'MD-ratios'!$Y36)/('MD-ratios'!$AC36-'MD-ratios'!$Y36))/LOG('MD-ratios'!$U36))</f>
        <v>4.7965926918702051</v>
      </c>
      <c r="AE33" s="242">
        <f>IF('MD-ratios'!AN36&gt;'MD-ratios'!$AC36,10,10*LOG(1+('MD-ratios'!$U36-1)*('MD-ratios'!AN36-'MD-ratios'!$Y36)/('MD-ratios'!$AC36-'MD-ratios'!$Y36))/LOG('MD-ratios'!$U36))</f>
        <v>5.7878404328173696</v>
      </c>
      <c r="AF33" s="242">
        <f>IF('MD-ratios'!AO36&gt;'MD-ratios'!$AC36,10,10*LOG(1+('MD-ratios'!$U36-1)*('MD-ratios'!AO36-'MD-ratios'!$Y36)/('MD-ratios'!$AC36-'MD-ratios'!$Y36))/LOG('MD-ratios'!$U36))</f>
        <v>6.0301253445356497</v>
      </c>
      <c r="AG33" s="242">
        <f>IF('MD-ratios'!AP36&gt;'MD-ratios'!$AC36,10,10*LOG(1+('MD-ratios'!$U36-1)*('MD-ratios'!AP36-'MD-ratios'!$Y36)/('MD-ratios'!$AC36-'MD-ratios'!$Y36))/LOG('MD-ratios'!$U36))</f>
        <v>2.2933220422771941</v>
      </c>
      <c r="AH33" s="242">
        <f>IF('MD-ratios'!AQ36&gt;'MD-ratios'!$AC36,10,10*LOG(1+('MD-ratios'!$U36-1)*('MD-ratios'!AQ36-'MD-ratios'!$Y36)/('MD-ratios'!$AC36-'MD-ratios'!$Y36))/LOG('MD-ratios'!$U36))</f>
        <v>1.8935906559851046</v>
      </c>
      <c r="AI33" s="242">
        <f>IF('MD-ratios'!AR36&gt;'MD-ratios'!$AC36,10,10*LOG(1+('MD-ratios'!$U36-1)*('MD-ratios'!AR36-'MD-ratios'!$Y36)/('MD-ratios'!$AC36-'MD-ratios'!$Y36))/LOG('MD-ratios'!$U36))</f>
        <v>4.5446519459008119</v>
      </c>
      <c r="AJ33" s="242">
        <f>IF('MD-ratios'!AS36&gt;'MD-ratios'!$AC36,10,10*LOG(1+('MD-ratios'!$U36-1)*('MD-ratios'!AS36-'MD-ratios'!$Y36)/('MD-ratios'!$AC36-'MD-ratios'!$Y36))/LOG('MD-ratios'!$U36))</f>
        <v>3.427824411585652</v>
      </c>
      <c r="AK33" s="242">
        <f>IF('MD-ratios'!AT36&gt;'MD-ratios'!$AC36,10,10*LOG(1+('MD-ratios'!$U36-1)*('MD-ratios'!AT36-'MD-ratios'!$Y36)/('MD-ratios'!$AC36-'MD-ratios'!$Y36))/LOG('MD-ratios'!$U36))</f>
        <v>6.9790358491070901</v>
      </c>
      <c r="AL33" s="242">
        <f>IF('MD-ratios'!AU36&gt;'MD-ratios'!$AC36,10,10*LOG(1+('MD-ratios'!$U36-1)*('MD-ratios'!AU36-'MD-ratios'!$Y36)/('MD-ratios'!$AC36-'MD-ratios'!$Y36))/LOG('MD-ratios'!$U36))</f>
        <v>4.7579959846010089</v>
      </c>
      <c r="AM33" s="242">
        <f>IF('MD-ratios'!AV36&gt;'MD-ratios'!$AC36,10,10*LOG(1+('MD-ratios'!$U36-1)*('MD-ratios'!AV36-'MD-ratios'!$Y36)/('MD-ratios'!$AC36-'MD-ratios'!$Y36))/LOG('MD-ratios'!$U36))</f>
        <v>3.2366722912775656</v>
      </c>
      <c r="AN33" s="242">
        <f>IF('MD-ratios'!AW36&gt;'MD-ratios'!$AC36,10,10*LOG(1+('MD-ratios'!$U36-1)*('MD-ratios'!AW36-'MD-ratios'!$Y36)/('MD-ratios'!$AC36-'MD-ratios'!$Y36))/LOG('MD-ratios'!$U36))</f>
        <v>7.6310028809034725</v>
      </c>
      <c r="AO33" s="242">
        <f>IF('MD-ratios'!AX36&gt;'MD-ratios'!$AC36,10,10*LOG(1+('MD-ratios'!$U36-1)*('MD-ratios'!AX36-'MD-ratios'!$Y36)/('MD-ratios'!$AC36-'MD-ratios'!$Y36))/LOG('MD-ratios'!$U36))</f>
        <v>1.4438805202144755</v>
      </c>
      <c r="AP33" s="242">
        <f>IF('MD-ratios'!AY36&gt;'MD-ratios'!$AC36,10,10*LOG(1+('MD-ratios'!$U36-1)*('MD-ratios'!AY36-'MD-ratios'!$Y36)/('MD-ratios'!$AC36-'MD-ratios'!$Y36))/LOG('MD-ratios'!$U36))</f>
        <v>10</v>
      </c>
      <c r="AQ33" s="242">
        <f>IF('MD-ratios'!AZ36&gt;'MD-ratios'!$AC36,10,10*LOG(1+('MD-ratios'!$U36-1)*('MD-ratios'!AZ36-'MD-ratios'!$Y36)/('MD-ratios'!$AC36-'MD-ratios'!$Y36))/LOG('MD-ratios'!$U36))</f>
        <v>3.4255623869401477</v>
      </c>
      <c r="AR33" s="242">
        <f>IF('MD-ratios'!BA36&gt;'MD-ratios'!$AC36,10,10*LOG(1+('MD-ratios'!$U36-1)*('MD-ratios'!BA36-'MD-ratios'!$Y36)/('MD-ratios'!$AC36-'MD-ratios'!$Y36))/LOG('MD-ratios'!$U36))</f>
        <v>5.0789594795496686</v>
      </c>
      <c r="AS33" s="242">
        <f>IF('MD-ratios'!BB36&gt;'MD-ratios'!$AC36,10,10*LOG(1+('MD-ratios'!$U36-1)*('MD-ratios'!BB36-'MD-ratios'!$Y36)/('MD-ratios'!$AC36-'MD-ratios'!$Y36))/LOG('MD-ratios'!$U36))</f>
        <v>5.1288229372688399</v>
      </c>
      <c r="AT33" s="242">
        <f>IF('MD-ratios'!BC36&gt;'MD-ratios'!$AC36,10,10*LOG(1+('MD-ratios'!$U36-1)*('MD-ratios'!BC36-'MD-ratios'!$Y36)/('MD-ratios'!$AC36-'MD-ratios'!$Y36))/LOG('MD-ratios'!$U36))</f>
        <v>4.9758285694678452</v>
      </c>
      <c r="AU33" s="242">
        <f>IF('MD-ratios'!BD36&gt;'MD-ratios'!$AC36,10,10*LOG(1+('MD-ratios'!$U36-1)*('MD-ratios'!BD36-'MD-ratios'!$Y36)/('MD-ratios'!$AC36-'MD-ratios'!$Y36))/LOG('MD-ratios'!$U36))</f>
        <v>0.72578521154812292</v>
      </c>
      <c r="AV33" s="242">
        <f>IF('MD-ratios'!BE36&gt;'MD-ratios'!$AC36,10,10*LOG(1+('MD-ratios'!$U36-1)*('MD-ratios'!BE36-'MD-ratios'!$Y36)/('MD-ratios'!$AC36-'MD-ratios'!$Y36))/LOG('MD-ratios'!$U36))</f>
        <v>5.1175701949740491</v>
      </c>
      <c r="AW33" s="242">
        <f>IF('MD-ratios'!BF36&gt;'MD-ratios'!$AC36,10,10*LOG(1+('MD-ratios'!$U36-1)*('MD-ratios'!BF36-'MD-ratios'!$Y36)/('MD-ratios'!$AC36-'MD-ratios'!$Y36))/LOG('MD-ratios'!$U36))</f>
        <v>10</v>
      </c>
      <c r="AX33" s="242">
        <f>IF('MD-ratios'!BG36&gt;'MD-ratios'!$AC36,10,10*LOG(1+('MD-ratios'!$U36-1)*('MD-ratios'!BG36-'MD-ratios'!$Y36)/('MD-ratios'!$AC36-'MD-ratios'!$Y36))/LOG('MD-ratios'!$U36))</f>
        <v>1.714408747592187</v>
      </c>
      <c r="AY33" s="242">
        <f>IF('MD-ratios'!BH36&gt;'MD-ratios'!$AC36,10,10*LOG(1+('MD-ratios'!$U36-1)*('MD-ratios'!BH36-'MD-ratios'!$Y36)/('MD-ratios'!$AC36-'MD-ratios'!$Y36))/LOG('MD-ratios'!$U36))</f>
        <v>0</v>
      </c>
      <c r="AZ33" s="242">
        <f>IF('MD-ratios'!BI36&gt;'MD-ratios'!$AC36,10,10*LOG(1+('MD-ratios'!$U36-1)*('MD-ratios'!BI36-'MD-ratios'!$Y36)/('MD-ratios'!$AC36-'MD-ratios'!$Y36))/LOG('MD-ratios'!$U36))</f>
        <v>10</v>
      </c>
      <c r="BA33" s="242">
        <f>IF('MD-ratios'!BJ36&gt;'MD-ratios'!$AC36,10,10*LOG(1+('MD-ratios'!$U36-1)*('MD-ratios'!BJ36-'MD-ratios'!$Y36)/('MD-ratios'!$AC36-'MD-ratios'!$Y36))/LOG('MD-ratios'!$U36))</f>
        <v>10</v>
      </c>
      <c r="BB33" s="242">
        <f>IF('MD-ratios'!BK36&gt;'MD-ratios'!$AC36,10,10*LOG(1+('MD-ratios'!$U36-1)*('MD-ratios'!BK36-'MD-ratios'!$Y36)/('MD-ratios'!$AC36-'MD-ratios'!$Y36))/LOG('MD-ratios'!$U36))</f>
        <v>7.068649163304805</v>
      </c>
      <c r="BC33" s="242">
        <f>IF('MD-ratios'!BL36&gt;'MD-ratios'!$AC36,10,10*LOG(1+('MD-ratios'!$U36-1)*('MD-ratios'!BL36-'MD-ratios'!$Y36)/('MD-ratios'!$AC36-'MD-ratios'!$Y36))/LOG('MD-ratios'!$U36))</f>
        <v>0</v>
      </c>
      <c r="BD33" s="242">
        <f>IF('MD-ratios'!BM36&gt;'MD-ratios'!$AC36,10,10*LOG(1+('MD-ratios'!$U36-1)*('MD-ratios'!BM36-'MD-ratios'!$Y36)/('MD-ratios'!$AC36-'MD-ratios'!$Y36))/LOG('MD-ratios'!$U36))</f>
        <v>8.9616778649470703</v>
      </c>
      <c r="BE33" s="242">
        <f>IF('MD-ratios'!BN36&gt;'MD-ratios'!$AC36,10,10*LOG(1+('MD-ratios'!$U36-1)*('MD-ratios'!BN36-'MD-ratios'!$Y36)/('MD-ratios'!$AC36-'MD-ratios'!$Y36))/LOG('MD-ratios'!$U36))</f>
        <v>6.689332876202509</v>
      </c>
      <c r="BF33" s="242">
        <f>IF('MD-ratios'!BO36&gt;'MD-ratios'!$AC36,10,10*LOG(1+('MD-ratios'!$U36-1)*('MD-ratios'!BO36-'MD-ratios'!$Y36)/('MD-ratios'!$AC36-'MD-ratios'!$Y36))/LOG('MD-ratios'!$U36))</f>
        <v>2.4282429013855364</v>
      </c>
      <c r="BG33" s="242">
        <f>IF('MD-ratios'!BP36&gt;'MD-ratios'!$AC36,10,10*LOG(1+('MD-ratios'!$U36-1)*('MD-ratios'!BP36-'MD-ratios'!$Y36)/('MD-ratios'!$AC36-'MD-ratios'!$Y36))/LOG('MD-ratios'!$U36))</f>
        <v>7.1401144821897899</v>
      </c>
      <c r="BH33" s="242">
        <f>IF('MD-ratios'!BQ36&gt;'MD-ratios'!$AC36,10,10*LOG(1+('MD-ratios'!$U36-1)*('MD-ratios'!BQ36-'MD-ratios'!$Y36)/('MD-ratios'!$AC36-'MD-ratios'!$Y36))/LOG('MD-ratios'!$U36))</f>
        <v>6.8051957489291777</v>
      </c>
      <c r="BI33" s="242">
        <f>IF('MD-ratios'!BR36&gt;'MD-ratios'!$AC36,10,10*LOG(1+('MD-ratios'!$U36-1)*('MD-ratios'!BR36-'MD-ratios'!$Y36)/('MD-ratios'!$AC36-'MD-ratios'!$Y36))/LOG('MD-ratios'!$U36))</f>
        <v>6.0887100986750688</v>
      </c>
      <c r="BJ33" s="242">
        <f>IF('MD-ratios'!BS36&gt;'MD-ratios'!$AC36,10,10*LOG(1+('MD-ratios'!$U36-1)*('MD-ratios'!BS36-'MD-ratios'!$Y36)/('MD-ratios'!$AC36-'MD-ratios'!$Y36))/LOG('MD-ratios'!$U36))</f>
        <v>4.5827106804706261</v>
      </c>
      <c r="BK33" s="242">
        <f>IF('MD-ratios'!BT36&gt;'MD-ratios'!$AC36,10,10*LOG(1+('MD-ratios'!$U36-1)*('MD-ratios'!BT36-'MD-ratios'!$Y36)/('MD-ratios'!$AC36-'MD-ratios'!$Y36))/LOG('MD-ratios'!$U36))</f>
        <v>10</v>
      </c>
      <c r="BL33" s="242">
        <f>IF('MD-ratios'!BU36&gt;'MD-ratios'!$AC36,10,10*LOG(1+('MD-ratios'!$U36-1)*('MD-ratios'!BU36-'MD-ratios'!$Y36)/('MD-ratios'!$AC36-'MD-ratios'!$Y36))/LOG('MD-ratios'!$U36))</f>
        <v>4.7002549790256767</v>
      </c>
      <c r="BM33" s="242">
        <f>IF('MD-ratios'!BV36&gt;'MD-ratios'!$AC36,10,10*LOG(1+('MD-ratios'!$U36-1)*('MD-ratios'!BV36-'MD-ratios'!$Y36)/('MD-ratios'!$AC36-'MD-ratios'!$Y36))/LOG('MD-ratios'!$U36))</f>
        <v>2.1683199834569309</v>
      </c>
      <c r="BN33" s="242">
        <f>IF('MD-ratios'!BW36&gt;'MD-ratios'!$AC36,10,10*LOG(1+('MD-ratios'!$U36-1)*('MD-ratios'!BW36-'MD-ratios'!$Y36)/('MD-ratios'!$AC36-'MD-ratios'!$Y36))/LOG('MD-ratios'!$U36))</f>
        <v>5.2514002533823243</v>
      </c>
      <c r="BO33" s="242">
        <f>IF('MD-ratios'!BX36&gt;'MD-ratios'!$AC36,10,10*LOG(1+('MD-ratios'!$U36-1)*('MD-ratios'!BX36-'MD-ratios'!$Y36)/('MD-ratios'!$AC36-'MD-ratios'!$Y36))/LOG('MD-ratios'!$U36))</f>
        <v>1.4671854294709015</v>
      </c>
      <c r="BP33" s="242">
        <f>IF('MD-ratios'!BY36&gt;'MD-ratios'!$AC36,10,10*LOG(1+('MD-ratios'!$U36-1)*('MD-ratios'!BY36-'MD-ratios'!$Y36)/('MD-ratios'!$AC36-'MD-ratios'!$Y36))/LOG('MD-ratios'!$U36))</f>
        <v>1.1624953725598557</v>
      </c>
      <c r="BQ33" s="242">
        <f>IF('MD-ratios'!BZ36&gt;'MD-ratios'!$AC36,10,10*LOG(1+('MD-ratios'!$U36-1)*('MD-ratios'!BZ36-'MD-ratios'!$Y36)/('MD-ratios'!$AC36-'MD-ratios'!$Y36))/LOG('MD-ratios'!$U36))</f>
        <v>5.6038576191722953</v>
      </c>
      <c r="BR33" s="242">
        <f>IF('MD-ratios'!CA36&gt;'MD-ratios'!$AC36,10,10*LOG(1+('MD-ratios'!$U36-1)*('MD-ratios'!CA36-'MD-ratios'!$Y36)/('MD-ratios'!$AC36-'MD-ratios'!$Y36))/LOG('MD-ratios'!$U36))</f>
        <v>6.9394267708404893</v>
      </c>
      <c r="BS33" s="242">
        <f>IF('MD-ratios'!CB36&gt;'MD-ratios'!$AC36,10,10*LOG(1+('MD-ratios'!$U36-1)*('MD-ratios'!CB36-'MD-ratios'!$Y36)/('MD-ratios'!$AC36-'MD-ratios'!$Y36))/LOG('MD-ratios'!$U36))</f>
        <v>0</v>
      </c>
      <c r="BT33" s="242">
        <f>IF('MD-ratios'!CC36&gt;'MD-ratios'!$AC36,10,10*LOG(1+('MD-ratios'!$U36-1)*('MD-ratios'!CC36-'MD-ratios'!$Y36)/('MD-ratios'!$AC36-'MD-ratios'!$Y36))/LOG('MD-ratios'!$U36))</f>
        <v>5.1474913699016724</v>
      </c>
    </row>
    <row r="34" spans="1:72" s="270" customFormat="1" ht="15.75" customHeight="1" thickBot="1" x14ac:dyDescent="0.3">
      <c r="A34" s="632"/>
      <c r="B34" s="635"/>
      <c r="C34" s="650" t="str">
        <f t="shared" si="111"/>
        <v>Activity total</v>
      </c>
      <c r="D34" s="651"/>
      <c r="E34" s="652"/>
      <c r="F34" s="276"/>
      <c r="G34" s="276"/>
      <c r="H34" s="276"/>
      <c r="I34" s="276"/>
      <c r="K34" s="601"/>
      <c r="N34" s="653"/>
      <c r="V34" s="254"/>
      <c r="W34" s="269">
        <f>SUMPRODUCT(W32:W33,$C32:$C33)/SUM($C32:$C33)</f>
        <v>1.4324645010651296</v>
      </c>
      <c r="X34" s="269">
        <f t="shared" ref="X34" si="214">SUMPRODUCT(X32:X33,$C32:$C33)/SUM($C32:$C33)</f>
        <v>8.7295961673531028</v>
      </c>
      <c r="Y34" s="269">
        <f t="shared" ref="Y34" si="215">SUMPRODUCT(Y32:Y33,$C32:$C33)/SUM($C32:$C33)</f>
        <v>2.7884578139791949</v>
      </c>
      <c r="Z34" s="269">
        <f t="shared" ref="Z34" si="216">SUMPRODUCT(Z32:Z33,$C32:$C33)/SUM($C32:$C33)</f>
        <v>3.9420636561399989</v>
      </c>
      <c r="AA34" s="269">
        <f t="shared" ref="AA34" si="217">SUMPRODUCT(AA32:AA33,$C32:$C33)/SUM($C32:$C33)</f>
        <v>6.1369499815955315</v>
      </c>
      <c r="AB34" s="269">
        <f t="shared" ref="AB34" si="218">SUMPRODUCT(AB32:AB33,$C32:$C33)/SUM($C32:$C33)</f>
        <v>7.4642733419779077</v>
      </c>
      <c r="AC34" s="269">
        <f t="shared" ref="AC34" si="219">SUMPRODUCT(AC32:AC33,$C32:$C33)/SUM($C32:$C33)</f>
        <v>2.8623039508937618</v>
      </c>
      <c r="AD34" s="269">
        <f t="shared" ref="AD34" si="220">SUMPRODUCT(AD32:AD33,$C32:$C33)/SUM($C32:$C33)</f>
        <v>3.5441052514612017</v>
      </c>
      <c r="AE34" s="269">
        <f t="shared" ref="AE34" si="221">SUMPRODUCT(AE32:AE33,$C32:$C33)/SUM($C32:$C33)</f>
        <v>3.3790462449091883</v>
      </c>
      <c r="AF34" s="269">
        <f t="shared" ref="AF34" si="222">SUMPRODUCT(AF32:AF33,$C32:$C33)/SUM($C32:$C33)</f>
        <v>7.1421394964465152</v>
      </c>
      <c r="AG34" s="269">
        <f t="shared" ref="AG34" si="223">SUMPRODUCT(AG32:AG33,$C32:$C33)/SUM($C32:$C33)</f>
        <v>1.7223950601119709</v>
      </c>
      <c r="AH34" s="269">
        <f t="shared" ref="AH34" si="224">SUMPRODUCT(AH32:AH33,$C32:$C33)/SUM($C32:$C33)</f>
        <v>2.7759491768719213</v>
      </c>
      <c r="AI34" s="269">
        <f t="shared" ref="AI34" si="225">SUMPRODUCT(AI32:AI33,$C32:$C33)/SUM($C32:$C33)</f>
        <v>4.5788816801732475</v>
      </c>
      <c r="AJ34" s="269">
        <f t="shared" ref="AJ34" si="226">SUMPRODUCT(AJ32:AJ33,$C32:$C33)/SUM($C32:$C33)</f>
        <v>5.1363695176007811</v>
      </c>
      <c r="AK34" s="269">
        <f t="shared" ref="AK34" si="227">SUMPRODUCT(AK32:AK33,$C32:$C33)/SUM($C32:$C33)</f>
        <v>8.4895179245535441</v>
      </c>
      <c r="AL34" s="269">
        <f t="shared" ref="AL34" si="228">SUMPRODUCT(AL32:AL33,$C32:$C33)/SUM($C32:$C33)</f>
        <v>5.5469320039312997</v>
      </c>
      <c r="AM34" s="269">
        <f t="shared" ref="AM34" si="229">SUMPRODUCT(AM32:AM33,$C32:$C33)/SUM($C32:$C33)</f>
        <v>4.3069376805149417</v>
      </c>
      <c r="AN34" s="269">
        <f t="shared" ref="AN34" si="230">SUMPRODUCT(AN32:AN33,$C32:$C33)/SUM($C32:$C33)</f>
        <v>6.1822571805965909</v>
      </c>
      <c r="AO34" s="269">
        <f t="shared" ref="AO34" si="231">SUMPRODUCT(AO32:AO33,$C32:$C33)/SUM($C32:$C33)</f>
        <v>2.7655297003733317</v>
      </c>
      <c r="AP34" s="269">
        <f t="shared" ref="AP34" si="232">SUMPRODUCT(AP32:AP33,$C32:$C33)/SUM($C32:$C33)</f>
        <v>9.1799874817877161</v>
      </c>
      <c r="AQ34" s="269">
        <f t="shared" ref="AQ34" si="233">SUMPRODUCT(AQ32:AQ33,$C32:$C33)/SUM($C32:$C33)</f>
        <v>5.8282864711893234</v>
      </c>
      <c r="AR34" s="269">
        <f t="shared" ref="AR34" si="234">SUMPRODUCT(AR32:AR33,$C32:$C33)/SUM($C32:$C33)</f>
        <v>5.3235382254151373</v>
      </c>
      <c r="AS34" s="269">
        <f t="shared" ref="AS34" si="235">SUMPRODUCT(AS32:AS33,$C32:$C33)/SUM($C32:$C33)</f>
        <v>4.9768799425320207</v>
      </c>
      <c r="AT34" s="269">
        <f t="shared" ref="AT34" si="236">SUMPRODUCT(AT32:AT33,$C32:$C33)/SUM($C32:$C33)</f>
        <v>7.4879142847339226</v>
      </c>
      <c r="AU34" s="269">
        <f t="shared" ref="AU34" si="237">SUMPRODUCT(AU32:AU33,$C32:$C33)/SUM($C32:$C33)</f>
        <v>1.4388350126520413</v>
      </c>
      <c r="AV34" s="269">
        <f t="shared" ref="AV34" si="238">SUMPRODUCT(AV32:AV33,$C32:$C33)/SUM($C32:$C33)</f>
        <v>7.5587850974870241</v>
      </c>
      <c r="AW34" s="269">
        <f t="shared" ref="AW34" si="239">SUMPRODUCT(AW32:AW33,$C32:$C33)/SUM($C32:$C33)</f>
        <v>8.0782404793549443</v>
      </c>
      <c r="AX34" s="269">
        <f t="shared" ref="AX34" si="240">SUMPRODUCT(AX32:AX33,$C32:$C33)/SUM($C32:$C33)</f>
        <v>5.857204373796093</v>
      </c>
      <c r="AY34" s="269">
        <f t="shared" ref="AY34" si="241">SUMPRODUCT(AY32:AY33,$C32:$C33)/SUM($C32:$C33)</f>
        <v>2.4995166540864124</v>
      </c>
      <c r="AZ34" s="269">
        <f t="shared" ref="AZ34" si="242">SUMPRODUCT(AZ32:AZ33,$C32:$C33)/SUM($C32:$C33)</f>
        <v>7.8359283213255786</v>
      </c>
      <c r="BA34" s="269">
        <f t="shared" ref="BA34" si="243">SUMPRODUCT(BA32:BA33,$C32:$C33)/SUM($C32:$C33)</f>
        <v>8.010540311912683</v>
      </c>
      <c r="BB34" s="269">
        <f t="shared" ref="BB34" si="244">SUMPRODUCT(BB32:BB33,$C32:$C33)/SUM($C32:$C33)</f>
        <v>6.9557598928377207</v>
      </c>
      <c r="BC34" s="269">
        <f t="shared" ref="BC34" si="245">SUMPRODUCT(BC32:BC33,$C32:$C33)/SUM($C32:$C33)</f>
        <v>1.9841372224545768</v>
      </c>
      <c r="BD34" s="269">
        <f t="shared" ref="BD34" si="246">SUMPRODUCT(BD32:BD33,$C32:$C33)/SUM($C32:$C33)</f>
        <v>7.7780559055983831</v>
      </c>
      <c r="BE34" s="269">
        <f t="shared" ref="BE34" si="247">SUMPRODUCT(BE32:BE33,$C32:$C33)/SUM($C32:$C33)</f>
        <v>5.8632568762709614</v>
      </c>
      <c r="BF34" s="269">
        <f t="shared" ref="BF34" si="248">SUMPRODUCT(BF32:BF33,$C32:$C33)/SUM($C32:$C33)</f>
        <v>3.0064355925308326</v>
      </c>
      <c r="BG34" s="269">
        <f t="shared" ref="BG34" si="249">SUMPRODUCT(BG32:BG33,$C32:$C33)/SUM($C32:$C33)</f>
        <v>4.6061798918581554</v>
      </c>
      <c r="BH34" s="269">
        <f t="shared" ref="BH34" si="250">SUMPRODUCT(BH32:BH33,$C32:$C33)/SUM($C32:$C33)</f>
        <v>5.7631118664291803</v>
      </c>
      <c r="BI34" s="269">
        <f t="shared" ref="BI34" si="251">SUMPRODUCT(BI32:BI33,$C32:$C33)/SUM($C32:$C33)</f>
        <v>6.2907546219784569</v>
      </c>
      <c r="BJ34" s="269">
        <f t="shared" ref="BJ34" si="252">SUMPRODUCT(BJ32:BJ33,$C32:$C33)/SUM($C32:$C33)</f>
        <v>2.6867352074875521</v>
      </c>
      <c r="BK34" s="269">
        <f t="shared" ref="BK34" si="253">SUMPRODUCT(BK32:BK33,$C32:$C33)/SUM($C32:$C33)</f>
        <v>6.6443671852334001</v>
      </c>
      <c r="BL34" s="269">
        <f t="shared" ref="BL34" si="254">SUMPRODUCT(BL32:BL33,$C32:$C33)/SUM($C32:$C33)</f>
        <v>4.5573900423022522</v>
      </c>
      <c r="BM34" s="269">
        <f t="shared" ref="BM34" si="255">SUMPRODUCT(BM32:BM33,$C32:$C33)/SUM($C32:$C33)</f>
        <v>5.1225074798423975</v>
      </c>
      <c r="BN34" s="269">
        <f t="shared" ref="BN34" si="256">SUMPRODUCT(BN32:BN33,$C32:$C33)/SUM($C32:$C33)</f>
        <v>5.0444736602130735</v>
      </c>
      <c r="BO34" s="269">
        <f t="shared" ref="BO34" si="257">SUMPRODUCT(BO32:BO33,$C32:$C33)/SUM($C32:$C33)</f>
        <v>4.2721828128348802</v>
      </c>
      <c r="BP34" s="269">
        <f t="shared" ref="BP34" si="258">SUMPRODUCT(BP32:BP33,$C32:$C33)/SUM($C32:$C33)</f>
        <v>2.998944100736507</v>
      </c>
      <c r="BQ34" s="269">
        <f t="shared" ref="BQ34" si="259">SUMPRODUCT(BQ32:BQ33,$C32:$C33)/SUM($C32:$C33)</f>
        <v>4.9471261055169657</v>
      </c>
      <c r="BR34" s="269">
        <f t="shared" ref="BR34" si="260">SUMPRODUCT(BR32:BR33,$C32:$C33)/SUM($C32:$C33)</f>
        <v>7.9815110186828475</v>
      </c>
      <c r="BS34" s="269">
        <f t="shared" ref="BS34" si="261">SUMPRODUCT(BS32:BS33,$C32:$C33)/SUM($C32:$C33)</f>
        <v>0.81572502215358011</v>
      </c>
      <c r="BT34" s="269">
        <f t="shared" ref="BT34" si="262">SUMPRODUCT(BT32:BT33,$C32:$C33)/SUM($C32:$C33)</f>
        <v>5.1901004895544354</v>
      </c>
    </row>
    <row r="35" spans="1:72" s="432" customFormat="1" ht="15.75" customHeight="1" thickBot="1" x14ac:dyDescent="0.3">
      <c r="A35" s="431">
        <f>A18</f>
        <v>1</v>
      </c>
      <c r="B35" s="655" t="str">
        <f>B18</f>
        <v>Total</v>
      </c>
      <c r="C35" s="656"/>
      <c r="D35" s="656"/>
      <c r="E35" s="657"/>
      <c r="F35" s="444"/>
      <c r="G35" s="444"/>
      <c r="H35" s="444"/>
      <c r="I35" s="444"/>
      <c r="K35" s="600"/>
      <c r="N35" s="654"/>
      <c r="V35" s="445"/>
      <c r="W35" s="446">
        <f>(W24*$A21+W28*$A25+W31*$A29+W34*$A32)/($A21+$A25+$A29+$A32)</f>
        <v>6.8491076412890797</v>
      </c>
      <c r="X35" s="446">
        <f t="shared" ref="X35" si="263">(X24*$A21+X28*$A25+X31*$A29+X34*$A32)/($A21+$A25+$A29+$A32)</f>
        <v>5.3773177798151863</v>
      </c>
      <c r="Y35" s="446">
        <f t="shared" ref="Y35" si="264">(Y24*$A21+Y28*$A25+Y31*$A29+Y34*$A32)/($A21+$A25+$A29+$A32)</f>
        <v>3.0773775268849559</v>
      </c>
      <c r="Z35" s="446">
        <f t="shared" ref="Z35" si="265">(Z24*$A21+Z28*$A25+Z31*$A29+Z34*$A32)/($A21+$A25+$A29+$A32)</f>
        <v>4.9732619866578052</v>
      </c>
      <c r="AA35" s="446">
        <f t="shared" ref="AA35" si="266">(AA24*$A21+AA28*$A25+AA31*$A29+AA34*$A32)/($A21+$A25+$A29+$A32)</f>
        <v>5.2117830494714434</v>
      </c>
      <c r="AB35" s="446">
        <f t="shared" ref="AB35" si="267">(AB24*$A21+AB28*$A25+AB31*$A29+AB34*$A32)/($A21+$A25+$A29+$A32)</f>
        <v>3.4030826012528479</v>
      </c>
      <c r="AC35" s="446">
        <f t="shared" ref="AC35" si="268">(AC24*$A21+AC28*$A25+AC31*$A29+AC34*$A32)/($A21+$A25+$A29+$A32)</f>
        <v>4.2394741612462337</v>
      </c>
      <c r="AD35" s="446">
        <f t="shared" ref="AD35" si="269">(AD24*$A21+AD28*$A25+AD31*$A29+AD34*$A32)/($A21+$A25+$A29+$A32)</f>
        <v>7.8794855554563288</v>
      </c>
      <c r="AE35" s="446">
        <f t="shared" ref="AE35" si="270">(AE24*$A21+AE28*$A25+AE31*$A29+AE34*$A32)/($A21+$A25+$A29+$A32)</f>
        <v>7.3577495410793352</v>
      </c>
      <c r="AF35" s="446">
        <f t="shared" ref="AF35" si="271">(AF24*$A21+AF28*$A25+AF31*$A29+AF34*$A32)/($A21+$A25+$A29+$A32)</f>
        <v>3.4507319746142477</v>
      </c>
      <c r="AG35" s="446">
        <f t="shared" ref="AG35" si="272">(AG24*$A21+AG28*$A25+AG31*$A29+AG34*$A32)/($A21+$A25+$A29+$A32)</f>
        <v>3.4294101703936022</v>
      </c>
      <c r="AH35" s="446">
        <f t="shared" ref="AH35" si="273">(AH24*$A21+AH28*$A25+AH31*$A29+AH34*$A32)/($A21+$A25+$A29+$A32)</f>
        <v>7.3283759315834542</v>
      </c>
      <c r="AI35" s="446">
        <f t="shared" ref="AI35" si="274">(AI24*$A21+AI28*$A25+AI31*$A29+AI34*$A32)/($A21+$A25+$A29+$A32)</f>
        <v>7.8029184065705213</v>
      </c>
      <c r="AJ35" s="446">
        <f t="shared" ref="AJ35" si="275">(AJ24*$A21+AJ28*$A25+AJ31*$A29+AJ34*$A32)/($A21+$A25+$A29+$A32)</f>
        <v>3.9671079314083162</v>
      </c>
      <c r="AK35" s="446">
        <f t="shared" ref="AK35" si="276">(AK24*$A21+AK28*$A25+AK31*$A29+AK34*$A32)/($A21+$A25+$A29+$A32)</f>
        <v>7.2056960368239196</v>
      </c>
      <c r="AL35" s="446">
        <f t="shared" ref="AL35" si="277">(AL24*$A21+AL28*$A25+AL31*$A29+AL34*$A32)/($A21+$A25+$A29+$A32)</f>
        <v>7.5304808526529934</v>
      </c>
      <c r="AM35" s="446">
        <f t="shared" ref="AM35" si="278">(AM24*$A21+AM28*$A25+AM31*$A29+AM34*$A32)/($A21+$A25+$A29+$A32)</f>
        <v>6.4107117527597346</v>
      </c>
      <c r="AN35" s="446">
        <f t="shared" ref="AN35" si="279">(AN24*$A21+AN28*$A25+AN31*$A29+AN34*$A32)/($A21+$A25+$A29+$A32)</f>
        <v>6.2185275005002305</v>
      </c>
      <c r="AO35" s="446">
        <f t="shared" ref="AO35" si="280">(AO24*$A21+AO28*$A25+AO31*$A29+AO34*$A32)/($A21+$A25+$A29+$A32)</f>
        <v>6.1448902481041676</v>
      </c>
      <c r="AP35" s="446">
        <f t="shared" ref="AP35" si="281">(AP24*$A21+AP28*$A25+AP31*$A29+AP34*$A32)/($A21+$A25+$A29+$A32)</f>
        <v>8.1303693038111859</v>
      </c>
      <c r="AQ35" s="446">
        <f t="shared" ref="AQ35" si="282">(AQ24*$A21+AQ28*$A25+AQ31*$A29+AQ34*$A32)/($A21+$A25+$A29+$A32)</f>
        <v>4.8916127389143309</v>
      </c>
      <c r="AR35" s="446">
        <f t="shared" ref="AR35" si="283">(AR24*$A21+AR28*$A25+AR31*$A29+AR34*$A32)/($A21+$A25+$A29+$A32)</f>
        <v>8.7168478339145263</v>
      </c>
      <c r="AS35" s="446">
        <f t="shared" ref="AS35" si="284">(AS24*$A21+AS28*$A25+AS31*$A29+AS34*$A32)/($A21+$A25+$A29+$A32)</f>
        <v>2.4494861341811758</v>
      </c>
      <c r="AT35" s="446">
        <f t="shared" ref="AT35" si="285">(AT24*$A21+AT28*$A25+AT31*$A29+AT34*$A32)/($A21+$A25+$A29+$A32)</f>
        <v>6.0821935456814558</v>
      </c>
      <c r="AU35" s="446">
        <f t="shared" ref="AU35" si="286">(AU24*$A21+AU28*$A25+AU31*$A29+AU34*$A32)/($A21+$A25+$A29+$A32)</f>
        <v>2.7744955454988487</v>
      </c>
      <c r="AV35" s="446">
        <f t="shared" ref="AV35" si="287">(AV24*$A21+AV28*$A25+AV31*$A29+AV34*$A32)/($A21+$A25+$A29+$A32)</f>
        <v>7.3934623269617736</v>
      </c>
      <c r="AW35" s="446">
        <f t="shared" ref="AW35" si="288">(AW24*$A21+AW28*$A25+AW31*$A29+AW34*$A32)/($A21+$A25+$A29+$A32)</f>
        <v>6.6609450871098002</v>
      </c>
      <c r="AX35" s="446">
        <f t="shared" ref="AX35" si="289">(AX24*$A21+AX28*$A25+AX31*$A29+AX34*$A32)/($A21+$A25+$A29+$A32)</f>
        <v>3.6219842437170824</v>
      </c>
      <c r="AY35" s="446">
        <f t="shared" ref="AY35" si="290">(AY24*$A21+AY28*$A25+AY31*$A29+AY34*$A32)/($A21+$A25+$A29+$A32)</f>
        <v>3.7141513766497436</v>
      </c>
      <c r="AZ35" s="446">
        <f t="shared" ref="AZ35" si="291">(AZ24*$A21+AZ28*$A25+AZ31*$A29+AZ34*$A32)/($A21+$A25+$A29+$A32)</f>
        <v>6.611362823249225</v>
      </c>
      <c r="BA35" s="446">
        <f t="shared" ref="BA35" si="292">(BA24*$A21+BA28*$A25+BA31*$A29+BA34*$A32)/($A21+$A25+$A29+$A32)</f>
        <v>8.8520887572201232</v>
      </c>
      <c r="BB35" s="446">
        <f t="shared" ref="BB35" si="293">(BB24*$A21+BB28*$A25+BB31*$A29+BB34*$A32)/($A21+$A25+$A29+$A32)</f>
        <v>2.1923237808759395</v>
      </c>
      <c r="BC35" s="446">
        <f t="shared" ref="BC35" si="294">(BC24*$A21+BC28*$A25+BC31*$A29+BC34*$A32)/($A21+$A25+$A29+$A32)</f>
        <v>5.4785213114993914</v>
      </c>
      <c r="BD35" s="446">
        <f t="shared" ref="BD35" si="295">(BD24*$A21+BD28*$A25+BD31*$A29+BD34*$A32)/($A21+$A25+$A29+$A32)</f>
        <v>8.8564204036049556</v>
      </c>
      <c r="BE35" s="446">
        <f t="shared" ref="BE35" si="296">(BE24*$A21+BE28*$A25+BE31*$A29+BE34*$A32)/($A21+$A25+$A29+$A32)</f>
        <v>5.7157566933433204</v>
      </c>
      <c r="BF35" s="446">
        <f t="shared" ref="BF35" si="297">(BF24*$A21+BF28*$A25+BF31*$A29+BF34*$A32)/($A21+$A25+$A29+$A32)</f>
        <v>7.1529327291877918</v>
      </c>
      <c r="BG35" s="446">
        <f t="shared" ref="BG35" si="298">(BG24*$A21+BG28*$A25+BG31*$A29+BG34*$A32)/($A21+$A25+$A29+$A32)</f>
        <v>8.909970135217705</v>
      </c>
      <c r="BH35" s="446">
        <f t="shared" ref="BH35" si="299">(BH24*$A21+BH28*$A25+BH31*$A29+BH34*$A32)/($A21+$A25+$A29+$A32)</f>
        <v>6.6053208384194422</v>
      </c>
      <c r="BI35" s="446">
        <f t="shared" ref="BI35" si="300">(BI24*$A21+BI28*$A25+BI31*$A29+BI34*$A32)/($A21+$A25+$A29+$A32)</f>
        <v>5.8757059192730097</v>
      </c>
      <c r="BJ35" s="446">
        <f t="shared" ref="BJ35" si="301">(BJ24*$A21+BJ28*$A25+BJ31*$A29+BJ34*$A32)/($A21+$A25+$A29+$A32)</f>
        <v>5.8171661119463787</v>
      </c>
      <c r="BK35" s="446">
        <f t="shared" ref="BK35" si="302">(BK24*$A21+BK28*$A25+BK31*$A29+BK34*$A32)/($A21+$A25+$A29+$A32)</f>
        <v>7.2606236347354791</v>
      </c>
      <c r="BL35" s="446">
        <f t="shared" ref="BL35" si="303">(BL24*$A21+BL28*$A25+BL31*$A29+BL34*$A32)/($A21+$A25+$A29+$A32)</f>
        <v>4.9575883079584004</v>
      </c>
      <c r="BM35" s="446">
        <f t="shared" ref="BM35" si="304">(BM24*$A21+BM28*$A25+BM31*$A29+BM34*$A32)/($A21+$A25+$A29+$A32)</f>
        <v>5.7984891636567468</v>
      </c>
      <c r="BN35" s="446">
        <f t="shared" ref="BN35" si="305">(BN24*$A21+BN28*$A25+BN31*$A29+BN34*$A32)/($A21+$A25+$A29+$A32)</f>
        <v>4.6793191379237182</v>
      </c>
      <c r="BO35" s="446">
        <f t="shared" ref="BO35" si="306">(BO24*$A21+BO28*$A25+BO31*$A29+BO34*$A32)/($A21+$A25+$A29+$A32)</f>
        <v>5.8334708780200693</v>
      </c>
      <c r="BP35" s="446">
        <f t="shared" ref="BP35" si="307">(BP24*$A21+BP28*$A25+BP31*$A29+BP34*$A32)/($A21+$A25+$A29+$A32)</f>
        <v>3.2577685386690005</v>
      </c>
      <c r="BQ35" s="446">
        <f t="shared" ref="BQ35" si="308">(BQ24*$A21+BQ28*$A25+BQ31*$A29+BQ34*$A32)/($A21+$A25+$A29+$A32)</f>
        <v>5.3533658181393049</v>
      </c>
      <c r="BR35" s="446">
        <f t="shared" ref="BR35" si="309">(BR24*$A21+BR28*$A25+BR31*$A29+BR34*$A32)/($A21+$A25+$A29+$A32)</f>
        <v>4.9554030767421198</v>
      </c>
      <c r="BS35" s="446">
        <f t="shared" ref="BS35" si="310">(BS24*$A21+BS28*$A25+BS31*$A29+BS34*$A32)/($A21+$A25+$A29+$A32)</f>
        <v>2.4707626235772939</v>
      </c>
      <c r="BT35" s="446">
        <f t="shared" ref="BT35" si="311">(BT24*$A21+BT28*$A25+BT31*$A29+BT34*$A32)/($A21+$A25+$A29+$A32)</f>
        <v>5.7387849191263021</v>
      </c>
    </row>
    <row r="36" spans="1:72" ht="15.75" customHeight="1" x14ac:dyDescent="0.25"/>
    <row r="37" spans="1:72" ht="15.75" customHeight="1" x14ac:dyDescent="0.25"/>
    <row r="38" spans="1:72" ht="15.75" customHeight="1" x14ac:dyDescent="0.25"/>
    <row r="39" spans="1:72" ht="15.75" customHeight="1" x14ac:dyDescent="0.25"/>
    <row r="40" spans="1:72" ht="15.75" customHeight="1" x14ac:dyDescent="0.25"/>
    <row r="41" spans="1:72" ht="15.75" customHeight="1" x14ac:dyDescent="0.25"/>
    <row r="42" spans="1:72" ht="15.75" customHeight="1" x14ac:dyDescent="0.25"/>
    <row r="43" spans="1:72" ht="15.75" customHeight="1" x14ac:dyDescent="0.25"/>
    <row r="44" spans="1:72" ht="15.75" customHeight="1" x14ac:dyDescent="0.25"/>
    <row r="45" spans="1:72" ht="15.75" customHeight="1" x14ac:dyDescent="0.25"/>
    <row r="46" spans="1:72" ht="15.75" customHeight="1" x14ac:dyDescent="0.25"/>
    <row r="47" spans="1:72" ht="15.75" customHeight="1" x14ac:dyDescent="0.25"/>
    <row r="48" spans="1:7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</sheetData>
  <mergeCells count="30">
    <mergeCell ref="P2:T2"/>
    <mergeCell ref="A4:A7"/>
    <mergeCell ref="B4:B7"/>
    <mergeCell ref="C7:E7"/>
    <mergeCell ref="A8:A11"/>
    <mergeCell ref="B8:B11"/>
    <mergeCell ref="C11:E11"/>
    <mergeCell ref="F2:I2"/>
    <mergeCell ref="A12:A14"/>
    <mergeCell ref="N4:N18"/>
    <mergeCell ref="C24:E24"/>
    <mergeCell ref="A25:A28"/>
    <mergeCell ref="B25:B28"/>
    <mergeCell ref="C28:E28"/>
    <mergeCell ref="N21:N35"/>
    <mergeCell ref="B35:E35"/>
    <mergeCell ref="A21:A24"/>
    <mergeCell ref="B21:B24"/>
    <mergeCell ref="B12:B14"/>
    <mergeCell ref="C14:E14"/>
    <mergeCell ref="A15:A17"/>
    <mergeCell ref="B15:B17"/>
    <mergeCell ref="C17:E17"/>
    <mergeCell ref="B18:E18"/>
    <mergeCell ref="A29:A31"/>
    <mergeCell ref="B29:B31"/>
    <mergeCell ref="C31:E31"/>
    <mergeCell ref="A32:A34"/>
    <mergeCell ref="B32:B34"/>
    <mergeCell ref="C34:E34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BG1005"/>
  <sheetViews>
    <sheetView zoomScaleNormal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/>
    </sheetView>
  </sheetViews>
  <sheetFormatPr defaultColWidth="14.42578125" defaultRowHeight="15" customHeight="1" x14ac:dyDescent="0.25"/>
  <cols>
    <col min="1" max="1" width="11.85546875" style="224" bestFit="1" customWidth="1"/>
    <col min="2" max="2" width="11.5703125" style="224" bestFit="1" customWidth="1"/>
    <col min="3" max="3" width="4.5703125" style="230" bestFit="1" customWidth="1"/>
    <col min="4" max="4" width="32.140625" style="224" customWidth="1"/>
    <col min="5" max="5" width="37.28515625" style="228" customWidth="1"/>
    <col min="6" max="8" width="3.7109375" style="224" customWidth="1"/>
    <col min="9" max="58" width="8.7109375" style="243" customWidth="1"/>
    <col min="59" max="16384" width="14.42578125" style="224"/>
  </cols>
  <sheetData>
    <row r="1" spans="1:59" ht="15.75" customHeight="1" x14ac:dyDescent="0.25">
      <c r="F1" s="238"/>
      <c r="G1" s="238"/>
      <c r="I1" s="249" t="s">
        <v>0</v>
      </c>
      <c r="J1" s="249" t="s">
        <v>1</v>
      </c>
      <c r="K1" s="249" t="s">
        <v>2</v>
      </c>
      <c r="L1" s="249" t="s">
        <v>3</v>
      </c>
      <c r="M1" s="249" t="s">
        <v>4</v>
      </c>
      <c r="N1" s="249" t="s">
        <v>5</v>
      </c>
      <c r="O1" s="249" t="s">
        <v>6</v>
      </c>
      <c r="P1" s="249" t="s">
        <v>7</v>
      </c>
      <c r="Q1" s="250" t="s">
        <v>8</v>
      </c>
      <c r="R1" s="249" t="s">
        <v>9</v>
      </c>
      <c r="S1" s="249" t="s">
        <v>10</v>
      </c>
      <c r="T1" s="249" t="s">
        <v>11</v>
      </c>
      <c r="U1" s="249" t="s">
        <v>12</v>
      </c>
      <c r="V1" s="249" t="s">
        <v>13</v>
      </c>
      <c r="W1" s="249" t="s">
        <v>14</v>
      </c>
      <c r="X1" s="249" t="s">
        <v>15</v>
      </c>
      <c r="Y1" s="249" t="s">
        <v>16</v>
      </c>
      <c r="Z1" s="249" t="s">
        <v>17</v>
      </c>
      <c r="AA1" s="249" t="s">
        <v>18</v>
      </c>
      <c r="AB1" s="249" t="s">
        <v>19</v>
      </c>
      <c r="AC1" s="249" t="s">
        <v>20</v>
      </c>
      <c r="AD1" s="249" t="s">
        <v>21</v>
      </c>
      <c r="AE1" s="249" t="s">
        <v>22</v>
      </c>
      <c r="AF1" s="249" t="s">
        <v>23</v>
      </c>
      <c r="AG1" s="249" t="s">
        <v>24</v>
      </c>
      <c r="AH1" s="249" t="s">
        <v>25</v>
      </c>
      <c r="AI1" s="249" t="s">
        <v>26</v>
      </c>
      <c r="AJ1" s="249" t="s">
        <v>27</v>
      </c>
      <c r="AK1" s="249" t="s">
        <v>28</v>
      </c>
      <c r="AL1" s="249" t="s">
        <v>29</v>
      </c>
      <c r="AM1" s="249" t="s">
        <v>30</v>
      </c>
      <c r="AN1" s="249" t="s">
        <v>31</v>
      </c>
      <c r="AO1" s="249" t="s">
        <v>32</v>
      </c>
      <c r="AP1" s="249" t="s">
        <v>33</v>
      </c>
      <c r="AQ1" s="249" t="s">
        <v>34</v>
      </c>
      <c r="AR1" s="249" t="s">
        <v>35</v>
      </c>
      <c r="AS1" s="249" t="s">
        <v>36</v>
      </c>
      <c r="AT1" s="249" t="s">
        <v>37</v>
      </c>
      <c r="AU1" s="249" t="s">
        <v>38</v>
      </c>
      <c r="AV1" s="249" t="s">
        <v>226</v>
      </c>
      <c r="AW1" s="249" t="s">
        <v>227</v>
      </c>
      <c r="AX1" s="249" t="s">
        <v>228</v>
      </c>
      <c r="AY1" s="249" t="s">
        <v>229</v>
      </c>
      <c r="AZ1" s="249" t="s">
        <v>230</v>
      </c>
      <c r="BA1" s="249" t="s">
        <v>231</v>
      </c>
      <c r="BB1" s="249" t="s">
        <v>232</v>
      </c>
      <c r="BC1" s="249" t="s">
        <v>233</v>
      </c>
      <c r="BD1" s="249" t="s">
        <v>234</v>
      </c>
      <c r="BE1" s="249" t="s">
        <v>235</v>
      </c>
      <c r="BF1" s="249" t="s">
        <v>236</v>
      </c>
      <c r="BG1" s="224" t="s">
        <v>400</v>
      </c>
    </row>
    <row r="2" spans="1:59" ht="15.75" customHeight="1" thickBot="1" x14ac:dyDescent="0.3"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  <c r="AV2" s="241"/>
      <c r="AW2" s="241"/>
      <c r="AX2" s="241"/>
      <c r="AY2" s="241"/>
      <c r="AZ2" s="241"/>
      <c r="BA2" s="241"/>
      <c r="BB2" s="241"/>
      <c r="BC2" s="241"/>
      <c r="BD2" s="241"/>
      <c r="BE2" s="241"/>
      <c r="BF2" s="241"/>
    </row>
    <row r="3" spans="1:59" s="259" customFormat="1" ht="15.75" customHeight="1" thickBot="1" x14ac:dyDescent="0.3">
      <c r="A3" s="639">
        <f>'MD-ratings-year'!A4</f>
        <v>0.25</v>
      </c>
      <c r="B3" s="668" t="str">
        <f>'MD-ratings-year'!B4</f>
        <v>Liquidity</v>
      </c>
      <c r="C3" s="418">
        <f>'MD-ratings-year'!C4</f>
        <v>8.3333333333333329E-2</v>
      </c>
      <c r="D3" s="419" t="str">
        <f>'MD-ratings-year'!D4</f>
        <v>Current Ratio</v>
      </c>
      <c r="E3" s="420" t="str">
        <f>'MD-ratings-year'!E4</f>
        <v>Current Assets ÷ Current Liabilities</v>
      </c>
      <c r="F3" s="259" t="s">
        <v>400</v>
      </c>
      <c r="G3" s="653">
        <v>2015</v>
      </c>
      <c r="I3" s="262">
        <f>'MD-ratings-year'!W4</f>
        <v>10</v>
      </c>
      <c r="J3" s="262">
        <f>'MD-ratings-year'!X4</f>
        <v>5.0588379951014284</v>
      </c>
      <c r="K3" s="262">
        <f>'MD-ratings-year'!Y4</f>
        <v>4.1080947555307228</v>
      </c>
      <c r="L3" s="262">
        <f>'MD-ratings-year'!Z4</f>
        <v>4.8972002216991193</v>
      </c>
      <c r="M3" s="262">
        <f>'MD-ratings-year'!AA4</f>
        <v>1.2951352693171745</v>
      </c>
      <c r="N3" s="262">
        <f>'MD-ratings-year'!AB4</f>
        <v>5.528769970081715</v>
      </c>
      <c r="O3" s="262">
        <f>'MD-ratings-year'!AC4</f>
        <v>10</v>
      </c>
      <c r="P3" s="262">
        <f>'MD-ratings-year'!AD4</f>
        <v>10</v>
      </c>
      <c r="Q3" s="262">
        <f>'MD-ratings-year'!AE4</f>
        <v>10</v>
      </c>
      <c r="R3" s="262">
        <f>'MD-ratings-year'!AF4</f>
        <v>4.5020118074934752</v>
      </c>
      <c r="S3" s="262">
        <f>'MD-ratings-year'!AG4</f>
        <v>3.7990820306748532</v>
      </c>
      <c r="T3" s="262">
        <f>'MD-ratings-year'!AH4</f>
        <v>5.8252837477602171</v>
      </c>
      <c r="U3" s="262">
        <f>'MD-ratings-year'!AI4</f>
        <v>7.1142988175520276</v>
      </c>
      <c r="V3" s="262">
        <f>'MD-ratings-year'!AJ4</f>
        <v>5.0830394035159854</v>
      </c>
      <c r="W3" s="262">
        <f>'MD-ratings-year'!AK4</f>
        <v>3.6904396544413389</v>
      </c>
      <c r="X3" s="262">
        <f>'MD-ratings-year'!AL4</f>
        <v>5.6257434524429693</v>
      </c>
      <c r="Y3" s="262">
        <f>'MD-ratings-year'!AM4</f>
        <v>6.9819283688289051</v>
      </c>
      <c r="Z3" s="262">
        <f>'MD-ratings-year'!AN4</f>
        <v>2.222324285375918</v>
      </c>
      <c r="AA3" s="262">
        <f>'MD-ratings-year'!AO4</f>
        <v>6.8847701326660875</v>
      </c>
      <c r="AB3" s="262">
        <f>'MD-ratings-year'!AP4</f>
        <v>5.3049972279381663</v>
      </c>
      <c r="AC3" s="262">
        <f>'MD-ratings-year'!AQ4</f>
        <v>6.1908275010435325</v>
      </c>
      <c r="AD3" s="262">
        <f>'MD-ratings-year'!AR4</f>
        <v>10</v>
      </c>
      <c r="AE3" s="262">
        <f>'MD-ratings-year'!AS4</f>
        <v>3.0493719340641365</v>
      </c>
      <c r="AF3" s="262">
        <f>'MD-ratings-year'!AT4</f>
        <v>4.1895784716402904</v>
      </c>
      <c r="AG3" s="262">
        <f>'MD-ratings-year'!AU4</f>
        <v>2.8137119834961415</v>
      </c>
      <c r="AH3" s="262">
        <f>'MD-ratings-year'!AV4</f>
        <v>4.365464206376048</v>
      </c>
      <c r="AI3" s="262">
        <f>'MD-ratings-year'!AW4</f>
        <v>5.7916058792931437</v>
      </c>
      <c r="AJ3" s="262">
        <f>'MD-ratings-year'!AX4</f>
        <v>4.4984495562060687</v>
      </c>
      <c r="AK3" s="262">
        <f>'MD-ratings-year'!AY4</f>
        <v>1.7470742162723274</v>
      </c>
      <c r="AL3" s="262">
        <f>'MD-ratings-year'!AZ4</f>
        <v>6.5084610131872278</v>
      </c>
      <c r="AM3" s="262">
        <f>'MD-ratings-year'!BA4</f>
        <v>8.0939287361050649</v>
      </c>
      <c r="AN3" s="262">
        <f>'MD-ratings-year'!BB4</f>
        <v>3.2326299055127095</v>
      </c>
      <c r="AO3" s="262">
        <f>'MD-ratings-year'!BC4</f>
        <v>10</v>
      </c>
      <c r="AP3" s="262">
        <f>'MD-ratings-year'!BD4</f>
        <v>6.5362799946292078</v>
      </c>
      <c r="AQ3" s="262">
        <f>'MD-ratings-year'!BE4</f>
        <v>3.2612156485547055</v>
      </c>
      <c r="AR3" s="262">
        <f>'MD-ratings-year'!BF4</f>
        <v>9.7582725619645778</v>
      </c>
      <c r="AS3" s="262">
        <f>'MD-ratings-year'!BG4</f>
        <v>10</v>
      </c>
      <c r="AT3" s="262">
        <f>'MD-ratings-year'!BH4</f>
        <v>9.1555788174097437</v>
      </c>
      <c r="AU3" s="262">
        <f>'MD-ratings-year'!BI4</f>
        <v>2.9433823526475513</v>
      </c>
      <c r="AV3" s="262">
        <f>'MD-ratings-year'!BJ4</f>
        <v>10</v>
      </c>
      <c r="AW3" s="262">
        <f>'MD-ratings-year'!BK4</f>
        <v>10</v>
      </c>
      <c r="AX3" s="262">
        <f>'MD-ratings-year'!BL4</f>
        <v>5.2428739133659246</v>
      </c>
      <c r="AY3" s="262">
        <f>'MD-ratings-year'!BM4</f>
        <v>4.7158667741035165</v>
      </c>
      <c r="AZ3" s="262">
        <f>'MD-ratings-year'!BN4</f>
        <v>7.1758496556541624</v>
      </c>
      <c r="BA3" s="262">
        <f>'MD-ratings-year'!BO4</f>
        <v>4.4576901750598603</v>
      </c>
      <c r="BB3" s="262">
        <f>'MD-ratings-year'!BP4</f>
        <v>4.5377150492748646</v>
      </c>
      <c r="BC3" s="262">
        <f>'MD-ratings-year'!BQ4</f>
        <v>3.7337193228848755</v>
      </c>
      <c r="BD3" s="262">
        <f>'MD-ratings-year'!BR4</f>
        <v>4.9354817353089917</v>
      </c>
      <c r="BE3" s="262">
        <f>'MD-ratings-year'!BS4</f>
        <v>1.7798996096390991</v>
      </c>
      <c r="BF3" s="262">
        <f>'MD-ratings-year'!BT4</f>
        <v>5.8955876470246888</v>
      </c>
    </row>
    <row r="4" spans="1:59" s="243" customFormat="1" ht="15.75" customHeight="1" thickBot="1" x14ac:dyDescent="0.3">
      <c r="A4" s="640"/>
      <c r="B4" s="669"/>
      <c r="C4" s="418">
        <f>'MD-ratings-year'!C5</f>
        <v>8.3333333333333329E-2</v>
      </c>
      <c r="D4" s="419" t="str">
        <f>'MD-ratings-year'!D5</f>
        <v>Quick Asset Ratio</v>
      </c>
      <c r="E4" s="420" t="str">
        <f>'MD-ratings-year'!E5</f>
        <v>Cash + Marketable Securities + Accounts Receivable) ÷ Current Liabilities</v>
      </c>
      <c r="F4" s="243" t="s">
        <v>400</v>
      </c>
      <c r="G4" s="653"/>
      <c r="I4" s="242">
        <f>'MD-ratings-year'!W5</f>
        <v>7.5279478463065921</v>
      </c>
      <c r="J4" s="242">
        <f>'MD-ratings-year'!X5</f>
        <v>2.362858148385556</v>
      </c>
      <c r="K4" s="242">
        <f>'MD-ratings-year'!Y5</f>
        <v>4.1882922104666553</v>
      </c>
      <c r="L4" s="242">
        <f>'MD-ratings-year'!Z5</f>
        <v>2.2839212677824552</v>
      </c>
      <c r="M4" s="242">
        <f>'MD-ratings-year'!AA5</f>
        <v>0.49215793825340565</v>
      </c>
      <c r="N4" s="242">
        <f>'MD-ratings-year'!AB5</f>
        <v>0.82626110038339318</v>
      </c>
      <c r="O4" s="242">
        <f>'MD-ratings-year'!AC5</f>
        <v>8.9114957361122418</v>
      </c>
      <c r="P4" s="242">
        <f>'MD-ratings-year'!AD5</f>
        <v>7.9503820246954202</v>
      </c>
      <c r="Q4" s="242">
        <f>'MD-ratings-year'!AE5</f>
        <v>9.3649988672310709</v>
      </c>
      <c r="R4" s="242">
        <f>'MD-ratings-year'!AF5</f>
        <v>1.2443567340421933</v>
      </c>
      <c r="S4" s="242">
        <f>'MD-ratings-year'!AG5</f>
        <v>4.1443148085665671</v>
      </c>
      <c r="T4" s="242">
        <f>'MD-ratings-year'!AH5</f>
        <v>6.1607787992229275</v>
      </c>
      <c r="U4" s="242">
        <f>'MD-ratings-year'!AI5</f>
        <v>7.1495143196586222</v>
      </c>
      <c r="V4" s="242">
        <f>'MD-ratings-year'!AJ5</f>
        <v>4.70951189922026</v>
      </c>
      <c r="W4" s="242">
        <f>'MD-ratings-year'!AK5</f>
        <v>3.3110087339553558</v>
      </c>
      <c r="X4" s="242">
        <f>'MD-ratings-year'!AL5</f>
        <v>5.4287864296293113</v>
      </c>
      <c r="Y4" s="242">
        <f>'MD-ratings-year'!AM5</f>
        <v>6.5420473260454335</v>
      </c>
      <c r="Z4" s="242">
        <f>'MD-ratings-year'!AN5</f>
        <v>1.5505371183061216</v>
      </c>
      <c r="AA4" s="242">
        <f>'MD-ratings-year'!AO5</f>
        <v>6.7070874193412324</v>
      </c>
      <c r="AB4" s="242">
        <f>'MD-ratings-year'!AP5</f>
        <v>3.7356587350340091</v>
      </c>
      <c r="AC4" s="242">
        <f>'MD-ratings-year'!AQ5</f>
        <v>5.8837475563658721</v>
      </c>
      <c r="AD4" s="242">
        <f>'MD-ratings-year'!AR5</f>
        <v>10</v>
      </c>
      <c r="AE4" s="242">
        <f>'MD-ratings-year'!AS5</f>
        <v>2.0424578925749231</v>
      </c>
      <c r="AF4" s="242">
        <f>'MD-ratings-year'!AT5</f>
        <v>4.0100910381563315</v>
      </c>
      <c r="AG4" s="242">
        <f>'MD-ratings-year'!AU5</f>
        <v>2.7750839793966606</v>
      </c>
      <c r="AH4" s="242">
        <f>'MD-ratings-year'!AV5</f>
        <v>4.7650672088090555</v>
      </c>
      <c r="AI4" s="242">
        <f>'MD-ratings-year'!AW5</f>
        <v>5.012704611904967</v>
      </c>
      <c r="AJ4" s="242">
        <f>'MD-ratings-year'!AX5</f>
        <v>3.5886174901314249</v>
      </c>
      <c r="AK4" s="242">
        <f>'MD-ratings-year'!AY5</f>
        <v>0.73783951212943488</v>
      </c>
      <c r="AL4" s="242">
        <f>'MD-ratings-year'!AZ5</f>
        <v>5.8779389857309461</v>
      </c>
      <c r="AM4" s="242">
        <f>'MD-ratings-year'!BA5</f>
        <v>7.507127234525707</v>
      </c>
      <c r="AN4" s="242">
        <f>'MD-ratings-year'!BB5</f>
        <v>1.5256130382631325</v>
      </c>
      <c r="AO4" s="242">
        <f>'MD-ratings-year'!BC5</f>
        <v>10</v>
      </c>
      <c r="AP4" s="242">
        <f>'MD-ratings-year'!BD5</f>
        <v>6.5733327963861194</v>
      </c>
      <c r="AQ4" s="242">
        <f>'MD-ratings-year'!BE5</f>
        <v>1.4711268172788619</v>
      </c>
      <c r="AR4" s="242">
        <f>'MD-ratings-year'!BF5</f>
        <v>8.8858501413173112</v>
      </c>
      <c r="AS4" s="242">
        <f>'MD-ratings-year'!BG5</f>
        <v>5.6693709247283461</v>
      </c>
      <c r="AT4" s="242">
        <f>'MD-ratings-year'!BH5</f>
        <v>9.6896032402956358</v>
      </c>
      <c r="AU4" s="242">
        <f>'MD-ratings-year'!BI5</f>
        <v>0.25349431319957089</v>
      </c>
      <c r="AV4" s="242">
        <f>'MD-ratings-year'!BJ5</f>
        <v>7.9755395281449557</v>
      </c>
      <c r="AW4" s="242">
        <f>'MD-ratings-year'!BK5</f>
        <v>10</v>
      </c>
      <c r="AX4" s="242">
        <f>'MD-ratings-year'!BL5</f>
        <v>1.4587820517904977</v>
      </c>
      <c r="AY4" s="242">
        <f>'MD-ratings-year'!BM5</f>
        <v>4.1422991676613776</v>
      </c>
      <c r="AZ4" s="242">
        <f>'MD-ratings-year'!BN5</f>
        <v>3.6266182550559272</v>
      </c>
      <c r="BA4" s="242">
        <f>'MD-ratings-year'!BO5</f>
        <v>4.5714179750231638</v>
      </c>
      <c r="BB4" s="242">
        <f>'MD-ratings-year'!BP5</f>
        <v>3.897620026386019</v>
      </c>
      <c r="BC4" s="242">
        <f>'MD-ratings-year'!BQ5</f>
        <v>0.11960674485335267</v>
      </c>
      <c r="BD4" s="242">
        <f>'MD-ratings-year'!BR5</f>
        <v>4.2478601932711442</v>
      </c>
      <c r="BE4" s="242">
        <f>'MD-ratings-year'!BS5</f>
        <v>5.4654959128819083E-2</v>
      </c>
      <c r="BF4" s="242">
        <f>'MD-ratings-year'!BT5</f>
        <v>5.058593739833956</v>
      </c>
    </row>
    <row r="5" spans="1:59" s="243" customFormat="1" ht="15.75" customHeight="1" thickBot="1" x14ac:dyDescent="0.3">
      <c r="A5" s="640"/>
      <c r="B5" s="669"/>
      <c r="C5" s="418">
        <f>'MD-ratings-year'!C6</f>
        <v>8.3333333333333329E-2</v>
      </c>
      <c r="D5" s="419" t="str">
        <f>'MD-ratings-year'!D6</f>
        <v>Cash Position Ratio</v>
      </c>
      <c r="E5" s="420" t="str">
        <f>'MD-ratings-year'!E6</f>
        <v>Cash ÷ Current Liabilities</v>
      </c>
      <c r="F5" s="243" t="s">
        <v>400</v>
      </c>
      <c r="G5" s="653"/>
      <c r="I5" s="242">
        <f>'MD-ratings-year'!W6</f>
        <v>2.0104718446663168</v>
      </c>
      <c r="J5" s="242">
        <f>'MD-ratings-year'!X6</f>
        <v>2.0776346176287261</v>
      </c>
      <c r="K5" s="242">
        <f>'MD-ratings-year'!Y6</f>
        <v>0.8353721599434516</v>
      </c>
      <c r="L5" s="242">
        <f>'MD-ratings-year'!Z6</f>
        <v>1.4020544293761081</v>
      </c>
      <c r="M5" s="242">
        <f>'MD-ratings-year'!AA6</f>
        <v>3.5347301716291578E-3</v>
      </c>
      <c r="N5" s="242">
        <f>'MD-ratings-year'!AB6</f>
        <v>0.13059158517754085</v>
      </c>
      <c r="O5" s="242">
        <f>'MD-ratings-year'!AC6</f>
        <v>8.8499547875015523</v>
      </c>
      <c r="P5" s="242">
        <f>'MD-ratings-year'!AD6</f>
        <v>3.8010999906001386</v>
      </c>
      <c r="Q5" s="242">
        <f>'MD-ratings-year'!AE6</f>
        <v>9.6272142904825095</v>
      </c>
      <c r="R5" s="242">
        <f>'MD-ratings-year'!AF6</f>
        <v>0.88291733690496499</v>
      </c>
      <c r="S5" s="242">
        <f>'MD-ratings-year'!AG6</f>
        <v>4.7571522685135612</v>
      </c>
      <c r="T5" s="242">
        <f>'MD-ratings-year'!AH6</f>
        <v>0.70951419750953226</v>
      </c>
      <c r="U5" s="242">
        <f>'MD-ratings-year'!AI6</f>
        <v>7.3073775374905248</v>
      </c>
      <c r="V5" s="242">
        <f>'MD-ratings-year'!AJ6</f>
        <v>2.6108060895026561</v>
      </c>
      <c r="W5" s="242">
        <f>'MD-ratings-year'!AK6</f>
        <v>3.6967839368525302</v>
      </c>
      <c r="X5" s="242">
        <f>'MD-ratings-year'!AL6</f>
        <v>3.5073942784620078</v>
      </c>
      <c r="Y5" s="242">
        <f>'MD-ratings-year'!AM6</f>
        <v>5.2110002406846556</v>
      </c>
      <c r="Z5" s="242">
        <f>'MD-ratings-year'!AN6</f>
        <v>2.0108895109965657</v>
      </c>
      <c r="AA5" s="242">
        <f>'MD-ratings-year'!AO6</f>
        <v>5.10261397383979</v>
      </c>
      <c r="AB5" s="242">
        <f>'MD-ratings-year'!AP6</f>
        <v>4.4911137400205465</v>
      </c>
      <c r="AC5" s="242">
        <f>'MD-ratings-year'!AQ6</f>
        <v>4.8154032799374393</v>
      </c>
      <c r="AD5" s="242">
        <f>'MD-ratings-year'!AR6</f>
        <v>8.644074643412301</v>
      </c>
      <c r="AE5" s="242">
        <f>'MD-ratings-year'!AS6</f>
        <v>0.28520579009331487</v>
      </c>
      <c r="AF5" s="242">
        <f>'MD-ratings-year'!AT6</f>
        <v>3.9142160244665871</v>
      </c>
      <c r="AG5" s="242">
        <f>'MD-ratings-year'!AU6</f>
        <v>0.23522665435613851</v>
      </c>
      <c r="AH5" s="242">
        <f>'MD-ratings-year'!AV6</f>
        <v>1.7652974126551442</v>
      </c>
      <c r="AI5" s="242">
        <f>'MD-ratings-year'!AW6</f>
        <v>5.7128675616347131</v>
      </c>
      <c r="AJ5" s="242">
        <f>'MD-ratings-year'!AX6</f>
        <v>1.596909411518445</v>
      </c>
      <c r="AK5" s="242">
        <f>'MD-ratings-year'!AY6</f>
        <v>1.1192278318912212</v>
      </c>
      <c r="AL5" s="242">
        <f>'MD-ratings-year'!AZ6</f>
        <v>6.4426317993605577</v>
      </c>
      <c r="AM5" s="242">
        <f>'MD-ratings-year'!BA6</f>
        <v>7.9800441106254887</v>
      </c>
      <c r="AN5" s="242">
        <f>'MD-ratings-year'!BB6</f>
        <v>0.27414741997414588</v>
      </c>
      <c r="AO5" s="242">
        <f>'MD-ratings-year'!BC6</f>
        <v>10</v>
      </c>
      <c r="AP5" s="242">
        <f>'MD-ratings-year'!BD6</f>
        <v>7.031170022127073</v>
      </c>
      <c r="AQ5" s="242">
        <f>'MD-ratings-year'!BE6</f>
        <v>0.60060661192400944</v>
      </c>
      <c r="AR5" s="242">
        <f>'MD-ratings-year'!BF6</f>
        <v>7.1994354409310617</v>
      </c>
      <c r="AS5" s="242">
        <f>'MD-ratings-year'!BG6</f>
        <v>5.6731436801481108</v>
      </c>
      <c r="AT5" s="242">
        <f>'MD-ratings-year'!BH6</f>
        <v>9.6411727205774405</v>
      </c>
      <c r="AU5" s="242">
        <f>'MD-ratings-year'!BI6</f>
        <v>0.4114911176855926</v>
      </c>
      <c r="AV5" s="242">
        <f>'MD-ratings-year'!BJ6</f>
        <v>8.1910813336118444</v>
      </c>
      <c r="AW5" s="242">
        <f>'MD-ratings-year'!BK6</f>
        <v>10</v>
      </c>
      <c r="AX5" s="242">
        <f>'MD-ratings-year'!BL6</f>
        <v>0.24528208473682239</v>
      </c>
      <c r="AY5" s="242">
        <f>'MD-ratings-year'!BM6</f>
        <v>1.5618219426653051</v>
      </c>
      <c r="AZ5" s="242">
        <f>'MD-ratings-year'!BN6</f>
        <v>2.8267411294723113</v>
      </c>
      <c r="BA5" s="242">
        <f>'MD-ratings-year'!BO6</f>
        <v>2.0672561449712332</v>
      </c>
      <c r="BB5" s="242">
        <f>'MD-ratings-year'!BP6</f>
        <v>0.36618494800337165</v>
      </c>
      <c r="BC5" s="242">
        <f>'MD-ratings-year'!BQ6</f>
        <v>0.19841046108812049</v>
      </c>
      <c r="BD5" s="242">
        <f>'MD-ratings-year'!BR6</f>
        <v>4.6967854496266694</v>
      </c>
      <c r="BE5" s="242">
        <f>'MD-ratings-year'!BS6</f>
        <v>9.1674313407362831E-2</v>
      </c>
      <c r="BF5" s="242">
        <f>'MD-ratings-year'!BT6</f>
        <v>2.8609444552770098</v>
      </c>
    </row>
    <row r="6" spans="1:59" s="266" customFormat="1" ht="15.75" customHeight="1" thickBot="1" x14ac:dyDescent="0.3">
      <c r="A6" s="641"/>
      <c r="B6" s="670"/>
      <c r="C6" s="647" t="str">
        <f>'MD-ratings-year'!C7:E7</f>
        <v>Liquidity total</v>
      </c>
      <c r="D6" s="648"/>
      <c r="E6" s="649"/>
      <c r="F6" s="266" t="s">
        <v>400</v>
      </c>
      <c r="G6" s="653"/>
      <c r="I6" s="269">
        <f>SUMPRODUCT(I3:I5,$C3:$C5)/SUM($C3:$C5)</f>
        <v>6.5128065636576364</v>
      </c>
      <c r="J6" s="269">
        <f t="shared" ref="J6:BF6" si="0">SUMPRODUCT(J3:J5,$C3:$C5)/SUM($C3:$C5)</f>
        <v>3.1664435870385699</v>
      </c>
      <c r="K6" s="269">
        <f t="shared" si="0"/>
        <v>3.0439197086469432</v>
      </c>
      <c r="L6" s="269">
        <f t="shared" si="0"/>
        <v>2.8610586396192272</v>
      </c>
      <c r="M6" s="269">
        <f t="shared" si="0"/>
        <v>0.59694264591406976</v>
      </c>
      <c r="N6" s="269">
        <f t="shared" si="0"/>
        <v>2.1618742185475495</v>
      </c>
      <c r="O6" s="269">
        <f t="shared" si="0"/>
        <v>9.2538168412045962</v>
      </c>
      <c r="P6" s="269">
        <f t="shared" si="0"/>
        <v>7.2504940050985187</v>
      </c>
      <c r="Q6" s="269">
        <f t="shared" si="0"/>
        <v>9.6640710525711935</v>
      </c>
      <c r="R6" s="269">
        <f t="shared" si="0"/>
        <v>2.2097619594802111</v>
      </c>
      <c r="S6" s="269">
        <f t="shared" si="0"/>
        <v>4.2335163692516602</v>
      </c>
      <c r="T6" s="269">
        <f t="shared" si="0"/>
        <v>4.2318589148308918</v>
      </c>
      <c r="U6" s="269">
        <f t="shared" si="0"/>
        <v>7.1903968915670582</v>
      </c>
      <c r="V6" s="269">
        <f t="shared" si="0"/>
        <v>4.1344524640796338</v>
      </c>
      <c r="W6" s="269">
        <f t="shared" si="0"/>
        <v>3.5660774417497412</v>
      </c>
      <c r="X6" s="269">
        <f t="shared" si="0"/>
        <v>4.8539747201780958</v>
      </c>
      <c r="Y6" s="269">
        <f t="shared" si="0"/>
        <v>6.2449919785196641</v>
      </c>
      <c r="Z6" s="269">
        <f t="shared" si="0"/>
        <v>1.9279169715595348</v>
      </c>
      <c r="AA6" s="269">
        <f t="shared" si="0"/>
        <v>6.2314905086157033</v>
      </c>
      <c r="AB6" s="269">
        <f t="shared" si="0"/>
        <v>4.5105899009975738</v>
      </c>
      <c r="AC6" s="269">
        <f t="shared" si="0"/>
        <v>5.6299927791156144</v>
      </c>
      <c r="AD6" s="269">
        <f t="shared" si="0"/>
        <v>9.5480248811374331</v>
      </c>
      <c r="AE6" s="269">
        <f t="shared" si="0"/>
        <v>1.792345205577458</v>
      </c>
      <c r="AF6" s="269">
        <f t="shared" si="0"/>
        <v>4.0379618447544026</v>
      </c>
      <c r="AG6" s="269">
        <f t="shared" si="0"/>
        <v>1.9413408724163135</v>
      </c>
      <c r="AH6" s="269">
        <f t="shared" si="0"/>
        <v>3.6319429426134158</v>
      </c>
      <c r="AI6" s="269">
        <f t="shared" si="0"/>
        <v>5.5057260176109413</v>
      </c>
      <c r="AJ6" s="269">
        <f t="shared" si="0"/>
        <v>3.2279921526186461</v>
      </c>
      <c r="AK6" s="269">
        <f t="shared" si="0"/>
        <v>1.2013805200976611</v>
      </c>
      <c r="AL6" s="269">
        <f t="shared" si="0"/>
        <v>6.2763439327595769</v>
      </c>
      <c r="AM6" s="269">
        <f t="shared" si="0"/>
        <v>7.860366693752086</v>
      </c>
      <c r="AN6" s="269">
        <f t="shared" si="0"/>
        <v>1.6774634545833291</v>
      </c>
      <c r="AO6" s="269">
        <f t="shared" si="0"/>
        <v>10</v>
      </c>
      <c r="AP6" s="269">
        <f t="shared" si="0"/>
        <v>6.7135942710474659</v>
      </c>
      <c r="AQ6" s="269">
        <f t="shared" si="0"/>
        <v>1.7776496925858589</v>
      </c>
      <c r="AR6" s="269">
        <f t="shared" si="0"/>
        <v>8.6145193814043175</v>
      </c>
      <c r="AS6" s="269">
        <f t="shared" si="0"/>
        <v>7.1141715349588184</v>
      </c>
      <c r="AT6" s="269">
        <f t="shared" si="0"/>
        <v>9.49545159276094</v>
      </c>
      <c r="AU6" s="269">
        <f t="shared" si="0"/>
        <v>1.2027892611775717</v>
      </c>
      <c r="AV6" s="269">
        <f t="shared" si="0"/>
        <v>8.7222069539189331</v>
      </c>
      <c r="AW6" s="269">
        <f t="shared" si="0"/>
        <v>10</v>
      </c>
      <c r="AX6" s="269">
        <f t="shared" si="0"/>
        <v>2.3156460166310815</v>
      </c>
      <c r="AY6" s="269">
        <f t="shared" si="0"/>
        <v>3.4733292948100662</v>
      </c>
      <c r="AZ6" s="269">
        <f t="shared" si="0"/>
        <v>4.5430696800607997</v>
      </c>
      <c r="BA6" s="269">
        <f t="shared" si="0"/>
        <v>3.698788098351419</v>
      </c>
      <c r="BB6" s="269">
        <f t="shared" si="0"/>
        <v>2.9338400078880849</v>
      </c>
      <c r="BC6" s="269">
        <f t="shared" si="0"/>
        <v>1.3505788429421162</v>
      </c>
      <c r="BD6" s="269">
        <f t="shared" si="0"/>
        <v>4.6267091260689348</v>
      </c>
      <c r="BE6" s="269">
        <f t="shared" si="0"/>
        <v>0.64207629405842703</v>
      </c>
      <c r="BF6" s="269">
        <f t="shared" si="0"/>
        <v>4.6050419473785515</v>
      </c>
    </row>
    <row r="7" spans="1:59" s="243" customFormat="1" ht="15.75" customHeight="1" thickBot="1" x14ac:dyDescent="0.3">
      <c r="A7" s="639">
        <f>'MD-ratings-year'!A8</f>
        <v>0.25</v>
      </c>
      <c r="B7" s="668" t="str">
        <f>'MD-ratings-year'!B8</f>
        <v>Profitability</v>
      </c>
      <c r="C7" s="418">
        <f>'MD-ratings-year'!C8</f>
        <v>0.1</v>
      </c>
      <c r="D7" s="419" t="str">
        <f>'MD-ratings-year'!D8</f>
        <v>ROA - Return on Assets</v>
      </c>
      <c r="E7" s="420" t="str">
        <f>'MD-ratings-year'!E8</f>
        <v>Net Profit ÷ Total Assets</v>
      </c>
      <c r="F7" s="243" t="s">
        <v>400</v>
      </c>
      <c r="G7" s="653"/>
      <c r="I7" s="242">
        <f>'MD-ratings-year'!W8</f>
        <v>8.5967719012153054</v>
      </c>
      <c r="J7" s="242">
        <f>'MD-ratings-year'!X8</f>
        <v>6.2124581711839069</v>
      </c>
      <c r="K7" s="242">
        <f>'MD-ratings-year'!Y8</f>
        <v>0.56730433802757751</v>
      </c>
      <c r="L7" s="242">
        <f>'MD-ratings-year'!Z8</f>
        <v>5.4438020261595517</v>
      </c>
      <c r="M7" s="242">
        <f>'MD-ratings-year'!AA8</f>
        <v>10</v>
      </c>
      <c r="N7" s="242">
        <f>'MD-ratings-year'!AB8</f>
        <v>0</v>
      </c>
      <c r="O7" s="242">
        <f>'MD-ratings-year'!AC8</f>
        <v>6.1261945124483965</v>
      </c>
      <c r="P7" s="242">
        <f>'MD-ratings-year'!AD8</f>
        <v>7.8982419543015467</v>
      </c>
      <c r="Q7" s="242">
        <f>'MD-ratings-year'!AE8</f>
        <v>7.1841616323573589</v>
      </c>
      <c r="R7" s="242">
        <f>'MD-ratings-year'!AF8</f>
        <v>1.4648324530299197</v>
      </c>
      <c r="S7" s="242">
        <f>'MD-ratings-year'!AG8</f>
        <v>5.0862507170687454</v>
      </c>
      <c r="T7" s="242">
        <f>'MD-ratings-year'!AH8</f>
        <v>8.0993028262656175</v>
      </c>
      <c r="U7" s="242">
        <f>'MD-ratings-year'!AI8</f>
        <v>10</v>
      </c>
      <c r="V7" s="242">
        <f>'MD-ratings-year'!AJ8</f>
        <v>0</v>
      </c>
      <c r="W7" s="242">
        <f>'MD-ratings-year'!AK8</f>
        <v>8.4601469794344801</v>
      </c>
      <c r="X7" s="242">
        <f>'MD-ratings-year'!AL8</f>
        <v>2.1396478368150746</v>
      </c>
      <c r="Y7" s="242">
        <f>'MD-ratings-year'!AM8</f>
        <v>8.1960449641413451</v>
      </c>
      <c r="Z7" s="242">
        <f>'MD-ratings-year'!AN8</f>
        <v>7.8696155530389902</v>
      </c>
      <c r="AA7" s="242">
        <f>'MD-ratings-year'!AO8</f>
        <v>5.256241822435662</v>
      </c>
      <c r="AB7" s="242">
        <f>'MD-ratings-year'!AP8</f>
        <v>5.6683670245607223</v>
      </c>
      <c r="AC7" s="242">
        <f>'MD-ratings-year'!AQ8</f>
        <v>5.3855576769279718</v>
      </c>
      <c r="AD7" s="242">
        <f>'MD-ratings-year'!AR8</f>
        <v>10</v>
      </c>
      <c r="AE7" s="242">
        <f>'MD-ratings-year'!AS8</f>
        <v>3.420709307956372</v>
      </c>
      <c r="AF7" s="242">
        <f>'MD-ratings-year'!AT8</f>
        <v>7.1116399687190892</v>
      </c>
      <c r="AG7" s="242">
        <f>'MD-ratings-year'!AU8</f>
        <v>0</v>
      </c>
      <c r="AH7" s="242">
        <f>'MD-ratings-year'!AV8</f>
        <v>6.2562675947913631</v>
      </c>
      <c r="AI7" s="242">
        <f>'MD-ratings-year'!AW8</f>
        <v>10</v>
      </c>
      <c r="AJ7" s="242">
        <f>'MD-ratings-year'!AX8</f>
        <v>2.2585941031303065</v>
      </c>
      <c r="AK7" s="242">
        <f>'MD-ratings-year'!AY8</f>
        <v>8.4092127616898527</v>
      </c>
      <c r="AL7" s="242">
        <f>'MD-ratings-year'!AZ8</f>
        <v>6.7879397234468648</v>
      </c>
      <c r="AM7" s="242">
        <f>'MD-ratings-year'!BA8</f>
        <v>10</v>
      </c>
      <c r="AN7" s="242">
        <f>'MD-ratings-year'!BB8</f>
        <v>5.3635645853658822</v>
      </c>
      <c r="AO7" s="242">
        <f>'MD-ratings-year'!BC8</f>
        <v>7.6309440835043194</v>
      </c>
      <c r="AP7" s="242">
        <f>'MD-ratings-year'!BD8</f>
        <v>9.3574539881539938</v>
      </c>
      <c r="AQ7" s="242">
        <f>'MD-ratings-year'!BE8</f>
        <v>8.434864965492828</v>
      </c>
      <c r="AR7" s="242">
        <f>'MD-ratings-year'!BF8</f>
        <v>7.5571302036608117</v>
      </c>
      <c r="AS7" s="242">
        <f>'MD-ratings-year'!BG8</f>
        <v>10</v>
      </c>
      <c r="AT7" s="242">
        <f>'MD-ratings-year'!BH8</f>
        <v>4.0785824371609669</v>
      </c>
      <c r="AU7" s="242">
        <f>'MD-ratings-year'!BI8</f>
        <v>8.7507202602011507</v>
      </c>
      <c r="AV7" s="242">
        <f>'MD-ratings-year'!BJ8</f>
        <v>3.8651246945107909</v>
      </c>
      <c r="AW7" s="242">
        <f>'MD-ratings-year'!BK8</f>
        <v>10</v>
      </c>
      <c r="AX7" s="242">
        <f>'MD-ratings-year'!BL8</f>
        <v>7.3433935392023955</v>
      </c>
      <c r="AY7" s="242">
        <f>'MD-ratings-year'!BM8</f>
        <v>6.9707688292762464</v>
      </c>
      <c r="AZ7" s="242">
        <f>'MD-ratings-year'!BN8</f>
        <v>5.8010636791944687</v>
      </c>
      <c r="BA7" s="242">
        <f>'MD-ratings-year'!BO8</f>
        <v>0</v>
      </c>
      <c r="BB7" s="242">
        <f>'MD-ratings-year'!BP8</f>
        <v>4.2615842165300144</v>
      </c>
      <c r="BC7" s="242">
        <f>'MD-ratings-year'!BQ8</f>
        <v>7.1780328632145718</v>
      </c>
      <c r="BD7" s="242">
        <f>'MD-ratings-year'!BR8</f>
        <v>8.038927075473481</v>
      </c>
      <c r="BE7" s="242">
        <f>'MD-ratings-year'!BS8</f>
        <v>2.2095224191546494</v>
      </c>
      <c r="BF7" s="242">
        <f>'MD-ratings-year'!BT8</f>
        <v>5.7451758948785674</v>
      </c>
    </row>
    <row r="8" spans="1:59" ht="15.75" customHeight="1" thickBot="1" x14ac:dyDescent="0.3">
      <c r="A8" s="640"/>
      <c r="B8" s="669"/>
      <c r="C8" s="418">
        <f>'MD-ratings-year'!C9</f>
        <v>0.05</v>
      </c>
      <c r="D8" s="419" t="str">
        <f>'MD-ratings-year'!D9</f>
        <v>ROE - Return on Equity</v>
      </c>
      <c r="E8" s="420" t="str">
        <f>'MD-ratings-year'!E9</f>
        <v>Net Profit ÷ Equity</v>
      </c>
      <c r="F8" s="224" t="s">
        <v>400</v>
      </c>
      <c r="G8" s="653"/>
      <c r="I8" s="242">
        <f>'MD-ratings-year'!W9</f>
        <v>7.4543266534309556</v>
      </c>
      <c r="J8" s="242">
        <f>'MD-ratings-year'!X9</f>
        <v>5.9563693244580271</v>
      </c>
      <c r="K8" s="242">
        <f>'MD-ratings-year'!Y9</f>
        <v>0.50122350359964596</v>
      </c>
      <c r="L8" s="242">
        <f>'MD-ratings-year'!Z9</f>
        <v>5.2242797661217129</v>
      </c>
      <c r="M8" s="242">
        <f>'MD-ratings-year'!AA9</f>
        <v>8.8355864453676549</v>
      </c>
      <c r="N8" s="242">
        <f>'MD-ratings-year'!AB9</f>
        <v>2.890047392210171E-2</v>
      </c>
      <c r="O8" s="242">
        <f>'MD-ratings-year'!AC9</f>
        <v>7.0616452796499853</v>
      </c>
      <c r="P8" s="242">
        <f>'MD-ratings-year'!AD9</f>
        <v>6.8438526165038311</v>
      </c>
      <c r="Q8" s="242">
        <f>'MD-ratings-year'!AE9</f>
        <v>6.2950313968250597</v>
      </c>
      <c r="R8" s="242">
        <f>'MD-ratings-year'!AF9</f>
        <v>2.3124167615999016</v>
      </c>
      <c r="S8" s="242">
        <f>'MD-ratings-year'!AG9</f>
        <v>5.0549271462013881</v>
      </c>
      <c r="T8" s="242">
        <f>'MD-ratings-year'!AH9</f>
        <v>7.2895448491288342</v>
      </c>
      <c r="U8" s="242">
        <f>'MD-ratings-year'!AI9</f>
        <v>8.9456748665158834</v>
      </c>
      <c r="V8" s="242">
        <f>'MD-ratings-year'!AJ9</f>
        <v>0</v>
      </c>
      <c r="W8" s="242">
        <f>'MD-ratings-year'!AK9</f>
        <v>8.8446724965172603</v>
      </c>
      <c r="X8" s="242">
        <f>'MD-ratings-year'!AL9</f>
        <v>3.0910237391607582</v>
      </c>
      <c r="Y8" s="242">
        <f>'MD-ratings-year'!AM9</f>
        <v>7.2994421017058908</v>
      </c>
      <c r="Z8" s="242">
        <f>'MD-ratings-year'!AN9</f>
        <v>9.4052049314376198</v>
      </c>
      <c r="AA8" s="242">
        <f>'MD-ratings-year'!AO9</f>
        <v>5.1207566815033454</v>
      </c>
      <c r="AB8" s="242">
        <f>'MD-ratings-year'!AP9</f>
        <v>5.4115529541694389</v>
      </c>
      <c r="AC8" s="242">
        <f>'MD-ratings-year'!AQ9</f>
        <v>5.1964199147390975</v>
      </c>
      <c r="AD8" s="242">
        <f>'MD-ratings-year'!AR9</f>
        <v>9.4556517965217797</v>
      </c>
      <c r="AE8" s="242">
        <f>'MD-ratings-year'!AS9</f>
        <v>3.7448022966074115</v>
      </c>
      <c r="AF8" s="242">
        <f>'MD-ratings-year'!AT9</f>
        <v>8.073535082691409</v>
      </c>
      <c r="AG8" s="242">
        <f>'MD-ratings-year'!AU9</f>
        <v>10</v>
      </c>
      <c r="AH8" s="242">
        <f>'MD-ratings-year'!AV9</f>
        <v>9.0266846434117571</v>
      </c>
      <c r="AI8" s="242">
        <f>'MD-ratings-year'!AW9</f>
        <v>9.1056358376443924</v>
      </c>
      <c r="AJ8" s="242">
        <f>'MD-ratings-year'!AX9</f>
        <v>3.1841975263768889</v>
      </c>
      <c r="AK8" s="242">
        <f>'MD-ratings-year'!AY9</f>
        <v>7.5022802703380371</v>
      </c>
      <c r="AL8" s="242">
        <f>'MD-ratings-year'!AZ9</f>
        <v>6.1185964511676953</v>
      </c>
      <c r="AM8" s="242">
        <f>'MD-ratings-year'!BA9</f>
        <v>9.4564379738268958</v>
      </c>
      <c r="AN8" s="242">
        <f>'MD-ratings-year'!BB9</f>
        <v>5.4707696329385076</v>
      </c>
      <c r="AO8" s="242">
        <f>'MD-ratings-year'!BC9</f>
        <v>9.1148177736111453</v>
      </c>
      <c r="AP8" s="242">
        <f>'MD-ratings-year'!BD9</f>
        <v>8.5257159632405397</v>
      </c>
      <c r="AQ8" s="242">
        <f>'MD-ratings-year'!BE9</f>
        <v>8.4508019470999365</v>
      </c>
      <c r="AR8" s="242">
        <f>'MD-ratings-year'!BF9</f>
        <v>6.6106759899911589</v>
      </c>
      <c r="AS8" s="242">
        <f>'MD-ratings-year'!BG9</f>
        <v>9.2791959366536148</v>
      </c>
      <c r="AT8" s="242">
        <f>'MD-ratings-year'!BH9</f>
        <v>4.5426999444837337</v>
      </c>
      <c r="AU8" s="242">
        <f>'MD-ratings-year'!BI9</f>
        <v>7.7035233761698816</v>
      </c>
      <c r="AV8" s="242">
        <f>'MD-ratings-year'!BJ9</f>
        <v>4.396221779780455</v>
      </c>
      <c r="AW8" s="242">
        <f>'MD-ratings-year'!BK9</f>
        <v>8.6928785395122592</v>
      </c>
      <c r="AX8" s="242">
        <f>'MD-ratings-year'!BL9</f>
        <v>6.839813758419635</v>
      </c>
      <c r="AY8" s="242">
        <f>'MD-ratings-year'!BM9</f>
        <v>7.3285614214789501</v>
      </c>
      <c r="AZ8" s="242">
        <f>'MD-ratings-year'!BN9</f>
        <v>5.4516977438484311</v>
      </c>
      <c r="BA8" s="242">
        <f>'MD-ratings-year'!BO9</f>
        <v>0</v>
      </c>
      <c r="BB8" s="242">
        <f>'MD-ratings-year'!BP9</f>
        <v>4.3695334618231838</v>
      </c>
      <c r="BC8" s="242">
        <f>'MD-ratings-year'!BQ9</f>
        <v>8.1202186141287598</v>
      </c>
      <c r="BD8" s="242">
        <f>'MD-ratings-year'!BR9</f>
        <v>7.7811363608334263</v>
      </c>
      <c r="BE8" s="242">
        <f>'MD-ratings-year'!BS9</f>
        <v>3.2130305043732008</v>
      </c>
      <c r="BF8" s="242">
        <f>'MD-ratings-year'!BT9</f>
        <v>5.4305078685614161</v>
      </c>
    </row>
    <row r="9" spans="1:59" ht="15.75" customHeight="1" thickBot="1" x14ac:dyDescent="0.3">
      <c r="A9" s="640"/>
      <c r="B9" s="669"/>
      <c r="C9" s="418">
        <f>'MD-ratings-year'!C10</f>
        <v>0.1</v>
      </c>
      <c r="D9" s="419" t="str">
        <f>'MD-ratings-year'!D10</f>
        <v>ROS – Return on Sales</v>
      </c>
      <c r="E9" s="420" t="str">
        <f>'MD-ratings-year'!E10</f>
        <v>Net Profit ÷ Sales</v>
      </c>
      <c r="F9" s="224" t="s">
        <v>400</v>
      </c>
      <c r="G9" s="653"/>
      <c r="I9" s="242">
        <f>'MD-ratings-year'!W10</f>
        <v>9.4965227159962389</v>
      </c>
      <c r="J9" s="242">
        <f>'MD-ratings-year'!X10</f>
        <v>5.5463756618840874</v>
      </c>
      <c r="K9" s="242">
        <f>'MD-ratings-year'!Y10</f>
        <v>0</v>
      </c>
      <c r="L9" s="242">
        <f>'MD-ratings-year'!Z10</f>
        <v>5.9982565831022345</v>
      </c>
      <c r="M9" s="242">
        <f>'MD-ratings-year'!AA10</f>
        <v>10</v>
      </c>
      <c r="N9" s="242">
        <f>'MD-ratings-year'!AB10</f>
        <v>0</v>
      </c>
      <c r="O9" s="242">
        <f>'MD-ratings-year'!AC10</f>
        <v>7.718007030784789</v>
      </c>
      <c r="P9" s="242">
        <f>'MD-ratings-year'!AD10</f>
        <v>8.5081604033380422</v>
      </c>
      <c r="Q9" s="242">
        <f>'MD-ratings-year'!AE10</f>
        <v>7.4463141914135083</v>
      </c>
      <c r="R9" s="242">
        <f>'MD-ratings-year'!AF10</f>
        <v>0.68906536099967486</v>
      </c>
      <c r="S9" s="242">
        <f>'MD-ratings-year'!AG10</f>
        <v>8.1937824079983876</v>
      </c>
      <c r="T9" s="242">
        <f>'MD-ratings-year'!AH10</f>
        <v>8.4580265299351467</v>
      </c>
      <c r="U9" s="242">
        <f>'MD-ratings-year'!AI10</f>
        <v>10</v>
      </c>
      <c r="V9" s="242">
        <f>'MD-ratings-year'!AJ10</f>
        <v>0</v>
      </c>
      <c r="W9" s="242">
        <f>'MD-ratings-year'!AK10</f>
        <v>6.3157768108402683</v>
      </c>
      <c r="X9" s="242">
        <f>'MD-ratings-year'!AL10</f>
        <v>2.0965092443788982</v>
      </c>
      <c r="Y9" s="242">
        <f>'MD-ratings-year'!AM10</f>
        <v>6.9799817043145973</v>
      </c>
      <c r="Z9" s="242">
        <f>'MD-ratings-year'!AN10</f>
        <v>6.8954084486719358</v>
      </c>
      <c r="AA9" s="242">
        <f>'MD-ratings-year'!AO10</f>
        <v>5.2419516133654946</v>
      </c>
      <c r="AB9" s="242">
        <f>'MD-ratings-year'!AP10</f>
        <v>5.2626950447691279</v>
      </c>
      <c r="AC9" s="242">
        <f>'MD-ratings-year'!AQ10</f>
        <v>5.1776252441278539</v>
      </c>
      <c r="AD9" s="242">
        <f>'MD-ratings-year'!AR10</f>
        <v>8.1814988562036568</v>
      </c>
      <c r="AE9" s="242">
        <f>'MD-ratings-year'!AS10</f>
        <v>3.9256666162428138</v>
      </c>
      <c r="AF9" s="242">
        <f>'MD-ratings-year'!AT10</f>
        <v>6.4614742994605123</v>
      </c>
      <c r="AG9" s="242">
        <f>'MD-ratings-year'!AU10</f>
        <v>0</v>
      </c>
      <c r="AH9" s="242">
        <f>'MD-ratings-year'!AV10</f>
        <v>5.1083628942406287</v>
      </c>
      <c r="AI9" s="242">
        <f>'MD-ratings-year'!AW10</f>
        <v>9.1656445517328997</v>
      </c>
      <c r="AJ9" s="242">
        <f>'MD-ratings-year'!AX10</f>
        <v>1.1078981829661707</v>
      </c>
      <c r="AK9" s="242">
        <f>'MD-ratings-year'!AY10</f>
        <v>9.0184247456724158</v>
      </c>
      <c r="AL9" s="242">
        <f>'MD-ratings-year'!AZ10</f>
        <v>6.2264543487086197</v>
      </c>
      <c r="AM9" s="242">
        <f>'MD-ratings-year'!BA10</f>
        <v>9.2580598853235117</v>
      </c>
      <c r="AN9" s="242">
        <f>'MD-ratings-year'!BB10</f>
        <v>5.1057722990017291</v>
      </c>
      <c r="AO9" s="242">
        <f>'MD-ratings-year'!BC10</f>
        <v>9.6385620386608508</v>
      </c>
      <c r="AP9" s="242">
        <f>'MD-ratings-year'!BD10</f>
        <v>7.3473709252192752</v>
      </c>
      <c r="AQ9" s="242">
        <f>'MD-ratings-year'!BE10</f>
        <v>7.8022951530695099</v>
      </c>
      <c r="AR9" s="242">
        <f>'MD-ratings-year'!BF10</f>
        <v>7.1561101201257671</v>
      </c>
      <c r="AS9" s="242">
        <f>'MD-ratings-year'!BG10</f>
        <v>10</v>
      </c>
      <c r="AT9" s="242">
        <f>'MD-ratings-year'!BH10</f>
        <v>1.0942716780362143</v>
      </c>
      <c r="AU9" s="242">
        <f>'MD-ratings-year'!BI10</f>
        <v>9.6621787292963077</v>
      </c>
      <c r="AV9" s="242">
        <f>'MD-ratings-year'!BJ10</f>
        <v>2.0209521632749889</v>
      </c>
      <c r="AW9" s="242">
        <f>'MD-ratings-year'!BK10</f>
        <v>9.7213640730807676</v>
      </c>
      <c r="AX9" s="242">
        <f>'MD-ratings-year'!BL10</f>
        <v>7.1779905234423449</v>
      </c>
      <c r="AY9" s="242">
        <f>'MD-ratings-year'!BM10</f>
        <v>5.9756064383179508</v>
      </c>
      <c r="AZ9" s="242">
        <f>'MD-ratings-year'!BN10</f>
        <v>5.4310885176044623</v>
      </c>
      <c r="BA9" s="242">
        <f>'MD-ratings-year'!BO10</f>
        <v>0</v>
      </c>
      <c r="BB9" s="242">
        <f>'MD-ratings-year'!BP10</f>
        <v>4.4404989541421713</v>
      </c>
      <c r="BC9" s="242">
        <f>'MD-ratings-year'!BQ10</f>
        <v>7.9065367669299889</v>
      </c>
      <c r="BD9" s="242">
        <f>'MD-ratings-year'!BR10</f>
        <v>7.872080909411352</v>
      </c>
      <c r="BE9" s="242">
        <f>'MD-ratings-year'!BS10</f>
        <v>0</v>
      </c>
      <c r="BF9" s="242">
        <f>'MD-ratings-year'!BT10</f>
        <v>5.3736583182090909</v>
      </c>
    </row>
    <row r="10" spans="1:59" s="270" customFormat="1" ht="15.75" customHeight="1" thickBot="1" x14ac:dyDescent="0.3">
      <c r="A10" s="641"/>
      <c r="B10" s="670"/>
      <c r="C10" s="650" t="str">
        <f>'MD-ratings-year'!C11:E11</f>
        <v>Profitability total</v>
      </c>
      <c r="D10" s="651"/>
      <c r="E10" s="652"/>
      <c r="F10" s="270" t="s">
        <v>400</v>
      </c>
      <c r="G10" s="653"/>
      <c r="I10" s="269">
        <f>SUMPRODUCT(I7:I9,$C7:$C9)/SUM($C7:$C9)</f>
        <v>8.7281831775708092</v>
      </c>
      <c r="J10" s="269">
        <f t="shared" ref="J10:BF10" si="1">SUMPRODUCT(J7:J9,$C7:$C9)/SUM($C7:$C9)</f>
        <v>5.8948073981188038</v>
      </c>
      <c r="K10" s="269">
        <f t="shared" si="1"/>
        <v>0.32716643593096018</v>
      </c>
      <c r="L10" s="269">
        <f t="shared" si="1"/>
        <v>5.621679396929057</v>
      </c>
      <c r="M10" s="269">
        <f t="shared" si="1"/>
        <v>9.767117289073532</v>
      </c>
      <c r="N10" s="269">
        <f t="shared" si="1"/>
        <v>5.7800947844203424E-3</v>
      </c>
      <c r="O10" s="269">
        <f t="shared" si="1"/>
        <v>6.9500096732232723</v>
      </c>
      <c r="P10" s="269">
        <f t="shared" si="1"/>
        <v>7.9313314663566024</v>
      </c>
      <c r="Q10" s="269">
        <f t="shared" si="1"/>
        <v>7.1111966088733602</v>
      </c>
      <c r="R10" s="269">
        <f t="shared" si="1"/>
        <v>1.3240424779318183</v>
      </c>
      <c r="S10" s="269">
        <f t="shared" si="1"/>
        <v>6.3229986792671315</v>
      </c>
      <c r="T10" s="269">
        <f t="shared" si="1"/>
        <v>8.0808407123060739</v>
      </c>
      <c r="U10" s="269">
        <f t="shared" si="1"/>
        <v>9.7891349733031774</v>
      </c>
      <c r="V10" s="269">
        <f t="shared" si="1"/>
        <v>0</v>
      </c>
      <c r="W10" s="269">
        <f t="shared" si="1"/>
        <v>7.6793040154133525</v>
      </c>
      <c r="X10" s="269">
        <f t="shared" si="1"/>
        <v>2.312667580309741</v>
      </c>
      <c r="Y10" s="269">
        <f t="shared" si="1"/>
        <v>7.5302990877235558</v>
      </c>
      <c r="Z10" s="269">
        <f t="shared" si="1"/>
        <v>7.7870505869718949</v>
      </c>
      <c r="AA10" s="269">
        <f t="shared" si="1"/>
        <v>5.2234287106211319</v>
      </c>
      <c r="AB10" s="269">
        <f t="shared" si="1"/>
        <v>5.4547354185658277</v>
      </c>
      <c r="AC10" s="269">
        <f t="shared" si="1"/>
        <v>5.2645571513701501</v>
      </c>
      <c r="AD10" s="269">
        <f t="shared" si="1"/>
        <v>9.1637299017858176</v>
      </c>
      <c r="AE10" s="269">
        <f t="shared" si="1"/>
        <v>3.6875108290011571</v>
      </c>
      <c r="AF10" s="269">
        <f t="shared" si="1"/>
        <v>7.0439527238101229</v>
      </c>
      <c r="AG10" s="269">
        <f t="shared" si="1"/>
        <v>2</v>
      </c>
      <c r="AH10" s="269">
        <f t="shared" si="1"/>
        <v>6.3511891242951481</v>
      </c>
      <c r="AI10" s="269">
        <f t="shared" si="1"/>
        <v>9.487384988222038</v>
      </c>
      <c r="AJ10" s="269">
        <f t="shared" si="1"/>
        <v>1.9834364197139687</v>
      </c>
      <c r="AK10" s="269">
        <f t="shared" si="1"/>
        <v>8.4715110570125152</v>
      </c>
      <c r="AL10" s="269">
        <f t="shared" si="1"/>
        <v>6.4294769190957339</v>
      </c>
      <c r="AM10" s="269">
        <f t="shared" si="1"/>
        <v>9.5945115488947845</v>
      </c>
      <c r="AN10" s="269">
        <f t="shared" si="1"/>
        <v>5.2818886803347462</v>
      </c>
      <c r="AO10" s="269">
        <f t="shared" si="1"/>
        <v>8.7307660035882968</v>
      </c>
      <c r="AP10" s="269">
        <f t="shared" si="1"/>
        <v>8.3870731579974152</v>
      </c>
      <c r="AQ10" s="269">
        <f t="shared" si="1"/>
        <v>8.1850244368449232</v>
      </c>
      <c r="AR10" s="269">
        <f t="shared" si="1"/>
        <v>7.2074313275128636</v>
      </c>
      <c r="AS10" s="269">
        <f t="shared" si="1"/>
        <v>9.855839187330723</v>
      </c>
      <c r="AT10" s="269">
        <f t="shared" si="1"/>
        <v>2.9776816349756192</v>
      </c>
      <c r="AU10" s="269">
        <f t="shared" si="1"/>
        <v>8.9058642710329607</v>
      </c>
      <c r="AV10" s="269">
        <f t="shared" si="1"/>
        <v>3.2336750990704033</v>
      </c>
      <c r="AW10" s="269">
        <f t="shared" si="1"/>
        <v>9.6271213371347599</v>
      </c>
      <c r="AX10" s="269">
        <f t="shared" si="1"/>
        <v>7.1765163767418239</v>
      </c>
      <c r="AY10" s="269">
        <f t="shared" si="1"/>
        <v>6.6442623913334691</v>
      </c>
      <c r="AZ10" s="269">
        <f t="shared" si="1"/>
        <v>5.5832004274892588</v>
      </c>
      <c r="BA10" s="269">
        <f t="shared" si="1"/>
        <v>0</v>
      </c>
      <c r="BB10" s="269">
        <f t="shared" si="1"/>
        <v>4.3547399606335109</v>
      </c>
      <c r="BC10" s="269">
        <f t="shared" si="1"/>
        <v>7.6578715748835755</v>
      </c>
      <c r="BD10" s="269">
        <f t="shared" si="1"/>
        <v>7.9206304661206186</v>
      </c>
      <c r="BE10" s="269">
        <f t="shared" si="1"/>
        <v>1.5264150685365001</v>
      </c>
      <c r="BF10" s="269">
        <f t="shared" si="1"/>
        <v>5.5336352589473474</v>
      </c>
    </row>
    <row r="11" spans="1:59" s="259" customFormat="1" ht="15.75" customHeight="1" thickBot="1" x14ac:dyDescent="0.3">
      <c r="A11" s="639">
        <f>'MD-ratings-year'!A12</f>
        <v>0.3</v>
      </c>
      <c r="B11" s="668" t="str">
        <f>'MD-ratings-year'!B12</f>
        <v>Leverage</v>
      </c>
      <c r="C11" s="418">
        <f>'MD-ratings-year'!C12</f>
        <v>0.15</v>
      </c>
      <c r="D11" s="419" t="str">
        <f>'MD-ratings-year'!D12</f>
        <v>Total Debt to Total Assets</v>
      </c>
      <c r="E11" s="420" t="str">
        <f>'MD-ratings-year'!E12</f>
        <v>Total Debt ÷ Total Assets</v>
      </c>
      <c r="F11" s="259" t="s">
        <v>400</v>
      </c>
      <c r="G11" s="653"/>
      <c r="I11" s="262">
        <f>'MD-ratings-year'!W12</f>
        <v>9.013536351447673</v>
      </c>
      <c r="J11" s="262">
        <f>'MD-ratings-year'!X12</f>
        <v>1.0570099196130656</v>
      </c>
      <c r="K11" s="262">
        <f>'MD-ratings-year'!Y12</f>
        <v>0.37384515000660379</v>
      </c>
      <c r="L11" s="262">
        <f>'MD-ratings-year'!Z12</f>
        <v>4.5045597484989992</v>
      </c>
      <c r="M11" s="262">
        <f>'MD-ratings-year'!AA12</f>
        <v>3.147965157155137</v>
      </c>
      <c r="N11" s="262">
        <f>'MD-ratings-year'!AB12</f>
        <v>5.5623650555135029</v>
      </c>
      <c r="O11" s="262">
        <f>'MD-ratings-year'!AC12</f>
        <v>0</v>
      </c>
      <c r="P11" s="262">
        <f>'MD-ratings-year'!AD12</f>
        <v>8.9907484019277213</v>
      </c>
      <c r="Q11" s="262">
        <f>'MD-ratings-year'!AE12</f>
        <v>8.6204671067271352</v>
      </c>
      <c r="R11" s="262">
        <f>'MD-ratings-year'!AF12</f>
        <v>3.7156888746668599</v>
      </c>
      <c r="S11" s="262">
        <f>'MD-ratings-year'!AG12</f>
        <v>1.0004404443309109</v>
      </c>
      <c r="T11" s="262">
        <f>'MD-ratings-year'!AH12</f>
        <v>3.6471830480400245</v>
      </c>
      <c r="U11" s="262">
        <f>'MD-ratings-year'!AI12</f>
        <v>9.091409723969349</v>
      </c>
      <c r="V11" s="262">
        <f>'MD-ratings-year'!AJ12</f>
        <v>1.8699908723517051</v>
      </c>
      <c r="W11" s="262">
        <f>'MD-ratings-year'!AK12</f>
        <v>9.2136341323462592</v>
      </c>
      <c r="X11" s="262">
        <f>'MD-ratings-year'!AL12</f>
        <v>9.3190317516003294</v>
      </c>
      <c r="Y11" s="262">
        <f>'MD-ratings-year'!AM12</f>
        <v>7.9448007615936671</v>
      </c>
      <c r="Z11" s="262">
        <f>'MD-ratings-year'!AN12</f>
        <v>7.8305701047946892</v>
      </c>
      <c r="AA11" s="262">
        <f>'MD-ratings-year'!AO12</f>
        <v>8.2670257414702633</v>
      </c>
      <c r="AB11" s="262">
        <f>'MD-ratings-year'!AP12</f>
        <v>8.5825614811346558</v>
      </c>
      <c r="AC11" s="262">
        <f>'MD-ratings-year'!AQ12</f>
        <v>9.1250053289567443</v>
      </c>
      <c r="AD11" s="262">
        <f>'MD-ratings-year'!AR12</f>
        <v>9.3888062335606399</v>
      </c>
      <c r="AE11" s="262">
        <f>'MD-ratings-year'!AS12</f>
        <v>4.7945991765971971</v>
      </c>
      <c r="AF11" s="262">
        <f>'MD-ratings-year'!AT12</f>
        <v>5.2524202589180042</v>
      </c>
      <c r="AG11" s="262">
        <f>'MD-ratings-year'!AU12</f>
        <v>1.1464987884514741</v>
      </c>
      <c r="AH11" s="262">
        <f>'MD-ratings-year'!AV12</f>
        <v>9.9909299714973692</v>
      </c>
      <c r="AI11" s="262">
        <f>'MD-ratings-year'!AW12</f>
        <v>2.9819003870815441</v>
      </c>
      <c r="AJ11" s="262">
        <f>'MD-ratings-year'!AX12</f>
        <v>9.0394517510354806</v>
      </c>
      <c r="AK11" s="262">
        <f>'MD-ratings-year'!AY12</f>
        <v>2.2982165101200049</v>
      </c>
      <c r="AL11" s="262">
        <f>'MD-ratings-year'!AZ12</f>
        <v>6.9628515629004095</v>
      </c>
      <c r="AM11" s="262">
        <f>'MD-ratings-year'!BA12</f>
        <v>9.0131197724361378</v>
      </c>
      <c r="AN11" s="262">
        <f>'MD-ratings-year'!BB12</f>
        <v>0.53613097221260553</v>
      </c>
      <c r="AO11" s="262">
        <f>'MD-ratings-year'!BC12</f>
        <v>0</v>
      </c>
      <c r="AP11" s="262">
        <f>'MD-ratings-year'!BD12</f>
        <v>9.9872940315786209</v>
      </c>
      <c r="AQ11" s="262">
        <f>'MD-ratings-year'!BE12</f>
        <v>4.472614922246394</v>
      </c>
      <c r="AR11" s="262">
        <f>'MD-ratings-year'!BF12</f>
        <v>9.8758172408247127</v>
      </c>
      <c r="AS11" s="262">
        <f>'MD-ratings-year'!BG12</f>
        <v>9.9785281228289939</v>
      </c>
      <c r="AT11" s="262">
        <f>'MD-ratings-year'!BH12</f>
        <v>9.9841596518629512</v>
      </c>
      <c r="AU11" s="262">
        <f>'MD-ratings-year'!BI12</f>
        <v>9.941216037642155</v>
      </c>
      <c r="AV11" s="262">
        <f>'MD-ratings-year'!BJ12</f>
        <v>6.6298448107705514</v>
      </c>
      <c r="AW11" s="262">
        <f>'MD-ratings-year'!BK12</f>
        <v>10</v>
      </c>
      <c r="AX11" s="262">
        <f>'MD-ratings-year'!BL12</f>
        <v>3.3995177395361482</v>
      </c>
      <c r="AY11" s="262">
        <f>'MD-ratings-year'!BM12</f>
        <v>8.1126025175288579</v>
      </c>
      <c r="AZ11" s="262">
        <f>'MD-ratings-year'!BN12</f>
        <v>6.2507410619986228</v>
      </c>
      <c r="BA11" s="262">
        <f>'MD-ratings-year'!BO12</f>
        <v>6.5638464883607508</v>
      </c>
      <c r="BB11" s="262">
        <f>'MD-ratings-year'!BP12</f>
        <v>6.1419651644451019</v>
      </c>
      <c r="BC11" s="262">
        <f>'MD-ratings-year'!BQ12</f>
        <v>4.3174673917243389</v>
      </c>
      <c r="BD11" s="262">
        <f>'MD-ratings-year'!BR12</f>
        <v>0.32402259000056688</v>
      </c>
      <c r="BE11" s="262">
        <f>'MD-ratings-year'!BS12</f>
        <v>8.1120516731614476</v>
      </c>
      <c r="BF11" s="262">
        <f>'MD-ratings-year'!BT12</f>
        <v>9.3361705543536182</v>
      </c>
    </row>
    <row r="12" spans="1:59" s="243" customFormat="1" ht="15.75" customHeight="1" thickBot="1" x14ac:dyDescent="0.3">
      <c r="A12" s="640"/>
      <c r="B12" s="669"/>
      <c r="C12" s="418">
        <f>'MD-ratings-year'!C13</f>
        <v>0.15</v>
      </c>
      <c r="D12" s="419" t="str">
        <f>'MD-ratings-year'!D13</f>
        <v>Debt-to-EBITDA Ratio</v>
      </c>
      <c r="E12" s="420" t="str">
        <f>'MD-ratings-year'!E13</f>
        <v>Total Debt / Earnings Before Interest Taxes Depreciation &amp; Amortization</v>
      </c>
      <c r="F12" s="243" t="s">
        <v>400</v>
      </c>
      <c r="G12" s="653"/>
      <c r="I12" s="242">
        <f>'MD-ratings-year'!W13</f>
        <v>9.7339339254509305</v>
      </c>
      <c r="J12" s="242">
        <f>'MD-ratings-year'!X13</f>
        <v>3.4718604346489936</v>
      </c>
      <c r="K12" s="242">
        <f>'MD-ratings-year'!Y13</f>
        <v>3.1153236099258477</v>
      </c>
      <c r="L12" s="242">
        <f>'MD-ratings-year'!Z13</f>
        <v>4.4327226776249189</v>
      </c>
      <c r="M12" s="242">
        <f>'MD-ratings-year'!AA13</f>
        <v>10</v>
      </c>
      <c r="N12" s="242">
        <f>'MD-ratings-year'!AB13</f>
        <v>4.7856776711659297</v>
      </c>
      <c r="O12" s="242">
        <f>'MD-ratings-year'!AC13</f>
        <v>0.58503116338230399</v>
      </c>
      <c r="P12" s="242">
        <f>'MD-ratings-year'!AD13</f>
        <v>9.6623674517889011</v>
      </c>
      <c r="Q12" s="242">
        <f>'MD-ratings-year'!AE13</f>
        <v>9.1113913190462643</v>
      </c>
      <c r="R12" s="242">
        <f>'MD-ratings-year'!AF13</f>
        <v>3.641774721921907</v>
      </c>
      <c r="S12" s="242">
        <f>'MD-ratings-year'!AG13</f>
        <v>0</v>
      </c>
      <c r="T12" s="242">
        <f>'MD-ratings-year'!AH13</f>
        <v>7.2038507375839451</v>
      </c>
      <c r="U12" s="242">
        <f>'MD-ratings-year'!AI13</f>
        <v>9.9313587118907698</v>
      </c>
      <c r="V12" s="242">
        <f>'MD-ratings-year'!AJ13</f>
        <v>4.2864993861879181</v>
      </c>
      <c r="W12" s="242">
        <f>'MD-ratings-year'!AK13</f>
        <v>9.9387160187021166</v>
      </c>
      <c r="X12" s="242">
        <f>'MD-ratings-year'!AL13</f>
        <v>4.7848943068315064</v>
      </c>
      <c r="Y12" s="242">
        <f>'MD-ratings-year'!AM13</f>
        <v>9.385349490892466</v>
      </c>
      <c r="Z12" s="242">
        <f>'MD-ratings-year'!AN13</f>
        <v>9.1378672091219038</v>
      </c>
      <c r="AA12" s="242">
        <f>'MD-ratings-year'!AO13</f>
        <v>4.9378753327935412</v>
      </c>
      <c r="AB12" s="242">
        <f>'MD-ratings-year'!AP13</f>
        <v>9.3736948153677186</v>
      </c>
      <c r="AC12" s="242">
        <f>'MD-ratings-year'!AQ13</f>
        <v>7.4995146523921052</v>
      </c>
      <c r="AD12" s="242">
        <f>'MD-ratings-year'!AR13</f>
        <v>9.9276203351111931</v>
      </c>
      <c r="AE12" s="242">
        <f>'MD-ratings-year'!AS13</f>
        <v>3.0419384211794909</v>
      </c>
      <c r="AF12" s="242">
        <f>'MD-ratings-year'!AT13</f>
        <v>6.9991741934248974</v>
      </c>
      <c r="AG12" s="242">
        <f>'MD-ratings-year'!AU13</f>
        <v>4.1837656814840098</v>
      </c>
      <c r="AH12" s="242">
        <f>'MD-ratings-year'!AV13</f>
        <v>9.9862335651462821</v>
      </c>
      <c r="AI12" s="242">
        <f>'MD-ratings-year'!AW13</f>
        <v>8.5235102884527123</v>
      </c>
      <c r="AJ12" s="242">
        <f>'MD-ratings-year'!AX13</f>
        <v>4.772115362430994</v>
      </c>
      <c r="AK12" s="242">
        <f>'MD-ratings-year'!AY13</f>
        <v>6.5034149634606315</v>
      </c>
      <c r="AL12" s="242">
        <f>'MD-ratings-year'!AZ13</f>
        <v>8.1998582824940609</v>
      </c>
      <c r="AM12" s="242">
        <f>'MD-ratings-year'!BA13</f>
        <v>9.944705314833854</v>
      </c>
      <c r="AN12" s="242">
        <f>'MD-ratings-year'!BB13</f>
        <v>1.7151739690649599</v>
      </c>
      <c r="AO12" s="242">
        <f>'MD-ratings-year'!BC13</f>
        <v>2.9838160161188778</v>
      </c>
      <c r="AP12" s="242">
        <f>'MD-ratings-year'!BD13</f>
        <v>9.9987988297817605</v>
      </c>
      <c r="AQ12" s="242">
        <f>'MD-ratings-year'!BE13</f>
        <v>7.6583964435667333</v>
      </c>
      <c r="AR12" s="242">
        <f>'MD-ratings-year'!BF13</f>
        <v>9.9510464490924715</v>
      </c>
      <c r="AS12" s="242">
        <f>'MD-ratings-year'!BG13</f>
        <v>9.998917045680848</v>
      </c>
      <c r="AT12" s="242">
        <f>'MD-ratings-year'!BH13</f>
        <v>4.9786766067373769</v>
      </c>
      <c r="AU12" s="242">
        <f>'MD-ratings-year'!BI13</f>
        <v>9.9898450723549246</v>
      </c>
      <c r="AV12" s="242">
        <f>'MD-ratings-year'!BJ13</f>
        <v>3.0812391434214126</v>
      </c>
      <c r="AW12" s="242">
        <f>'MD-ratings-year'!BK13</f>
        <v>10</v>
      </c>
      <c r="AX12" s="242">
        <f>'MD-ratings-year'!BL13</f>
        <v>6.3224563670581233</v>
      </c>
      <c r="AY12" s="242">
        <f>'MD-ratings-year'!BM13</f>
        <v>8.6587388248580339</v>
      </c>
      <c r="AZ12" s="242">
        <f>'MD-ratings-year'!BN13</f>
        <v>5.103822835343375</v>
      </c>
      <c r="BA12" s="242">
        <f>'MD-ratings-year'!BO13</f>
        <v>4.9094302977006876</v>
      </c>
      <c r="BB12" s="242">
        <f>'MD-ratings-year'!BP13</f>
        <v>2.4223098660983222</v>
      </c>
      <c r="BC12" s="242">
        <f>'MD-ratings-year'!BQ13</f>
        <v>6.9343780164928779</v>
      </c>
      <c r="BD12" s="242">
        <f>'MD-ratings-year'!BR13</f>
        <v>4.5878203345174615</v>
      </c>
      <c r="BE12" s="242">
        <f>'MD-ratings-year'!BS13</f>
        <v>4.5445529211117268</v>
      </c>
      <c r="BF12" s="242">
        <f>'MD-ratings-year'!BT13</f>
        <v>8.3690546678596949</v>
      </c>
    </row>
    <row r="13" spans="1:59" s="266" customFormat="1" ht="15.75" customHeight="1" thickBot="1" x14ac:dyDescent="0.3">
      <c r="A13" s="641"/>
      <c r="B13" s="670"/>
      <c r="C13" s="647" t="str">
        <f>'MD-ratings-year'!C14:E14</f>
        <v>Leverage total</v>
      </c>
      <c r="D13" s="648"/>
      <c r="E13" s="649"/>
      <c r="F13" s="266" t="s">
        <v>400</v>
      </c>
      <c r="G13" s="653"/>
      <c r="I13" s="269">
        <f>SUMPRODUCT(I11:I12,$C11:$C12)/SUM($C11:$C12)</f>
        <v>9.3737351384493017</v>
      </c>
      <c r="J13" s="269">
        <f t="shared" ref="J13:BF13" si="2">SUMPRODUCT(J11:J12,$C11:$C12)/SUM($C11:$C12)</f>
        <v>2.2644351771310296</v>
      </c>
      <c r="K13" s="269">
        <f t="shared" si="2"/>
        <v>1.7445843799662257</v>
      </c>
      <c r="L13" s="269">
        <f t="shared" si="2"/>
        <v>4.468641213061959</v>
      </c>
      <c r="M13" s="269">
        <f t="shared" si="2"/>
        <v>6.573982578577569</v>
      </c>
      <c r="N13" s="269">
        <f t="shared" si="2"/>
        <v>5.1740213633397172</v>
      </c>
      <c r="O13" s="269">
        <f t="shared" si="2"/>
        <v>0.29251558169115199</v>
      </c>
      <c r="P13" s="269">
        <f t="shared" si="2"/>
        <v>9.3265579268583103</v>
      </c>
      <c r="Q13" s="269">
        <f t="shared" si="2"/>
        <v>8.8659292128866998</v>
      </c>
      <c r="R13" s="269">
        <f t="shared" si="2"/>
        <v>3.6787317982943835</v>
      </c>
      <c r="S13" s="269">
        <f t="shared" si="2"/>
        <v>0.50022022216545547</v>
      </c>
      <c r="T13" s="269">
        <f t="shared" si="2"/>
        <v>5.4255168928119852</v>
      </c>
      <c r="U13" s="269">
        <f t="shared" si="2"/>
        <v>9.5113842179300594</v>
      </c>
      <c r="V13" s="269">
        <f t="shared" si="2"/>
        <v>3.0782451292698116</v>
      </c>
      <c r="W13" s="269">
        <f t="shared" si="2"/>
        <v>9.576175075524187</v>
      </c>
      <c r="X13" s="269">
        <f t="shared" si="2"/>
        <v>7.0519630292159174</v>
      </c>
      <c r="Y13" s="269">
        <f t="shared" si="2"/>
        <v>8.6650751262430674</v>
      </c>
      <c r="Z13" s="269">
        <f t="shared" si="2"/>
        <v>8.484218656958296</v>
      </c>
      <c r="AA13" s="269">
        <f t="shared" si="2"/>
        <v>6.6024505371319027</v>
      </c>
      <c r="AB13" s="269">
        <f t="shared" si="2"/>
        <v>8.9781281482511872</v>
      </c>
      <c r="AC13" s="269">
        <f t="shared" si="2"/>
        <v>8.3122599906744252</v>
      </c>
      <c r="AD13" s="269">
        <f t="shared" si="2"/>
        <v>9.6582132843359165</v>
      </c>
      <c r="AE13" s="269">
        <f t="shared" si="2"/>
        <v>3.9182687988883442</v>
      </c>
      <c r="AF13" s="269">
        <f t="shared" si="2"/>
        <v>6.1257972261714508</v>
      </c>
      <c r="AG13" s="269">
        <f t="shared" si="2"/>
        <v>2.665132234967742</v>
      </c>
      <c r="AH13" s="269">
        <f t="shared" si="2"/>
        <v>9.9885817683218274</v>
      </c>
      <c r="AI13" s="269">
        <f t="shared" si="2"/>
        <v>5.7527053377671278</v>
      </c>
      <c r="AJ13" s="269">
        <f t="shared" si="2"/>
        <v>6.9057835567332377</v>
      </c>
      <c r="AK13" s="269">
        <f t="shared" si="2"/>
        <v>4.4008157367903182</v>
      </c>
      <c r="AL13" s="269">
        <f t="shared" si="2"/>
        <v>7.5813549226972361</v>
      </c>
      <c r="AM13" s="269">
        <f t="shared" si="2"/>
        <v>9.4789125436349959</v>
      </c>
      <c r="AN13" s="269">
        <f t="shared" si="2"/>
        <v>1.1256524706387827</v>
      </c>
      <c r="AO13" s="269">
        <f t="shared" si="2"/>
        <v>1.4919080080594389</v>
      </c>
      <c r="AP13" s="269">
        <f t="shared" si="2"/>
        <v>9.9930464306801916</v>
      </c>
      <c r="AQ13" s="269">
        <f t="shared" si="2"/>
        <v>6.0655056829065641</v>
      </c>
      <c r="AR13" s="269">
        <f t="shared" si="2"/>
        <v>9.9134318449585912</v>
      </c>
      <c r="AS13" s="269">
        <f t="shared" si="2"/>
        <v>9.988722584254921</v>
      </c>
      <c r="AT13" s="269">
        <f t="shared" si="2"/>
        <v>7.4814181293001649</v>
      </c>
      <c r="AU13" s="269">
        <f t="shared" si="2"/>
        <v>9.9655305549985389</v>
      </c>
      <c r="AV13" s="269">
        <f t="shared" si="2"/>
        <v>4.8555419770959825</v>
      </c>
      <c r="AW13" s="269">
        <f t="shared" si="2"/>
        <v>10</v>
      </c>
      <c r="AX13" s="269">
        <f t="shared" si="2"/>
        <v>4.8609870532971362</v>
      </c>
      <c r="AY13" s="269">
        <f t="shared" si="2"/>
        <v>8.3856706711934468</v>
      </c>
      <c r="AZ13" s="269">
        <f t="shared" si="2"/>
        <v>5.6772819486709993</v>
      </c>
      <c r="BA13" s="269">
        <f t="shared" si="2"/>
        <v>5.7366383930307192</v>
      </c>
      <c r="BB13" s="269">
        <f t="shared" si="2"/>
        <v>4.282137515271712</v>
      </c>
      <c r="BC13" s="269">
        <f t="shared" si="2"/>
        <v>5.625922704108608</v>
      </c>
      <c r="BD13" s="269">
        <f t="shared" si="2"/>
        <v>2.4559214622590142</v>
      </c>
      <c r="BE13" s="269">
        <f t="shared" si="2"/>
        <v>6.3283022971365872</v>
      </c>
      <c r="BF13" s="269">
        <f t="shared" si="2"/>
        <v>8.8526126111066574</v>
      </c>
    </row>
    <row r="14" spans="1:59" s="243" customFormat="1" ht="15.75" customHeight="1" thickBot="1" x14ac:dyDescent="0.3">
      <c r="A14" s="630">
        <f>'MD-ratings-year'!A15</f>
        <v>0.2</v>
      </c>
      <c r="B14" s="668" t="str">
        <f>'MD-ratings-year'!B15</f>
        <v>Activity</v>
      </c>
      <c r="C14" s="418">
        <f>'MD-ratings-year'!C15</f>
        <v>0.1</v>
      </c>
      <c r="D14" s="419" t="str">
        <f>'MD-ratings-year'!D15</f>
        <v>Working capital turnover ratio</v>
      </c>
      <c r="E14" s="420" t="str">
        <f>'MD-ratings-year'!E15</f>
        <v>Net Sales ÷ ((Beginning Working Capital + Ending Working Capital) / 2) Note: Working Capital = Current Assets Minus Current Liabilities)</v>
      </c>
      <c r="F14" s="243" t="s">
        <v>400</v>
      </c>
      <c r="G14" s="653"/>
      <c r="I14" s="242">
        <f>'MD-ratings-year'!W15</f>
        <v>1.1401025128638123</v>
      </c>
      <c r="J14" s="242">
        <f>'MD-ratings-year'!X15</f>
        <v>7.320654911544108</v>
      </c>
      <c r="K14" s="242">
        <f>'MD-ratings-year'!Y15</f>
        <v>8.0925624390085442</v>
      </c>
      <c r="L14" s="242">
        <f>'MD-ratings-year'!Z15</f>
        <v>3.9820965558221015</v>
      </c>
      <c r="M14" s="242">
        <f>'MD-ratings-year'!AA15</f>
        <v>3.8185465328210055</v>
      </c>
      <c r="N14" s="242">
        <f>'MD-ratings-year'!AB15</f>
        <v>3.3543420797617074</v>
      </c>
      <c r="O14" s="242">
        <f>'MD-ratings-year'!AC15</f>
        <v>0.36001630147520175</v>
      </c>
      <c r="P14" s="242">
        <f>'MD-ratings-year'!AD15</f>
        <v>1.5939489900605615</v>
      </c>
      <c r="Q14" s="242">
        <f>'MD-ratings-year'!AE15</f>
        <v>0.4557624294071887</v>
      </c>
      <c r="R14" s="242">
        <f>'MD-ratings-year'!AF15</f>
        <v>7.9009375242413942</v>
      </c>
      <c r="S14" s="242">
        <f>'MD-ratings-year'!AG15</f>
        <v>1.1400133452698782</v>
      </c>
      <c r="T14" s="242">
        <f>'MD-ratings-year'!AH15</f>
        <v>2.712893478407937</v>
      </c>
      <c r="U14" s="242">
        <f>'MD-ratings-year'!AI15</f>
        <v>3.2973060718495519</v>
      </c>
      <c r="V14" s="242">
        <f>'MD-ratings-year'!AJ15</f>
        <v>5.9427055231649026</v>
      </c>
      <c r="W14" s="242">
        <f>'MD-ratings-year'!AK15</f>
        <v>8.0431156624466844</v>
      </c>
      <c r="X14" s="242">
        <f>'MD-ratings-year'!AL15</f>
        <v>6.5529226906751274</v>
      </c>
      <c r="Y14" s="242">
        <f>'MD-ratings-year'!AM15</f>
        <v>3.8095781194846094</v>
      </c>
      <c r="Z14" s="242">
        <f>'MD-ratings-year'!AN15</f>
        <v>2.9445403121591145</v>
      </c>
      <c r="AA14" s="242">
        <f>'MD-ratings-year'!AO15</f>
        <v>4.3917244555998103</v>
      </c>
      <c r="AB14" s="242">
        <f>'MD-ratings-year'!AP15</f>
        <v>6.2817345789065646</v>
      </c>
      <c r="AC14" s="242">
        <f>'MD-ratings-year'!AQ15</f>
        <v>5.6264936977067546</v>
      </c>
      <c r="AD14" s="242">
        <f>'MD-ratings-year'!AR15</f>
        <v>4.5435958901743625</v>
      </c>
      <c r="AE14" s="242">
        <f>'MD-ratings-year'!AS15</f>
        <v>4.8151716911488691</v>
      </c>
      <c r="AF14" s="242">
        <f>'MD-ratings-year'!AT15</f>
        <v>9.0040224144991949</v>
      </c>
      <c r="AG14" s="242">
        <f>'MD-ratings-year'!AU15</f>
        <v>1.1641239875166665</v>
      </c>
      <c r="AH14" s="242">
        <f>'MD-ratings-year'!AV15</f>
        <v>10</v>
      </c>
      <c r="AI14" s="242">
        <f>'MD-ratings-year'!AW15</f>
        <v>4.7917240572120461</v>
      </c>
      <c r="AJ14" s="242">
        <f>'MD-ratings-year'!AX15</f>
        <v>8.771467027400746</v>
      </c>
      <c r="AK14" s="242">
        <f>'MD-ratings-year'!AY15</f>
        <v>3.3700665019193585</v>
      </c>
      <c r="AL14" s="242">
        <f>'MD-ratings-year'!AZ15</f>
        <v>4.0468763015214355</v>
      </c>
      <c r="AM14" s="242">
        <f>'MD-ratings-year'!BA15</f>
        <v>4.2329067651495276</v>
      </c>
      <c r="AN14" s="242">
        <f>'MD-ratings-year'!BB15</f>
        <v>6.2604387075838623</v>
      </c>
      <c r="AO14" s="242">
        <f>'MD-ratings-year'!BC15</f>
        <v>4.0502833054889091</v>
      </c>
      <c r="AP14" s="242">
        <f>'MD-ratings-year'!BD15</f>
        <v>4.5812762092757158</v>
      </c>
      <c r="AQ14" s="242">
        <f>'MD-ratings-year'!BE15</f>
        <v>4.0478037136894036</v>
      </c>
      <c r="AR14" s="242">
        <f>'MD-ratings-year'!BF15</f>
        <v>2.3340059578088539</v>
      </c>
      <c r="AS14" s="242">
        <f>'MD-ratings-year'!BG15</f>
        <v>1.1180447169146444</v>
      </c>
      <c r="AT14" s="242">
        <f>'MD-ratings-year'!BH15</f>
        <v>3.3648039127532434</v>
      </c>
      <c r="AU14" s="242">
        <f>'MD-ratings-year'!BI15</f>
        <v>4.8961914454266848</v>
      </c>
      <c r="AV14" s="242">
        <f>'MD-ratings-year'!BJ15</f>
        <v>0.32711826566127006</v>
      </c>
      <c r="AW14" s="242">
        <f>'MD-ratings-year'!BK15</f>
        <v>2.1873333649700912</v>
      </c>
      <c r="AX14" s="242">
        <f>'MD-ratings-year'!BL15</f>
        <v>3.3065380671809885</v>
      </c>
      <c r="AY14" s="242">
        <f>'MD-ratings-year'!BM15</f>
        <v>6.3604815627741917</v>
      </c>
      <c r="AZ14" s="242">
        <f>'MD-ratings-year'!BN15</f>
        <v>3.6514800457320633</v>
      </c>
      <c r="BA14" s="242">
        <f>'MD-ratings-year'!BO15</f>
        <v>7.8537495197689271</v>
      </c>
      <c r="BB14" s="242">
        <f>'MD-ratings-year'!BP15</f>
        <v>4.1810911534995254</v>
      </c>
      <c r="BC14" s="242">
        <f>'MD-ratings-year'!BQ15</f>
        <v>1.9547566191813197</v>
      </c>
      <c r="BD14" s="242">
        <f>'MD-ratings-year'!BR15</f>
        <v>6.9706916386995728</v>
      </c>
      <c r="BE14" s="242">
        <f>'MD-ratings-year'!BS15</f>
        <v>1.9947812082115468</v>
      </c>
      <c r="BF14" s="242">
        <f>'MD-ratings-year'!BT15</f>
        <v>4.8739366769024448</v>
      </c>
    </row>
    <row r="15" spans="1:59" ht="15.75" customHeight="1" thickBot="1" x14ac:dyDescent="0.3">
      <c r="A15" s="631"/>
      <c r="B15" s="669"/>
      <c r="C15" s="418">
        <f>'MD-ratings-year'!C16</f>
        <v>0.1</v>
      </c>
      <c r="D15" s="419" t="str">
        <f>'MD-ratings-year'!D16</f>
        <v>Accounts receivable turnover ratio</v>
      </c>
      <c r="E15" s="420" t="str">
        <f>'MD-ratings-year'!E16</f>
        <v>Net Sales ÷ ((Beginning Accounts Receivable + Ending Accounts Receivable) / 2)</v>
      </c>
      <c r="F15" s="224" t="s">
        <v>400</v>
      </c>
      <c r="G15" s="653"/>
      <c r="I15" s="242">
        <f>'MD-ratings-year'!W16</f>
        <v>1.9390650245502259</v>
      </c>
      <c r="J15" s="242">
        <f>'MD-ratings-year'!X16</f>
        <v>7.6250032458164458</v>
      </c>
      <c r="K15" s="242">
        <f>'MD-ratings-year'!Y16</f>
        <v>1.7020205757837812</v>
      </c>
      <c r="L15" s="242">
        <f>'MD-ratings-year'!Z16</f>
        <v>3.3491331343243105</v>
      </c>
      <c r="M15" s="242">
        <f>'MD-ratings-year'!AA16</f>
        <v>8.6063919254308701</v>
      </c>
      <c r="N15" s="242">
        <f>'MD-ratings-year'!AB16</f>
        <v>6.7272787390078177</v>
      </c>
      <c r="O15" s="242">
        <f>'MD-ratings-year'!AC16</f>
        <v>4.3486614927180129</v>
      </c>
      <c r="P15" s="242">
        <f>'MD-ratings-year'!AD16</f>
        <v>4.2742972341091336</v>
      </c>
      <c r="Q15" s="242">
        <f>'MD-ratings-year'!AE16</f>
        <v>9.4054504609784395</v>
      </c>
      <c r="R15" s="242">
        <f>'MD-ratings-year'!AF16</f>
        <v>6.335171612070968</v>
      </c>
      <c r="S15" s="242">
        <f>'MD-ratings-year'!AG16</f>
        <v>1.8869542977461156</v>
      </c>
      <c r="T15" s="242">
        <f>'MD-ratings-year'!AH16</f>
        <v>0.97122638683360429</v>
      </c>
      <c r="U15" s="242">
        <f>'MD-ratings-year'!AI16</f>
        <v>5.2070618145770133</v>
      </c>
      <c r="V15" s="242">
        <f>'MD-ratings-year'!AJ16</f>
        <v>2.8817117388027267</v>
      </c>
      <c r="W15" s="242">
        <f>'MD-ratings-year'!AK16</f>
        <v>8.029644370650221</v>
      </c>
      <c r="X15" s="242">
        <f>'MD-ratings-year'!AL16</f>
        <v>4.0731332826608764</v>
      </c>
      <c r="Y15" s="242">
        <f>'MD-ratings-year'!AM16</f>
        <v>3.3053600751760794</v>
      </c>
      <c r="Z15" s="242">
        <f>'MD-ratings-year'!AN16</f>
        <v>9.2984744191408897</v>
      </c>
      <c r="AA15" s="242">
        <f>'MD-ratings-year'!AO16</f>
        <v>3.4232031891870003</v>
      </c>
      <c r="AB15" s="242">
        <f>'MD-ratings-year'!AP16</f>
        <v>10</v>
      </c>
      <c r="AC15" s="242">
        <f>'MD-ratings-year'!AQ16</f>
        <v>4.4627369608378151</v>
      </c>
      <c r="AD15" s="242">
        <f>'MD-ratings-year'!AR16</f>
        <v>4.6887191008635902</v>
      </c>
      <c r="AE15" s="242">
        <f>'MD-ratings-year'!AS16</f>
        <v>4.4516517256374613</v>
      </c>
      <c r="AF15" s="242">
        <f>'MD-ratings-year'!AT16</f>
        <v>2.9447543374953247</v>
      </c>
      <c r="AG15" s="242">
        <f>'MD-ratings-year'!AU16</f>
        <v>0.82166234558148143</v>
      </c>
      <c r="AH15" s="242">
        <f>'MD-ratings-year'!AV16</f>
        <v>4.2756002376629922</v>
      </c>
      <c r="AI15" s="242">
        <f>'MD-ratings-year'!AW16</f>
        <v>10</v>
      </c>
      <c r="AJ15" s="242">
        <f>'MD-ratings-year'!AX16</f>
        <v>3.0427494081116557</v>
      </c>
      <c r="AK15" s="242">
        <f>'MD-ratings-year'!AY16</f>
        <v>0</v>
      </c>
      <c r="AL15" s="242">
        <f>'MD-ratings-year'!AZ16</f>
        <v>9.8366078882679364</v>
      </c>
      <c r="AM15" s="242">
        <f>'MD-ratings-year'!BA16</f>
        <v>10</v>
      </c>
      <c r="AN15" s="242">
        <f>'MD-ratings-year'!BB16</f>
        <v>6.4374006902257648</v>
      </c>
      <c r="AO15" s="242">
        <f>'MD-ratings-year'!BC16</f>
        <v>0</v>
      </c>
      <c r="AP15" s="242">
        <f>'MD-ratings-year'!BD16</f>
        <v>8.7042468155209924</v>
      </c>
      <c r="AQ15" s="242">
        <f>'MD-ratings-year'!BE16</f>
        <v>4.7282670973657366</v>
      </c>
      <c r="AR15" s="242">
        <f>'MD-ratings-year'!BF16</f>
        <v>2.7910066561330984</v>
      </c>
      <c r="AS15" s="242">
        <f>'MD-ratings-year'!BG16</f>
        <v>6.0904430108897989</v>
      </c>
      <c r="AT15" s="242">
        <f>'MD-ratings-year'!BH16</f>
        <v>6.0108460135939943</v>
      </c>
      <c r="AU15" s="242">
        <f>'MD-ratings-year'!BI16</f>
        <v>0</v>
      </c>
      <c r="AV15" s="242">
        <f>'MD-ratings-year'!BJ16</f>
        <v>4.3991846428260617</v>
      </c>
      <c r="AW15" s="242">
        <f>'MD-ratings-year'!BK16</f>
        <v>6.7926334225773317</v>
      </c>
      <c r="AX15" s="242">
        <f>'MD-ratings-year'!BL16</f>
        <v>4.3838507909982143</v>
      </c>
      <c r="AY15" s="242">
        <f>'MD-ratings-year'!BM16</f>
        <v>2.2687496484389427</v>
      </c>
      <c r="AZ15" s="242">
        <f>'MD-ratings-year'!BN16</f>
        <v>6.1921811065580048</v>
      </c>
      <c r="BA15" s="242">
        <f>'MD-ratings-year'!BO16</f>
        <v>1.4982123202135005</v>
      </c>
      <c r="BB15" s="242">
        <f>'MD-ratings-year'!BP16</f>
        <v>0.71728960778645368</v>
      </c>
      <c r="BC15" s="242">
        <f>'MD-ratings-year'!BQ16</f>
        <v>0</v>
      </c>
      <c r="BD15" s="242">
        <f>'MD-ratings-year'!BR16</f>
        <v>7.406531485105134</v>
      </c>
      <c r="BE15" s="242">
        <f>'MD-ratings-year'!BS16</f>
        <v>0</v>
      </c>
      <c r="BF15" s="242">
        <f>'MD-ratings-year'!BT16</f>
        <v>3.4067988329471963</v>
      </c>
    </row>
    <row r="16" spans="1:59" s="270" customFormat="1" ht="15.75" customHeight="1" thickBot="1" x14ac:dyDescent="0.3">
      <c r="A16" s="632"/>
      <c r="B16" s="670"/>
      <c r="C16" s="650" t="str">
        <f>'MD-ratings-year'!C17:E17</f>
        <v>Activity total</v>
      </c>
      <c r="D16" s="651"/>
      <c r="E16" s="652"/>
      <c r="F16" s="270" t="s">
        <v>400</v>
      </c>
      <c r="G16" s="653"/>
      <c r="I16" s="269">
        <f>SUMPRODUCT(I14:I15,$C14:$C15)/SUM($C14:$C15)</f>
        <v>1.5395837687070191</v>
      </c>
      <c r="J16" s="269">
        <f t="shared" ref="J16:BF16" si="3">SUMPRODUCT(J14:J15,$C14:$C15)/SUM($C14:$C15)</f>
        <v>7.4728290786802773</v>
      </c>
      <c r="K16" s="269">
        <f t="shared" si="3"/>
        <v>4.8972915073961625</v>
      </c>
      <c r="L16" s="269">
        <f t="shared" si="3"/>
        <v>3.6656148450732062</v>
      </c>
      <c r="M16" s="269">
        <f t="shared" si="3"/>
        <v>6.2124692291259382</v>
      </c>
      <c r="N16" s="269">
        <f t="shared" si="3"/>
        <v>5.0408104093847621</v>
      </c>
      <c r="O16" s="269">
        <f t="shared" si="3"/>
        <v>2.3543388970966075</v>
      </c>
      <c r="P16" s="269">
        <f t="shared" si="3"/>
        <v>2.9341231120848477</v>
      </c>
      <c r="Q16" s="269">
        <f t="shared" si="3"/>
        <v>4.9306064451928133</v>
      </c>
      <c r="R16" s="269">
        <f t="shared" si="3"/>
        <v>7.1180545681561824</v>
      </c>
      <c r="S16" s="269">
        <f t="shared" si="3"/>
        <v>1.5134838215079971</v>
      </c>
      <c r="T16" s="269">
        <f t="shared" si="3"/>
        <v>1.8420599326207709</v>
      </c>
      <c r="U16" s="269">
        <f t="shared" si="3"/>
        <v>4.2521839432132822</v>
      </c>
      <c r="V16" s="269">
        <f t="shared" si="3"/>
        <v>4.4122086309838142</v>
      </c>
      <c r="W16" s="269">
        <f t="shared" si="3"/>
        <v>8.0363800165484527</v>
      </c>
      <c r="X16" s="269">
        <f t="shared" si="3"/>
        <v>5.3130279866680015</v>
      </c>
      <c r="Y16" s="269">
        <f t="shared" si="3"/>
        <v>3.5574690973303444</v>
      </c>
      <c r="Z16" s="269">
        <f t="shared" si="3"/>
        <v>6.1215073656500012</v>
      </c>
      <c r="AA16" s="269">
        <f t="shared" si="3"/>
        <v>3.9074638223934053</v>
      </c>
      <c r="AB16" s="269">
        <f t="shared" si="3"/>
        <v>8.140867289453281</v>
      </c>
      <c r="AC16" s="269">
        <f t="shared" si="3"/>
        <v>5.0446153292722844</v>
      </c>
      <c r="AD16" s="269">
        <f t="shared" si="3"/>
        <v>4.6161574955189764</v>
      </c>
      <c r="AE16" s="269">
        <f t="shared" si="3"/>
        <v>4.6334117083931652</v>
      </c>
      <c r="AF16" s="269">
        <f t="shared" si="3"/>
        <v>5.9743883759972602</v>
      </c>
      <c r="AG16" s="269">
        <f t="shared" si="3"/>
        <v>0.99289316654907389</v>
      </c>
      <c r="AH16" s="269">
        <f t="shared" si="3"/>
        <v>7.1378001188314961</v>
      </c>
      <c r="AI16" s="269">
        <f t="shared" si="3"/>
        <v>7.3958620286060226</v>
      </c>
      <c r="AJ16" s="269">
        <f t="shared" si="3"/>
        <v>5.9071082177562007</v>
      </c>
      <c r="AK16" s="269">
        <f t="shared" si="3"/>
        <v>1.6850332509596793</v>
      </c>
      <c r="AL16" s="269">
        <f t="shared" si="3"/>
        <v>6.9417420948946855</v>
      </c>
      <c r="AM16" s="269">
        <f t="shared" si="3"/>
        <v>7.1164533825747629</v>
      </c>
      <c r="AN16" s="269">
        <f t="shared" si="3"/>
        <v>6.3489196989048136</v>
      </c>
      <c r="AO16" s="269">
        <f t="shared" si="3"/>
        <v>2.0251416527444546</v>
      </c>
      <c r="AP16" s="269">
        <f t="shared" si="3"/>
        <v>6.6427615123983541</v>
      </c>
      <c r="AQ16" s="269">
        <f t="shared" si="3"/>
        <v>4.3880354055275701</v>
      </c>
      <c r="AR16" s="269">
        <f t="shared" si="3"/>
        <v>2.5625063069709761</v>
      </c>
      <c r="AS16" s="269">
        <f t="shared" si="3"/>
        <v>3.6042438639022216</v>
      </c>
      <c r="AT16" s="269">
        <f t="shared" si="3"/>
        <v>4.6878249631736191</v>
      </c>
      <c r="AU16" s="269">
        <f t="shared" si="3"/>
        <v>2.4480957227133424</v>
      </c>
      <c r="AV16" s="269">
        <f t="shared" si="3"/>
        <v>2.363151454243666</v>
      </c>
      <c r="AW16" s="269">
        <f t="shared" si="3"/>
        <v>4.489983393773711</v>
      </c>
      <c r="AX16" s="269">
        <f t="shared" si="3"/>
        <v>3.845194429089601</v>
      </c>
      <c r="AY16" s="269">
        <f t="shared" si="3"/>
        <v>4.3146156056065665</v>
      </c>
      <c r="AZ16" s="269">
        <f t="shared" si="3"/>
        <v>4.9218305761450338</v>
      </c>
      <c r="BA16" s="269">
        <f t="shared" si="3"/>
        <v>4.6759809199912139</v>
      </c>
      <c r="BB16" s="269">
        <f t="shared" si="3"/>
        <v>2.4491903806429893</v>
      </c>
      <c r="BC16" s="269">
        <f t="shared" si="3"/>
        <v>0.97737830959065986</v>
      </c>
      <c r="BD16" s="269">
        <f t="shared" si="3"/>
        <v>7.1886115619023538</v>
      </c>
      <c r="BE16" s="269">
        <f t="shared" si="3"/>
        <v>0.9973906041057734</v>
      </c>
      <c r="BF16" s="269">
        <f t="shared" si="3"/>
        <v>4.1403677549248208</v>
      </c>
    </row>
    <row r="17" spans="1:58" s="273" customFormat="1" ht="15.75" customHeight="1" thickBot="1" x14ac:dyDescent="0.3">
      <c r="A17" s="591">
        <f>'MD-ratings-year'!A18</f>
        <v>1</v>
      </c>
      <c r="B17" s="671" t="str">
        <f>'MD-ratings-year'!B18:E18</f>
        <v>Total</v>
      </c>
      <c r="C17" s="672"/>
      <c r="D17" s="672"/>
      <c r="E17" s="673"/>
      <c r="F17" s="273" t="s">
        <v>400</v>
      </c>
      <c r="G17" s="654"/>
      <c r="I17" s="274">
        <f>(I6*$A3+I10*$A7+I13*$A11+I16*$A14)/($A3+$A7+$A11+$A14)</f>
        <v>6.9302847305833062</v>
      </c>
      <c r="J17" s="274">
        <f t="shared" ref="J17:BF17" si="4">(J6*$A3+J10*$A7+J13*$A11+J16*$A14)/($A3+$A7+$A11+$A14)</f>
        <v>4.439209115164708</v>
      </c>
      <c r="K17" s="274">
        <f t="shared" si="4"/>
        <v>2.3456051516135759</v>
      </c>
      <c r="L17" s="274">
        <f t="shared" si="4"/>
        <v>4.1943998420703004</v>
      </c>
      <c r="M17" s="274">
        <f t="shared" si="4"/>
        <v>5.8057036031453588</v>
      </c>
      <c r="N17" s="274">
        <f t="shared" si="4"/>
        <v>3.10228206921186</v>
      </c>
      <c r="O17" s="274">
        <f t="shared" si="4"/>
        <v>4.6095790825336334</v>
      </c>
      <c r="P17" s="274">
        <f t="shared" si="4"/>
        <v>7.1802483683382423</v>
      </c>
      <c r="Q17" s="274">
        <f t="shared" si="4"/>
        <v>7.8397169682657104</v>
      </c>
      <c r="R17" s="274">
        <f t="shared" si="4"/>
        <v>3.4106815624725586</v>
      </c>
      <c r="S17" s="274">
        <f t="shared" si="4"/>
        <v>3.0918915930809341</v>
      </c>
      <c r="T17" s="274">
        <f t="shared" si="4"/>
        <v>5.0742419611519907</v>
      </c>
      <c r="U17" s="274">
        <f t="shared" si="4"/>
        <v>7.9487350202392326</v>
      </c>
      <c r="V17" s="274">
        <f t="shared" si="4"/>
        <v>2.8395283809976148</v>
      </c>
      <c r="W17" s="274">
        <f t="shared" si="4"/>
        <v>7.2914738902577199</v>
      </c>
      <c r="X17" s="274">
        <f t="shared" si="4"/>
        <v>4.9698550812203344</v>
      </c>
      <c r="Y17" s="274">
        <f t="shared" si="4"/>
        <v>6.754839123899794</v>
      </c>
      <c r="Z17" s="274">
        <f t="shared" si="4"/>
        <v>6.1983089598503467</v>
      </c>
      <c r="AA17" s="274">
        <f t="shared" si="4"/>
        <v>5.6259577304274604</v>
      </c>
      <c r="AB17" s="274">
        <f t="shared" si="4"/>
        <v>6.8129432322568624</v>
      </c>
      <c r="AC17" s="274">
        <f t="shared" si="4"/>
        <v>6.2262385456782257</v>
      </c>
      <c r="AD17" s="274">
        <f t="shared" si="4"/>
        <v>8.4986341801353831</v>
      </c>
      <c r="AE17" s="274">
        <f t="shared" si="4"/>
        <v>3.47212698998979</v>
      </c>
      <c r="AF17" s="274">
        <f t="shared" si="4"/>
        <v>5.803095485192018</v>
      </c>
      <c r="AG17" s="274">
        <f t="shared" si="4"/>
        <v>1.9834535219042158</v>
      </c>
      <c r="AH17" s="274">
        <f t="shared" si="4"/>
        <v>6.9199175709899876</v>
      </c>
      <c r="AI17" s="274">
        <f t="shared" si="4"/>
        <v>6.9532617585095871</v>
      </c>
      <c r="AJ17" s="274">
        <f t="shared" si="4"/>
        <v>4.5560138536543651</v>
      </c>
      <c r="AK17" s="274">
        <f t="shared" si="4"/>
        <v>4.0754742655065748</v>
      </c>
      <c r="AL17" s="274">
        <f t="shared" si="4"/>
        <v>6.8392101087519359</v>
      </c>
      <c r="AM17" s="274">
        <f t="shared" si="4"/>
        <v>8.6306840002671681</v>
      </c>
      <c r="AN17" s="274">
        <f t="shared" si="4"/>
        <v>3.3473177147021165</v>
      </c>
      <c r="AO17" s="274">
        <f t="shared" si="4"/>
        <v>5.5352922338637969</v>
      </c>
      <c r="AP17" s="274">
        <f t="shared" si="4"/>
        <v>8.101633088944947</v>
      </c>
      <c r="AQ17" s="274">
        <f t="shared" si="4"/>
        <v>5.1879273183351788</v>
      </c>
      <c r="AR17" s="274">
        <f t="shared" si="4"/>
        <v>7.4420184921110684</v>
      </c>
      <c r="AS17" s="274">
        <f t="shared" si="4"/>
        <v>7.9599682286293056</v>
      </c>
      <c r="AT17" s="274">
        <f t="shared" si="4"/>
        <v>6.3002737383589134</v>
      </c>
      <c r="AU17" s="274">
        <f t="shared" si="4"/>
        <v>6.0064416940948639</v>
      </c>
      <c r="AV17" s="274">
        <f t="shared" si="4"/>
        <v>4.9182633972248615</v>
      </c>
      <c r="AW17" s="274">
        <f t="shared" si="4"/>
        <v>8.8047770130384322</v>
      </c>
      <c r="AX17" s="274">
        <f t="shared" si="4"/>
        <v>4.6003756001502873</v>
      </c>
      <c r="AY17" s="274">
        <f t="shared" si="4"/>
        <v>5.908022244015231</v>
      </c>
      <c r="AZ17" s="274">
        <f t="shared" si="4"/>
        <v>5.2191182267178213</v>
      </c>
      <c r="BA17" s="274">
        <f t="shared" si="4"/>
        <v>3.580884726495313</v>
      </c>
      <c r="BB17" s="274">
        <f t="shared" si="4"/>
        <v>3.5966243228405106</v>
      </c>
      <c r="BC17" s="274">
        <f t="shared" si="4"/>
        <v>4.1353650776071378</v>
      </c>
      <c r="BD17" s="274">
        <f t="shared" si="4"/>
        <v>5.3113336491055634</v>
      </c>
      <c r="BE17" s="274">
        <f t="shared" si="4"/>
        <v>2.6400916506108629</v>
      </c>
      <c r="BF17" s="274">
        <f t="shared" si="4"/>
        <v>6.0185266358984357</v>
      </c>
    </row>
    <row r="18" spans="1:58" ht="15.75" customHeight="1" x14ac:dyDescent="0.25">
      <c r="A18" s="243"/>
      <c r="B18" s="243"/>
      <c r="C18" s="246"/>
      <c r="D18" s="243"/>
      <c r="E18" s="247"/>
      <c r="F18" s="224" t="s">
        <v>400</v>
      </c>
    </row>
    <row r="19" spans="1:58" ht="15.75" customHeight="1" thickBot="1" x14ac:dyDescent="0.3">
      <c r="F19" s="224" t="s">
        <v>400</v>
      </c>
    </row>
    <row r="20" spans="1:58" s="259" customFormat="1" ht="15.75" customHeight="1" thickBot="1" x14ac:dyDescent="0.3">
      <c r="A20" s="639">
        <f>'MD-ratings-year'!A21</f>
        <v>0.25</v>
      </c>
      <c r="B20" s="668" t="str">
        <f>'MD-ratings-year'!B21</f>
        <v>Liquidity</v>
      </c>
      <c r="C20" s="418">
        <f>'MD-ratings-year'!C21</f>
        <v>8.3333333333333329E-2</v>
      </c>
      <c r="D20" s="419" t="str">
        <f>'MD-ratings-year'!D21</f>
        <v>Current Ratio</v>
      </c>
      <c r="E20" s="420" t="str">
        <f>'MD-ratings-year'!E21</f>
        <v>Current Assets ÷ Current Liabilities</v>
      </c>
      <c r="F20" s="259" t="s">
        <v>400</v>
      </c>
      <c r="G20" s="653">
        <v>2016</v>
      </c>
      <c r="I20" s="262">
        <f>('MD-ratings-year'!W21*'MD-ratings-year'!$I21+'MD-ratings-year'!W4*'MD-ratings-year'!$H4)/('MD-ratings-year'!$I21+'MD-ratings-year'!$H4)</f>
        <v>9.6805497408148788</v>
      </c>
      <c r="J20" s="262">
        <f>('MD-ratings-year'!X21*'MD-ratings-year'!$I21+'MD-ratings-year'!X4*'MD-ratings-year'!$H4)/('MD-ratings-year'!$I21+'MD-ratings-year'!$H4)</f>
        <v>4.6782727957532177</v>
      </c>
      <c r="K20" s="262">
        <f>('MD-ratings-year'!Y21*'MD-ratings-year'!$I21+'MD-ratings-year'!Y4*'MD-ratings-year'!$H4)/('MD-ratings-year'!$I21+'MD-ratings-year'!$H4)</f>
        <v>7.084838027509698</v>
      </c>
      <c r="L20" s="262">
        <f>('MD-ratings-year'!Z21*'MD-ratings-year'!$I21+'MD-ratings-year'!Z4*'MD-ratings-year'!$H4)/('MD-ratings-year'!$I21+'MD-ratings-year'!$H4)</f>
        <v>6.0679957970196927</v>
      </c>
      <c r="M20" s="262">
        <f>('MD-ratings-year'!AA21*'MD-ratings-year'!$I21+'MD-ratings-year'!AA4*'MD-ratings-year'!$H4)/('MD-ratings-year'!$I21+'MD-ratings-year'!$H4)</f>
        <v>0.82465885020458951</v>
      </c>
      <c r="N20" s="262">
        <f>('MD-ratings-year'!AB21*'MD-ratings-year'!$I21+'MD-ratings-year'!AB4*'MD-ratings-year'!$H4)/('MD-ratings-year'!$I21+'MD-ratings-year'!$H4)</f>
        <v>4.3952376805285143</v>
      </c>
      <c r="O20" s="262">
        <f>('MD-ratings-year'!AC21*'MD-ratings-year'!$I21+'MD-ratings-year'!AC4*'MD-ratings-year'!$H4)/('MD-ratings-year'!$I21+'MD-ratings-year'!$H4)</f>
        <v>10</v>
      </c>
      <c r="P20" s="262">
        <f>('MD-ratings-year'!AD21*'MD-ratings-year'!$I21+'MD-ratings-year'!AD4*'MD-ratings-year'!$H4)/('MD-ratings-year'!$I21+'MD-ratings-year'!$H4)</f>
        <v>10</v>
      </c>
      <c r="Q20" s="262">
        <f>('MD-ratings-year'!AE21*'MD-ratings-year'!$I21+'MD-ratings-year'!AE4*'MD-ratings-year'!$H4)/('MD-ratings-year'!$I21+'MD-ratings-year'!$H4)</f>
        <v>10</v>
      </c>
      <c r="R20" s="262">
        <f>('MD-ratings-year'!AF21*'MD-ratings-year'!$I21+'MD-ratings-year'!AF4*'MD-ratings-year'!$H4)/('MD-ratings-year'!$I21+'MD-ratings-year'!$H4)</f>
        <v>3.7980612190476899</v>
      </c>
      <c r="S20" s="262">
        <f>('MD-ratings-year'!AG21*'MD-ratings-year'!$I21+'MD-ratings-year'!AG4*'MD-ratings-year'!$H4)/('MD-ratings-year'!$I21+'MD-ratings-year'!$H4)</f>
        <v>4.662390657251053</v>
      </c>
      <c r="T20" s="262">
        <f>('MD-ratings-year'!AH21*'MD-ratings-year'!$I21+'MD-ratings-year'!AH4*'MD-ratings-year'!$H4)/('MD-ratings-year'!$I21+'MD-ratings-year'!$H4)</f>
        <v>7.7028299306838051</v>
      </c>
      <c r="U20" s="262">
        <f>('MD-ratings-year'!AI21*'MD-ratings-year'!$I21+'MD-ratings-year'!AI4*'MD-ratings-year'!$H4)/('MD-ratings-year'!$I21+'MD-ratings-year'!$H4)</f>
        <v>7.0237507191597279</v>
      </c>
      <c r="V20" s="262">
        <f>('MD-ratings-year'!AJ21*'MD-ratings-year'!$I21+'MD-ratings-year'!AJ4*'MD-ratings-year'!$H4)/('MD-ratings-year'!$I21+'MD-ratings-year'!$H4)</f>
        <v>5.1711604284236534</v>
      </c>
      <c r="W20" s="262">
        <f>('MD-ratings-year'!AK21*'MD-ratings-year'!$I21+'MD-ratings-year'!AK4*'MD-ratings-year'!$H4)/('MD-ratings-year'!$I21+'MD-ratings-year'!$H4)</f>
        <v>3.4314302599136317</v>
      </c>
      <c r="X20" s="262">
        <f>('MD-ratings-year'!AL21*'MD-ratings-year'!$I21+'MD-ratings-year'!AL4*'MD-ratings-year'!$H4)/('MD-ratings-year'!$I21+'MD-ratings-year'!$H4)</f>
        <v>6.16124493273312</v>
      </c>
      <c r="Y20" s="262">
        <f>('MD-ratings-year'!AM21*'MD-ratings-year'!$I21+'MD-ratings-year'!AM4*'MD-ratings-year'!$H4)/('MD-ratings-year'!$I21+'MD-ratings-year'!$H4)</f>
        <v>6.7708517909015047</v>
      </c>
      <c r="Z20" s="262">
        <f>('MD-ratings-year'!AN21*'MD-ratings-year'!$I21+'MD-ratings-year'!AN4*'MD-ratings-year'!$H4)/('MD-ratings-year'!$I21+'MD-ratings-year'!$H4)</f>
        <v>2.0290565247856591</v>
      </c>
      <c r="AA20" s="262">
        <f>('MD-ratings-year'!AO21*'MD-ratings-year'!$I21+'MD-ratings-year'!AO4*'MD-ratings-year'!$H4)/('MD-ratings-year'!$I21+'MD-ratings-year'!$H4)</f>
        <v>6.9473224109228919</v>
      </c>
      <c r="AB20" s="262">
        <f>('MD-ratings-year'!AP21*'MD-ratings-year'!$I21+'MD-ratings-year'!AP4*'MD-ratings-year'!$H4)/('MD-ratings-year'!$I21+'MD-ratings-year'!$H4)</f>
        <v>4.9115927095772705</v>
      </c>
      <c r="AC20" s="262">
        <f>('MD-ratings-year'!AQ21*'MD-ratings-year'!$I21+'MD-ratings-year'!AQ4*'MD-ratings-year'!$H4)/('MD-ratings-year'!$I21+'MD-ratings-year'!$H4)</f>
        <v>5.204214251139164</v>
      </c>
      <c r="AD20" s="262">
        <f>('MD-ratings-year'!AR21*'MD-ratings-year'!$I21+'MD-ratings-year'!AR4*'MD-ratings-year'!$H4)/('MD-ratings-year'!$I21+'MD-ratings-year'!$H4)</f>
        <v>10</v>
      </c>
      <c r="AE20" s="262">
        <f>('MD-ratings-year'!AS21*'MD-ratings-year'!$I21+'MD-ratings-year'!AS4*'MD-ratings-year'!$H4)/('MD-ratings-year'!$I21+'MD-ratings-year'!$H4)</f>
        <v>2.3016965112114365</v>
      </c>
      <c r="AF20" s="262">
        <f>('MD-ratings-year'!AT21*'MD-ratings-year'!$I21+'MD-ratings-year'!AT4*'MD-ratings-year'!$H4)/('MD-ratings-year'!$I21+'MD-ratings-year'!$H4)</f>
        <v>3.7668961013536975</v>
      </c>
      <c r="AG20" s="262">
        <f>('MD-ratings-year'!AU21*'MD-ratings-year'!$I21+'MD-ratings-year'!AU4*'MD-ratings-year'!$H4)/('MD-ratings-year'!$I21+'MD-ratings-year'!$H4)</f>
        <v>2.4447504212803812</v>
      </c>
      <c r="AH20" s="262">
        <f>('MD-ratings-year'!AV21*'MD-ratings-year'!$I21+'MD-ratings-year'!AV4*'MD-ratings-year'!$H4)/('MD-ratings-year'!$I21+'MD-ratings-year'!$H4)</f>
        <v>4.0285203970727386</v>
      </c>
      <c r="AI20" s="262">
        <f>('MD-ratings-year'!AW21*'MD-ratings-year'!$I21+'MD-ratings-year'!AW4*'MD-ratings-year'!$H4)/('MD-ratings-year'!$I21+'MD-ratings-year'!$H4)</f>
        <v>5.4636690589401633</v>
      </c>
      <c r="AJ20" s="262">
        <f>('MD-ratings-year'!AX21*'MD-ratings-year'!$I21+'MD-ratings-year'!AX4*'MD-ratings-year'!$H4)/('MD-ratings-year'!$I21+'MD-ratings-year'!$H4)</f>
        <v>4.0605397284533051</v>
      </c>
      <c r="AK20" s="262">
        <f>('MD-ratings-year'!AY21*'MD-ratings-year'!$I21+'MD-ratings-year'!AY4*'MD-ratings-year'!$H4)/('MD-ratings-year'!$I21+'MD-ratings-year'!$H4)</f>
        <v>1.5782935111246186</v>
      </c>
      <c r="AL20" s="262">
        <f>('MD-ratings-year'!AZ21*'MD-ratings-year'!$I21+'MD-ratings-year'!AZ4*'MD-ratings-year'!$H4)/('MD-ratings-year'!$I21+'MD-ratings-year'!$H4)</f>
        <v>6.0499135623460534</v>
      </c>
      <c r="AM20" s="262">
        <f>('MD-ratings-year'!BA21*'MD-ratings-year'!$I21+'MD-ratings-year'!BA4*'MD-ratings-year'!$H4)/('MD-ratings-year'!$I21+'MD-ratings-year'!$H4)</f>
        <v>9.0525857848101499</v>
      </c>
      <c r="AN20" s="262">
        <f>('MD-ratings-year'!BB21*'MD-ratings-year'!$I21+'MD-ratings-year'!BB4*'MD-ratings-year'!$H4)/('MD-ratings-year'!$I21+'MD-ratings-year'!$H4)</f>
        <v>2.5472578108482287</v>
      </c>
      <c r="AO20" s="262">
        <f>('MD-ratings-year'!BC21*'MD-ratings-year'!$I21+'MD-ratings-year'!BC4*'MD-ratings-year'!$H4)/('MD-ratings-year'!$I21+'MD-ratings-year'!$H4)</f>
        <v>9.3542059640644908</v>
      </c>
      <c r="AP20" s="262">
        <f>('MD-ratings-year'!BD21*'MD-ratings-year'!$I21+'MD-ratings-year'!BD4*'MD-ratings-year'!$H4)/('MD-ratings-year'!$I21+'MD-ratings-year'!$H4)</f>
        <v>7.434291482486576</v>
      </c>
      <c r="AQ20" s="262">
        <f>('MD-ratings-year'!BE21*'MD-ratings-year'!$I21+'MD-ratings-year'!BE4*'MD-ratings-year'!$H4)/('MD-ratings-year'!$I21+'MD-ratings-year'!$H4)</f>
        <v>2.3806416615019867</v>
      </c>
      <c r="AR20" s="262">
        <f>('MD-ratings-year'!BF21*'MD-ratings-year'!$I21+'MD-ratings-year'!BF4*'MD-ratings-year'!$H4)/('MD-ratings-year'!$I21+'MD-ratings-year'!$H4)</f>
        <v>9.4325442701869981</v>
      </c>
      <c r="AS20" s="262">
        <f>('MD-ratings-year'!BG21*'MD-ratings-year'!$I21+'MD-ratings-year'!BG4*'MD-ratings-year'!$H4)/('MD-ratings-year'!$I21+'MD-ratings-year'!$H4)</f>
        <v>10</v>
      </c>
      <c r="AT20" s="262">
        <f>('MD-ratings-year'!BH21*'MD-ratings-year'!$I21+'MD-ratings-year'!BH4*'MD-ratings-year'!$H4)/('MD-ratings-year'!$I21+'MD-ratings-year'!$H4)</f>
        <v>9.6381052074613187</v>
      </c>
      <c r="AU20" s="262">
        <f>('MD-ratings-year'!BI21*'MD-ratings-year'!$I21+'MD-ratings-year'!BI4*'MD-ratings-year'!$H4)/('MD-ratings-year'!$I21+'MD-ratings-year'!$H4)</f>
        <v>2.0791341024131325</v>
      </c>
      <c r="AV20" s="262">
        <f>('MD-ratings-year'!BJ21*'MD-ratings-year'!$I21+'MD-ratings-year'!BJ4*'MD-ratings-year'!$H4)/('MD-ratings-year'!$I21+'MD-ratings-year'!$H4)</f>
        <v>10</v>
      </c>
      <c r="AW20" s="262">
        <f>('MD-ratings-year'!BK21*'MD-ratings-year'!$I21+'MD-ratings-year'!BK4*'MD-ratings-year'!$H4)/('MD-ratings-year'!$I21+'MD-ratings-year'!$H4)</f>
        <v>10</v>
      </c>
      <c r="AX20" s="262">
        <f>('MD-ratings-year'!BL21*'MD-ratings-year'!$I21+'MD-ratings-year'!BL4*'MD-ratings-year'!$H4)/('MD-ratings-year'!$I21+'MD-ratings-year'!$H4)</f>
        <v>5.0015682758578484</v>
      </c>
      <c r="AY20" s="262">
        <f>('MD-ratings-year'!BM21*'MD-ratings-year'!$I21+'MD-ratings-year'!BM4*'MD-ratings-year'!$H4)/('MD-ratings-year'!$I21+'MD-ratings-year'!$H4)</f>
        <v>4.4118605267746904</v>
      </c>
      <c r="AZ20" s="262">
        <f>('MD-ratings-year'!BN21*'MD-ratings-year'!$I21+'MD-ratings-year'!BN4*'MD-ratings-year'!$H4)/('MD-ratings-year'!$I21+'MD-ratings-year'!$H4)</f>
        <v>7.8975245331162665</v>
      </c>
      <c r="BA20" s="262">
        <f>('MD-ratings-year'!BO21*'MD-ratings-year'!$I21+'MD-ratings-year'!BO4*'MD-ratings-year'!$H4)/('MD-ratings-year'!$I21+'MD-ratings-year'!$H4)</f>
        <v>4.3260788886734014</v>
      </c>
      <c r="BB20" s="262">
        <f>('MD-ratings-year'!BP21*'MD-ratings-year'!$I21+'MD-ratings-year'!BP4*'MD-ratings-year'!$H4)/('MD-ratings-year'!$I21+'MD-ratings-year'!$H4)</f>
        <v>4.2222404891903755</v>
      </c>
      <c r="BC20" s="262">
        <f>('MD-ratings-year'!BQ21*'MD-ratings-year'!$I21+'MD-ratings-year'!BQ4*'MD-ratings-year'!$H4)/('MD-ratings-year'!$I21+'MD-ratings-year'!$H4)</f>
        <v>3.8779715756557605</v>
      </c>
      <c r="BD20" s="262">
        <f>('MD-ratings-year'!BR21*'MD-ratings-year'!$I21+'MD-ratings-year'!BR4*'MD-ratings-year'!$H4)/('MD-ratings-year'!$I21+'MD-ratings-year'!$H4)</f>
        <v>4.5169613860465532</v>
      </c>
      <c r="BE20" s="262">
        <f>('MD-ratings-year'!BS21*'MD-ratings-year'!$I21+'MD-ratings-year'!BS4*'MD-ratings-year'!$H4)/('MD-ratings-year'!$I21+'MD-ratings-year'!$H4)</f>
        <v>1.1064077891648194</v>
      </c>
      <c r="BF20" s="262">
        <f>('MD-ratings-year'!BT21*'MD-ratings-year'!$I21+'MD-ratings-year'!BT4*'MD-ratings-year'!$H4)/('MD-ratings-year'!$I21+'MD-ratings-year'!$H4)</f>
        <v>5.3873714977911424</v>
      </c>
    </row>
    <row r="21" spans="1:58" s="243" customFormat="1" ht="15.75" customHeight="1" thickBot="1" x14ac:dyDescent="0.3">
      <c r="A21" s="640"/>
      <c r="B21" s="669"/>
      <c r="C21" s="418">
        <f>'MD-ratings-year'!C22</f>
        <v>8.3333333333333329E-2</v>
      </c>
      <c r="D21" s="419" t="str">
        <f>'MD-ratings-year'!D22</f>
        <v>Quick Asset Ratio</v>
      </c>
      <c r="E21" s="420" t="str">
        <f>'MD-ratings-year'!E22</f>
        <v>Cash + Marketable Securities + Accounts Receivable) ÷ Current Liabilities</v>
      </c>
      <c r="F21" s="243" t="s">
        <v>400</v>
      </c>
      <c r="G21" s="653"/>
      <c r="I21" s="242">
        <f>('MD-ratings-year'!W22*'MD-ratings-year'!$I22+'MD-ratings-year'!W5*'MD-ratings-year'!$H5)/('MD-ratings-year'!$I22+'MD-ratings-year'!$H5)</f>
        <v>7.0646080560206945</v>
      </c>
      <c r="J21" s="242">
        <f>('MD-ratings-year'!X22*'MD-ratings-year'!$I22+'MD-ratings-year'!X5*'MD-ratings-year'!$H5)/('MD-ratings-year'!$I22+'MD-ratings-year'!$H5)</f>
        <v>2.3330748641435335</v>
      </c>
      <c r="K21" s="242">
        <f>('MD-ratings-year'!Y22*'MD-ratings-year'!$I22+'MD-ratings-year'!Y5*'MD-ratings-year'!$H5)/('MD-ratings-year'!$I22+'MD-ratings-year'!$H5)</f>
        <v>6.8485975873703433</v>
      </c>
      <c r="L21" s="242">
        <f>('MD-ratings-year'!Z22*'MD-ratings-year'!$I22+'MD-ratings-year'!Z5*'MD-ratings-year'!$H5)/('MD-ratings-year'!$I22+'MD-ratings-year'!$H5)</f>
        <v>4.6723154537120122</v>
      </c>
      <c r="M21" s="242">
        <f>('MD-ratings-year'!AA22*'MD-ratings-year'!$I22+'MD-ratings-year'!AA5*'MD-ratings-year'!$H5)/('MD-ratings-year'!$I22+'MD-ratings-year'!$H5)</f>
        <v>0.29084794550570658</v>
      </c>
      <c r="N21" s="242">
        <f>('MD-ratings-year'!AB22*'MD-ratings-year'!$I22+'MD-ratings-year'!AB5*'MD-ratings-year'!$H5)/('MD-ratings-year'!$I22+'MD-ratings-year'!$H5)</f>
        <v>0.57151111644107455</v>
      </c>
      <c r="O21" s="242">
        <f>('MD-ratings-year'!AC22*'MD-ratings-year'!$I22+'MD-ratings-year'!AC5*'MD-ratings-year'!$H5)/('MD-ratings-year'!$I22+'MD-ratings-year'!$H5)</f>
        <v>7.0659766642760884</v>
      </c>
      <c r="P21" s="242">
        <f>('MD-ratings-year'!AD22*'MD-ratings-year'!$I22+'MD-ratings-year'!AD5*'MD-ratings-year'!$H5)/('MD-ratings-year'!$I22+'MD-ratings-year'!$H5)</f>
        <v>7.3821165124845152</v>
      </c>
      <c r="Q21" s="242">
        <f>('MD-ratings-year'!AE22*'MD-ratings-year'!$I22+'MD-ratings-year'!AE5*'MD-ratings-year'!$H5)/('MD-ratings-year'!$I22+'MD-ratings-year'!$H5)</f>
        <v>9.145334440443099</v>
      </c>
      <c r="R21" s="242">
        <f>('MD-ratings-year'!AF22*'MD-ratings-year'!$I22+'MD-ratings-year'!AF5*'MD-ratings-year'!$H5)/('MD-ratings-year'!$I22+'MD-ratings-year'!$H5)</f>
        <v>0.89868007591101151</v>
      </c>
      <c r="S21" s="242">
        <f>('MD-ratings-year'!AG22*'MD-ratings-year'!$I22+'MD-ratings-year'!AG5*'MD-ratings-year'!$H5)/('MD-ratings-year'!$I22+'MD-ratings-year'!$H5)</f>
        <v>4.8888853416393241</v>
      </c>
      <c r="T21" s="242">
        <f>('MD-ratings-year'!AH22*'MD-ratings-year'!$I22+'MD-ratings-year'!AH5*'MD-ratings-year'!$H5)/('MD-ratings-year'!$I22+'MD-ratings-year'!$H5)</f>
        <v>7.6076087041352451</v>
      </c>
      <c r="U21" s="242">
        <f>('MD-ratings-year'!AI22*'MD-ratings-year'!$I22+'MD-ratings-year'!AI5*'MD-ratings-year'!$H5)/('MD-ratings-year'!$I22+'MD-ratings-year'!$H5)</f>
        <v>6.6413825632034547</v>
      </c>
      <c r="V21" s="242">
        <f>('MD-ratings-year'!AJ22*'MD-ratings-year'!$I22+'MD-ratings-year'!AJ5*'MD-ratings-year'!$H5)/('MD-ratings-year'!$I22+'MD-ratings-year'!$H5)</f>
        <v>4.7288590287866512</v>
      </c>
      <c r="W21" s="242">
        <f>('MD-ratings-year'!AK22*'MD-ratings-year'!$I22+'MD-ratings-year'!AK5*'MD-ratings-year'!$H5)/('MD-ratings-year'!$I22+'MD-ratings-year'!$H5)</f>
        <v>2.6805813744878457</v>
      </c>
      <c r="X21" s="242">
        <f>('MD-ratings-year'!AL22*'MD-ratings-year'!$I22+'MD-ratings-year'!AL5*'MD-ratings-year'!$H5)/('MD-ratings-year'!$I22+'MD-ratings-year'!$H5)</f>
        <v>5.6552430983483912</v>
      </c>
      <c r="Y21" s="242">
        <f>('MD-ratings-year'!AM22*'MD-ratings-year'!$I22+'MD-ratings-year'!AM5*'MD-ratings-year'!$H5)/('MD-ratings-year'!$I22+'MD-ratings-year'!$H5)</f>
        <v>5.9485618942515499</v>
      </c>
      <c r="Z21" s="242">
        <f>('MD-ratings-year'!AN22*'MD-ratings-year'!$I22+'MD-ratings-year'!AN5*'MD-ratings-year'!$H5)/('MD-ratings-year'!$I22+'MD-ratings-year'!$H5)</f>
        <v>1.4882686637127145</v>
      </c>
      <c r="AA21" s="242">
        <f>('MD-ratings-year'!AO22*'MD-ratings-year'!$I22+'MD-ratings-year'!AO5*'MD-ratings-year'!$H5)/('MD-ratings-year'!$I22+'MD-ratings-year'!$H5)</f>
        <v>6.7691493862073759</v>
      </c>
      <c r="AB21" s="242">
        <f>('MD-ratings-year'!AP22*'MD-ratings-year'!$I22+'MD-ratings-year'!AP5*'MD-ratings-year'!$H5)/('MD-ratings-year'!$I22+'MD-ratings-year'!$H5)</f>
        <v>4.1249816249138211</v>
      </c>
      <c r="AC21" s="242">
        <f>('MD-ratings-year'!AQ22*'MD-ratings-year'!$I22+'MD-ratings-year'!AQ5*'MD-ratings-year'!$H5)/('MD-ratings-year'!$I22+'MD-ratings-year'!$H5)</f>
        <v>4.5845911856066648</v>
      </c>
      <c r="AD21" s="242">
        <f>('MD-ratings-year'!AR22*'MD-ratings-year'!$I22+'MD-ratings-year'!AR5*'MD-ratings-year'!$H5)/('MD-ratings-year'!$I22+'MD-ratings-year'!$H5)</f>
        <v>10</v>
      </c>
      <c r="AE21" s="242">
        <f>('MD-ratings-year'!AS22*'MD-ratings-year'!$I22+'MD-ratings-year'!AS5*'MD-ratings-year'!$H5)/('MD-ratings-year'!$I22+'MD-ratings-year'!$H5)</f>
        <v>1.2980456917919183</v>
      </c>
      <c r="AF21" s="242">
        <f>('MD-ratings-year'!AT22*'MD-ratings-year'!$I22+'MD-ratings-year'!AT5*'MD-ratings-year'!$H5)/('MD-ratings-year'!$I22+'MD-ratings-year'!$H5)</f>
        <v>3.3451850819807327</v>
      </c>
      <c r="AG21" s="242">
        <f>('MD-ratings-year'!AU22*'MD-ratings-year'!$I22+'MD-ratings-year'!AU5*'MD-ratings-year'!$H5)/('MD-ratings-year'!$I22+'MD-ratings-year'!$H5)</f>
        <v>2.34484013214368</v>
      </c>
      <c r="AH21" s="242">
        <f>('MD-ratings-year'!AV22*'MD-ratings-year'!$I22+'MD-ratings-year'!AV5*'MD-ratings-year'!$H5)/('MD-ratings-year'!$I22+'MD-ratings-year'!$H5)</f>
        <v>4.272072472549941</v>
      </c>
      <c r="AI21" s="242">
        <f>('MD-ratings-year'!AW22*'MD-ratings-year'!$I22+'MD-ratings-year'!AW5*'MD-ratings-year'!$H5)/('MD-ratings-year'!$I22+'MD-ratings-year'!$H5)</f>
        <v>4.3147741885572026</v>
      </c>
      <c r="AJ21" s="242">
        <f>('MD-ratings-year'!AX22*'MD-ratings-year'!$I22+'MD-ratings-year'!AX5*'MD-ratings-year'!$H5)/('MD-ratings-year'!$I22+'MD-ratings-year'!$H5)</f>
        <v>3.2722650542735217</v>
      </c>
      <c r="AK21" s="242">
        <f>('MD-ratings-year'!AY22*'MD-ratings-year'!$I22+'MD-ratings-year'!AY5*'MD-ratings-year'!$H5)/('MD-ratings-year'!$I22+'MD-ratings-year'!$H5)</f>
        <v>0.76942369945203715</v>
      </c>
      <c r="AL21" s="242">
        <f>('MD-ratings-year'!AZ22*'MD-ratings-year'!$I22+'MD-ratings-year'!AZ5*'MD-ratings-year'!$H5)/('MD-ratings-year'!$I22+'MD-ratings-year'!$H5)</f>
        <v>5.0601300923532984</v>
      </c>
      <c r="AM21" s="242">
        <f>('MD-ratings-year'!BA22*'MD-ratings-year'!$I22+'MD-ratings-year'!BA5*'MD-ratings-year'!$H5)/('MD-ratings-year'!$I22+'MD-ratings-year'!$H5)</f>
        <v>7.9374746732616659</v>
      </c>
      <c r="AN21" s="242">
        <f>('MD-ratings-year'!BB22*'MD-ratings-year'!$I22+'MD-ratings-year'!BB5*'MD-ratings-year'!$H5)/('MD-ratings-year'!$I22+'MD-ratings-year'!$H5)</f>
        <v>1.0664283161845123</v>
      </c>
      <c r="AO21" s="242">
        <f>('MD-ratings-year'!BC22*'MD-ratings-year'!$I22+'MD-ratings-year'!BC5*'MD-ratings-year'!$H5)/('MD-ratings-year'!$I22+'MD-ratings-year'!$H5)</f>
        <v>9.2407043950290699</v>
      </c>
      <c r="AP21" s="242">
        <f>('MD-ratings-year'!BD22*'MD-ratings-year'!$I22+'MD-ratings-year'!BD5*'MD-ratings-year'!$H5)/('MD-ratings-year'!$I22+'MD-ratings-year'!$H5)</f>
        <v>7.5108857163106091</v>
      </c>
      <c r="AQ21" s="242">
        <f>('MD-ratings-year'!BE22*'MD-ratings-year'!$I22+'MD-ratings-year'!BE5*'MD-ratings-year'!$H5)/('MD-ratings-year'!$I22+'MD-ratings-year'!$H5)</f>
        <v>1.0440620236695142</v>
      </c>
      <c r="AR21" s="242">
        <f>('MD-ratings-year'!BF22*'MD-ratings-year'!$I22+'MD-ratings-year'!BF5*'MD-ratings-year'!$H5)/('MD-ratings-year'!$I22+'MD-ratings-year'!$H5)</f>
        <v>8.345036499529245</v>
      </c>
      <c r="AS21" s="242">
        <f>('MD-ratings-year'!BG22*'MD-ratings-year'!$I22+'MD-ratings-year'!BG5*'MD-ratings-year'!$H5)/('MD-ratings-year'!$I22+'MD-ratings-year'!$H5)</f>
        <v>8.1440161105978621</v>
      </c>
      <c r="AT21" s="242">
        <f>('MD-ratings-year'!BH22*'MD-ratings-year'!$I22+'MD-ratings-year'!BH5*'MD-ratings-year'!$H5)/('MD-ratings-year'!$I22+'MD-ratings-year'!$H5)</f>
        <v>9.8669728172695574</v>
      </c>
      <c r="AU21" s="242">
        <f>('MD-ratings-year'!BI22*'MD-ratings-year'!$I22+'MD-ratings-year'!BI5*'MD-ratings-year'!$H5)/('MD-ratings-year'!$I22+'MD-ratings-year'!$H5)</f>
        <v>0.73315627769469849</v>
      </c>
      <c r="AV21" s="242">
        <f>('MD-ratings-year'!BJ22*'MD-ratings-year'!$I22+'MD-ratings-year'!BJ5*'MD-ratings-year'!$H5)/('MD-ratings-year'!$I22+'MD-ratings-year'!$H5)</f>
        <v>7.0415330654894728</v>
      </c>
      <c r="AW21" s="242">
        <f>('MD-ratings-year'!BK22*'MD-ratings-year'!$I22+'MD-ratings-year'!BK5*'MD-ratings-year'!$H5)/('MD-ratings-year'!$I22+'MD-ratings-year'!$H5)</f>
        <v>10</v>
      </c>
      <c r="AX21" s="242">
        <f>('MD-ratings-year'!BL22*'MD-ratings-year'!$I22+'MD-ratings-year'!BL5*'MD-ratings-year'!$H5)/('MD-ratings-year'!$I22+'MD-ratings-year'!$H5)</f>
        <v>1.0668112442693085</v>
      </c>
      <c r="AY21" s="242">
        <f>('MD-ratings-year'!BM22*'MD-ratings-year'!$I22+'MD-ratings-year'!BM5*'MD-ratings-year'!$H5)/('MD-ratings-year'!$I22+'MD-ratings-year'!$H5)</f>
        <v>3.6958940465219805</v>
      </c>
      <c r="AZ21" s="242">
        <f>('MD-ratings-year'!BN22*'MD-ratings-year'!$I22+'MD-ratings-year'!BN5*'MD-ratings-year'!$H5)/('MD-ratings-year'!$I22+'MD-ratings-year'!$H5)</f>
        <v>4.1608881297404876</v>
      </c>
      <c r="BA21" s="242">
        <f>('MD-ratings-year'!BO22*'MD-ratings-year'!$I22+'MD-ratings-year'!BO5*'MD-ratings-year'!$H5)/('MD-ratings-year'!$I22+'MD-ratings-year'!$H5)</f>
        <v>4.1270579461313774</v>
      </c>
      <c r="BB21" s="242">
        <f>('MD-ratings-year'!BP22*'MD-ratings-year'!$I22+'MD-ratings-year'!BP5*'MD-ratings-year'!$H5)/('MD-ratings-year'!$I22+'MD-ratings-year'!$H5)</f>
        <v>2.6656860116714958</v>
      </c>
      <c r="BC21" s="242">
        <f>('MD-ratings-year'!BQ22*'MD-ratings-year'!$I22+'MD-ratings-year'!BQ5*'MD-ratings-year'!$H5)/('MD-ratings-year'!$I22+'MD-ratings-year'!$H5)</f>
        <v>0.69629278585002097</v>
      </c>
      <c r="BD21" s="242">
        <f>('MD-ratings-year'!BR22*'MD-ratings-year'!$I22+'MD-ratings-year'!BR5*'MD-ratings-year'!$H5)/('MD-ratings-year'!$I22+'MD-ratings-year'!$H5)</f>
        <v>3.5752482358755562</v>
      </c>
      <c r="BE21" s="242">
        <f>('MD-ratings-year'!BS22*'MD-ratings-year'!$I22+'MD-ratings-year'!BS5*'MD-ratings-year'!$H5)/('MD-ratings-year'!$I22+'MD-ratings-year'!$H5)</f>
        <v>2.3658806001549414E-2</v>
      </c>
      <c r="BF21" s="242">
        <f>('MD-ratings-year'!BT22*'MD-ratings-year'!$I22+'MD-ratings-year'!BT5*'MD-ratings-year'!$H5)/('MD-ratings-year'!$I22+'MD-ratings-year'!$H5)</f>
        <v>3.2230376235790081</v>
      </c>
    </row>
    <row r="22" spans="1:58" s="243" customFormat="1" ht="15.75" customHeight="1" thickBot="1" x14ac:dyDescent="0.3">
      <c r="A22" s="640"/>
      <c r="B22" s="669"/>
      <c r="C22" s="418">
        <f>'MD-ratings-year'!C23</f>
        <v>8.3333333333333329E-2</v>
      </c>
      <c r="D22" s="419" t="str">
        <f>'MD-ratings-year'!D23</f>
        <v>Cash Position Ratio</v>
      </c>
      <c r="E22" s="420" t="str">
        <f>'MD-ratings-year'!E23</f>
        <v>Cash ÷ Current Liabilities</v>
      </c>
      <c r="F22" s="243" t="s">
        <v>400</v>
      </c>
      <c r="G22" s="653"/>
      <c r="I22" s="242">
        <f>('MD-ratings-year'!W23*'MD-ratings-year'!$I23+'MD-ratings-year'!W6*'MD-ratings-year'!$H6)/('MD-ratings-year'!$I23+'MD-ratings-year'!$H6)</f>
        <v>1.7745919231610647</v>
      </c>
      <c r="J22" s="242">
        <f>('MD-ratings-year'!X23*'MD-ratings-year'!$I23+'MD-ratings-year'!X6*'MD-ratings-year'!$H6)/('MD-ratings-year'!$I23+'MD-ratings-year'!$H6)</f>
        <v>2.3968639435953127</v>
      </c>
      <c r="K22" s="242">
        <f>('MD-ratings-year'!Y23*'MD-ratings-year'!$I23+'MD-ratings-year'!Y6*'MD-ratings-year'!$H6)/('MD-ratings-year'!$I23+'MD-ratings-year'!$H6)</f>
        <v>1.8280152500458595</v>
      </c>
      <c r="L22" s="242">
        <f>('MD-ratings-year'!Z23*'MD-ratings-year'!$I23+'MD-ratings-year'!Z6*'MD-ratings-year'!$H6)/('MD-ratings-year'!$I23+'MD-ratings-year'!$H6)</f>
        <v>4.3358307084547762</v>
      </c>
      <c r="M22" s="242">
        <f>('MD-ratings-year'!AA23*'MD-ratings-year'!$I23+'MD-ratings-year'!AA6*'MD-ratings-year'!$H6)/('MD-ratings-year'!$I23+'MD-ratings-year'!$H6)</f>
        <v>2.0172535668360673E-3</v>
      </c>
      <c r="N22" s="242">
        <f>('MD-ratings-year'!AB23*'MD-ratings-year'!$I23+'MD-ratings-year'!AB6*'MD-ratings-year'!$H6)/('MD-ratings-year'!$I23+'MD-ratings-year'!$H6)</f>
        <v>9.2607442478275306E-2</v>
      </c>
      <c r="O22" s="242">
        <f>('MD-ratings-year'!AC23*'MD-ratings-year'!$I23+'MD-ratings-year'!AC6*'MD-ratings-year'!$H6)/('MD-ratings-year'!$I23+'MD-ratings-year'!$H6)</f>
        <v>7.1793514940421028</v>
      </c>
      <c r="P22" s="242">
        <f>('MD-ratings-year'!AD23*'MD-ratings-year'!$I23+'MD-ratings-year'!AD6*'MD-ratings-year'!$H6)/('MD-ratings-year'!$I23+'MD-ratings-year'!$H6)</f>
        <v>5.3388570549729106</v>
      </c>
      <c r="Q22" s="242">
        <f>('MD-ratings-year'!AE23*'MD-ratings-year'!$I23+'MD-ratings-year'!AE6*'MD-ratings-year'!$H6)/('MD-ratings-year'!$I23+'MD-ratings-year'!$H6)</f>
        <v>9.5046559909146744</v>
      </c>
      <c r="R22" s="242">
        <f>('MD-ratings-year'!AF23*'MD-ratings-year'!$I23+'MD-ratings-year'!AF6*'MD-ratings-year'!$H6)/('MD-ratings-year'!$I23+'MD-ratings-year'!$H6)</f>
        <v>0.61859520655640832</v>
      </c>
      <c r="S22" s="242">
        <f>('MD-ratings-year'!AG23*'MD-ratings-year'!$I23+'MD-ratings-year'!AG6*'MD-ratings-year'!$H6)/('MD-ratings-year'!$I23+'MD-ratings-year'!$H6)</f>
        <v>5.7172909338916202</v>
      </c>
      <c r="T22" s="242">
        <f>('MD-ratings-year'!AH23*'MD-ratings-year'!$I23+'MD-ratings-year'!AH6*'MD-ratings-year'!$H6)/('MD-ratings-year'!$I23+'MD-ratings-year'!$H6)</f>
        <v>4.5066647952422461</v>
      </c>
      <c r="U22" s="242">
        <f>('MD-ratings-year'!AI23*'MD-ratings-year'!$I23+'MD-ratings-year'!AI6*'MD-ratings-year'!$H6)/('MD-ratings-year'!$I23+'MD-ratings-year'!$H6)</f>
        <v>6.9672327333251713</v>
      </c>
      <c r="V22" s="242">
        <f>('MD-ratings-year'!AJ23*'MD-ratings-year'!$I23+'MD-ratings-year'!AJ6*'MD-ratings-year'!$H6)/('MD-ratings-year'!$I23+'MD-ratings-year'!$H6)</f>
        <v>3.5170100013956538</v>
      </c>
      <c r="W22" s="242">
        <f>('MD-ratings-year'!AK23*'MD-ratings-year'!$I23+'MD-ratings-year'!AK6*'MD-ratings-year'!$H6)/('MD-ratings-year'!$I23+'MD-ratings-year'!$H6)</f>
        <v>3.0888005625682529</v>
      </c>
      <c r="X22" s="242">
        <f>('MD-ratings-year'!AL23*'MD-ratings-year'!$I23+'MD-ratings-year'!AL6*'MD-ratings-year'!$H6)/('MD-ratings-year'!$I23+'MD-ratings-year'!$H6)</f>
        <v>4.8248244053330307</v>
      </c>
      <c r="Y22" s="242">
        <f>('MD-ratings-year'!AM23*'MD-ratings-year'!$I23+'MD-ratings-year'!AM6*'MD-ratings-year'!$H6)/('MD-ratings-year'!$I23+'MD-ratings-year'!$H6)</f>
        <v>4.9059163051776542</v>
      </c>
      <c r="Z22" s="242">
        <f>('MD-ratings-year'!AN23*'MD-ratings-year'!$I23+'MD-ratings-year'!AN6*'MD-ratings-year'!$H6)/('MD-ratings-year'!$I23+'MD-ratings-year'!$H6)</f>
        <v>2.0903616664647018</v>
      </c>
      <c r="AA22" s="242">
        <f>('MD-ratings-year'!AO23*'MD-ratings-year'!$I23+'MD-ratings-year'!AO6*'MD-ratings-year'!$H6)/('MD-ratings-year'!$I23+'MD-ratings-year'!$H6)</f>
        <v>4.7727660168172097</v>
      </c>
      <c r="AB22" s="242">
        <f>('MD-ratings-year'!AP23*'MD-ratings-year'!$I23+'MD-ratings-year'!AP6*'MD-ratings-year'!$H6)/('MD-ratings-year'!$I23+'MD-ratings-year'!$H6)</f>
        <v>5.11479571865158</v>
      </c>
      <c r="AC22" s="242">
        <f>('MD-ratings-year'!AQ23*'MD-ratings-year'!$I23+'MD-ratings-year'!AQ6*'MD-ratings-year'!$H6)/('MD-ratings-year'!$I23+'MD-ratings-year'!$H6)</f>
        <v>3.4772507555592651</v>
      </c>
      <c r="AD22" s="242">
        <f>('MD-ratings-year'!AR23*'MD-ratings-year'!$I23+'MD-ratings-year'!AR6*'MD-ratings-year'!$H6)/('MD-ratings-year'!$I23+'MD-ratings-year'!$H6)</f>
        <v>9.4188891328909854</v>
      </c>
      <c r="AE22" s="242">
        <f>('MD-ratings-year'!AS23*'MD-ratings-year'!$I23+'MD-ratings-year'!AS6*'MD-ratings-year'!$H6)/('MD-ratings-year'!$I23+'MD-ratings-year'!$H6)</f>
        <v>0.14529608584345438</v>
      </c>
      <c r="AF22" s="242">
        <f>('MD-ratings-year'!AT23*'MD-ratings-year'!$I23+'MD-ratings-year'!AT6*'MD-ratings-year'!$H6)/('MD-ratings-year'!$I23+'MD-ratings-year'!$H6)</f>
        <v>3.7826871907028283</v>
      </c>
      <c r="AG22" s="242">
        <f>('MD-ratings-year'!AU23*'MD-ratings-year'!$I23+'MD-ratings-year'!AU6*'MD-ratings-year'!$H6)/('MD-ratings-year'!$I23+'MD-ratings-year'!$H6)</f>
        <v>0.22869921712045688</v>
      </c>
      <c r="AH22" s="242">
        <f>('MD-ratings-year'!AV23*'MD-ratings-year'!$I23+'MD-ratings-year'!AV6*'MD-ratings-year'!$H6)/('MD-ratings-year'!$I23+'MD-ratings-year'!$H6)</f>
        <v>2.9097096485350309</v>
      </c>
      <c r="AI22" s="242">
        <f>('MD-ratings-year'!AW23*'MD-ratings-year'!$I23+'MD-ratings-year'!AW6*'MD-ratings-year'!$H6)/('MD-ratings-year'!$I23+'MD-ratings-year'!$H6)</f>
        <v>5.3044458804527048</v>
      </c>
      <c r="AJ22" s="242">
        <f>('MD-ratings-year'!AX23*'MD-ratings-year'!$I23+'MD-ratings-year'!AX6*'MD-ratings-year'!$H6)/('MD-ratings-year'!$I23+'MD-ratings-year'!$H6)</f>
        <v>1.5600041237819426</v>
      </c>
      <c r="AK22" s="242">
        <f>('MD-ratings-year'!AY23*'MD-ratings-year'!$I23+'MD-ratings-year'!AY6*'MD-ratings-year'!$H6)/('MD-ratings-year'!$I23+'MD-ratings-year'!$H6)</f>
        <v>1.3186587863183294</v>
      </c>
      <c r="AL22" s="242">
        <f>('MD-ratings-year'!AZ23*'MD-ratings-year'!$I23+'MD-ratings-year'!AZ6*'MD-ratings-year'!$H6)/('MD-ratings-year'!$I23+'MD-ratings-year'!$H6)</f>
        <v>5.9347902353177266</v>
      </c>
      <c r="AM22" s="242">
        <f>('MD-ratings-year'!BA23*'MD-ratings-year'!$I23+'MD-ratings-year'!BA6*'MD-ratings-year'!$H6)/('MD-ratings-year'!$I23+'MD-ratings-year'!$H6)</f>
        <v>8.4951538505209374</v>
      </c>
      <c r="AN22" s="242">
        <f>('MD-ratings-year'!BB23*'MD-ratings-year'!$I23+'MD-ratings-year'!BB6*'MD-ratings-year'!$H6)/('MD-ratings-year'!$I23+'MD-ratings-year'!$H6)</f>
        <v>0.15131704489284664</v>
      </c>
      <c r="AO22" s="242">
        <f>('MD-ratings-year'!BC23*'MD-ratings-year'!$I23+'MD-ratings-year'!BC6*'MD-ratings-year'!$H6)/('MD-ratings-year'!$I23+'MD-ratings-year'!$H6)</f>
        <v>9.5699910401120682</v>
      </c>
      <c r="AP22" s="242">
        <f>('MD-ratings-year'!BD23*'MD-ratings-year'!$I23+'MD-ratings-year'!BD6*'MD-ratings-year'!$H6)/('MD-ratings-year'!$I23+'MD-ratings-year'!$H6)</f>
        <v>7.9797427148341038</v>
      </c>
      <c r="AQ22" s="242">
        <f>('MD-ratings-year'!BE23*'MD-ratings-year'!$I23+'MD-ratings-year'!BE6*'MD-ratings-year'!$H6)/('MD-ratings-year'!$I23+'MD-ratings-year'!$H6)</f>
        <v>0.61643679586723543</v>
      </c>
      <c r="AR22" s="242">
        <f>('MD-ratings-year'!BF23*'MD-ratings-year'!$I23+'MD-ratings-year'!BF6*'MD-ratings-year'!$H6)/('MD-ratings-year'!$I23+'MD-ratings-year'!$H6)</f>
        <v>7.0838136424163105</v>
      </c>
      <c r="AS22" s="242">
        <f>('MD-ratings-year'!BG23*'MD-ratings-year'!$I23+'MD-ratings-year'!BG6*'MD-ratings-year'!$H6)/('MD-ratings-year'!$I23+'MD-ratings-year'!$H6)</f>
        <v>8.1456330057777624</v>
      </c>
      <c r="AT22" s="242">
        <f>('MD-ratings-year'!BH23*'MD-ratings-year'!$I23+'MD-ratings-year'!BH6*'MD-ratings-year'!$H6)/('MD-ratings-year'!$I23+'MD-ratings-year'!$H6)</f>
        <v>9.8462168802474732</v>
      </c>
      <c r="AU22" s="242">
        <f>('MD-ratings-year'!BI23*'MD-ratings-year'!$I23+'MD-ratings-year'!BI6*'MD-ratings-year'!$H6)/('MD-ratings-year'!$I23+'MD-ratings-year'!$H6)</f>
        <v>0.24790015219005396</v>
      </c>
      <c r="AV22" s="242">
        <f>('MD-ratings-year'!BJ23*'MD-ratings-year'!$I23+'MD-ratings-year'!BJ6*'MD-ratings-year'!$H6)/('MD-ratings-year'!$I23+'MD-ratings-year'!$H6)</f>
        <v>7.5074497092697827</v>
      </c>
      <c r="AW22" s="242">
        <f>('MD-ratings-year'!BK23*'MD-ratings-year'!$I23+'MD-ratings-year'!BK6*'MD-ratings-year'!$H6)/('MD-ratings-year'!$I23+'MD-ratings-year'!$H6)</f>
        <v>10</v>
      </c>
      <c r="AX22" s="242">
        <f>('MD-ratings-year'!BL23*'MD-ratings-year'!$I23+'MD-ratings-year'!BL6*'MD-ratings-year'!$H6)/('MD-ratings-year'!$I23+'MD-ratings-year'!$H6)</f>
        <v>0.10714121355230423</v>
      </c>
      <c r="AY22" s="242">
        <f>('MD-ratings-year'!BM23*'MD-ratings-year'!$I23+'MD-ratings-year'!BM6*'MD-ratings-year'!$H6)/('MD-ratings-year'!$I23+'MD-ratings-year'!$H6)</f>
        <v>0.73947088474706213</v>
      </c>
      <c r="AZ22" s="242">
        <f>('MD-ratings-year'!BN23*'MD-ratings-year'!$I23+'MD-ratings-year'!BN6*'MD-ratings-year'!$H6)/('MD-ratings-year'!$I23+'MD-ratings-year'!$H6)</f>
        <v>3.3074535424153484</v>
      </c>
      <c r="BA22" s="242">
        <f>('MD-ratings-year'!BO23*'MD-ratings-year'!$I23+'MD-ratings-year'!BO6*'MD-ratings-year'!$H6)/('MD-ratings-year'!$I23+'MD-ratings-year'!$H6)</f>
        <v>0.91538018613592342</v>
      </c>
      <c r="BB22" s="242">
        <f>('MD-ratings-year'!BP23*'MD-ratings-year'!$I23+'MD-ratings-year'!BP6*'MD-ratings-year'!$H6)/('MD-ratings-year'!$I23+'MD-ratings-year'!$H6)</f>
        <v>0.16117204229507492</v>
      </c>
      <c r="BC22" s="242">
        <f>('MD-ratings-year'!BQ23*'MD-ratings-year'!$I23+'MD-ratings-year'!BQ6*'MD-ratings-year'!$H6)/('MD-ratings-year'!$I23+'MD-ratings-year'!$H6)</f>
        <v>1.1181282091761267</v>
      </c>
      <c r="BD22" s="242">
        <f>('MD-ratings-year'!BR23*'MD-ratings-year'!$I23+'MD-ratings-year'!BR6*'MD-ratings-year'!$H6)/('MD-ratings-year'!$I23+'MD-ratings-year'!$H6)</f>
        <v>4.2089825832253061</v>
      </c>
      <c r="BE22" s="242">
        <f>('MD-ratings-year'!BS23*'MD-ratings-year'!$I23+'MD-ratings-year'!BS6*'MD-ratings-year'!$H6)/('MD-ratings-year'!$I23+'MD-ratings-year'!$H6)</f>
        <v>3.9813673545786035E-2</v>
      </c>
      <c r="BF22" s="242">
        <f>('MD-ratings-year'!BT23*'MD-ratings-year'!$I23+'MD-ratings-year'!BT6*'MD-ratings-year'!$H6)/('MD-ratings-year'!$I23+'MD-ratings-year'!$H6)</f>
        <v>2.3075027193244884</v>
      </c>
    </row>
    <row r="23" spans="1:58" s="266" customFormat="1" ht="15.75" customHeight="1" thickBot="1" x14ac:dyDescent="0.3">
      <c r="A23" s="641"/>
      <c r="B23" s="670"/>
      <c r="C23" s="647" t="str">
        <f>'MD-ratings-year'!C24:E24</f>
        <v>Liquidity total</v>
      </c>
      <c r="D23" s="648"/>
      <c r="E23" s="649"/>
      <c r="F23" s="266" t="s">
        <v>400</v>
      </c>
      <c r="G23" s="653"/>
      <c r="I23" s="269">
        <f>SUMPRODUCT(I20:I22,$C20:$C22)/SUM($C20:$C22)</f>
        <v>6.1732499066655455</v>
      </c>
      <c r="J23" s="269">
        <f t="shared" ref="J23:BF23" si="5">SUMPRODUCT(J20:J22,$C20:$C22)/SUM($C20:$C22)</f>
        <v>3.1360705344973541</v>
      </c>
      <c r="K23" s="269">
        <f t="shared" si="5"/>
        <v>5.2538169549753002</v>
      </c>
      <c r="L23" s="269">
        <f t="shared" si="5"/>
        <v>5.0253806530621601</v>
      </c>
      <c r="M23" s="269">
        <f t="shared" si="5"/>
        <v>0.37250801642571069</v>
      </c>
      <c r="N23" s="269">
        <f t="shared" si="5"/>
        <v>1.6864520798159548</v>
      </c>
      <c r="O23" s="269">
        <f t="shared" si="5"/>
        <v>8.0817760527727298</v>
      </c>
      <c r="P23" s="269">
        <f t="shared" si="5"/>
        <v>7.5736578558191416</v>
      </c>
      <c r="Q23" s="269">
        <f t="shared" si="5"/>
        <v>9.5499968104525905</v>
      </c>
      <c r="R23" s="269">
        <f t="shared" si="5"/>
        <v>1.77177883383837</v>
      </c>
      <c r="S23" s="269">
        <f t="shared" si="5"/>
        <v>5.0895223109273324</v>
      </c>
      <c r="T23" s="269">
        <f t="shared" si="5"/>
        <v>6.6057011433537642</v>
      </c>
      <c r="U23" s="269">
        <f t="shared" si="5"/>
        <v>6.8774553385627843</v>
      </c>
      <c r="V23" s="269">
        <f t="shared" si="5"/>
        <v>4.4723431528686524</v>
      </c>
      <c r="W23" s="269">
        <f t="shared" si="5"/>
        <v>3.0669373989899098</v>
      </c>
      <c r="X23" s="269">
        <f t="shared" si="5"/>
        <v>5.5471041454715131</v>
      </c>
      <c r="Y23" s="269">
        <f t="shared" si="5"/>
        <v>5.875109996776902</v>
      </c>
      <c r="Z23" s="269">
        <f t="shared" si="5"/>
        <v>1.8692289516543583</v>
      </c>
      <c r="AA23" s="269">
        <f t="shared" si="5"/>
        <v>6.1630792713158256</v>
      </c>
      <c r="AB23" s="269">
        <f t="shared" si="5"/>
        <v>4.7171233510475572</v>
      </c>
      <c r="AC23" s="269">
        <f t="shared" si="5"/>
        <v>4.4220187307683645</v>
      </c>
      <c r="AD23" s="269">
        <f t="shared" si="5"/>
        <v>9.8062963776303285</v>
      </c>
      <c r="AE23" s="269">
        <f t="shared" si="5"/>
        <v>1.2483460962822697</v>
      </c>
      <c r="AF23" s="269">
        <f t="shared" si="5"/>
        <v>3.6315894580124191</v>
      </c>
      <c r="AG23" s="269">
        <f t="shared" si="5"/>
        <v>1.6727632568481727</v>
      </c>
      <c r="AH23" s="269">
        <f t="shared" si="5"/>
        <v>3.73676750605257</v>
      </c>
      <c r="AI23" s="269">
        <f t="shared" si="5"/>
        <v>5.02762970931669</v>
      </c>
      <c r="AJ23" s="269">
        <f t="shared" si="5"/>
        <v>2.964269635502923</v>
      </c>
      <c r="AK23" s="269">
        <f t="shared" si="5"/>
        <v>1.2221253322983283</v>
      </c>
      <c r="AL23" s="269">
        <f t="shared" si="5"/>
        <v>5.6816112966723589</v>
      </c>
      <c r="AM23" s="269">
        <f t="shared" si="5"/>
        <v>8.4950714361975841</v>
      </c>
      <c r="AN23" s="269">
        <f t="shared" si="5"/>
        <v>1.2550010573085291</v>
      </c>
      <c r="AO23" s="269">
        <f t="shared" si="5"/>
        <v>9.3883004664018763</v>
      </c>
      <c r="AP23" s="269">
        <f t="shared" si="5"/>
        <v>7.641639971210429</v>
      </c>
      <c r="AQ23" s="269">
        <f t="shared" si="5"/>
        <v>1.3470468270129119</v>
      </c>
      <c r="AR23" s="269">
        <f t="shared" si="5"/>
        <v>8.2871314707108503</v>
      </c>
      <c r="AS23" s="269">
        <f t="shared" si="5"/>
        <v>8.763216372125207</v>
      </c>
      <c r="AT23" s="269">
        <f t="shared" si="5"/>
        <v>9.7837649683261159</v>
      </c>
      <c r="AU23" s="269">
        <f t="shared" si="5"/>
        <v>1.0200635107659615</v>
      </c>
      <c r="AV23" s="269">
        <f t="shared" si="5"/>
        <v>8.1829942582530855</v>
      </c>
      <c r="AW23" s="269">
        <f t="shared" si="5"/>
        <v>10</v>
      </c>
      <c r="AX23" s="269">
        <f t="shared" si="5"/>
        <v>2.0585069112264867</v>
      </c>
      <c r="AY23" s="269">
        <f t="shared" si="5"/>
        <v>2.9490751526812442</v>
      </c>
      <c r="AZ23" s="269">
        <f t="shared" si="5"/>
        <v>5.1219554017573676</v>
      </c>
      <c r="BA23" s="269">
        <f t="shared" si="5"/>
        <v>3.1228390069802336</v>
      </c>
      <c r="BB23" s="269">
        <f t="shared" si="5"/>
        <v>2.3496995143856485</v>
      </c>
      <c r="BC23" s="269">
        <f t="shared" si="5"/>
        <v>1.8974641902273026</v>
      </c>
      <c r="BD23" s="269">
        <f t="shared" si="5"/>
        <v>4.1003974017158047</v>
      </c>
      <c r="BE23" s="269">
        <f t="shared" si="5"/>
        <v>0.38996008957071826</v>
      </c>
      <c r="BF23" s="269">
        <f t="shared" si="5"/>
        <v>3.6393039468982127</v>
      </c>
    </row>
    <row r="24" spans="1:58" s="243" customFormat="1" ht="15.75" customHeight="1" thickBot="1" x14ac:dyDescent="0.3">
      <c r="A24" s="639">
        <f>'MD-ratings-year'!A25</f>
        <v>0.25</v>
      </c>
      <c r="B24" s="668" t="str">
        <f>'MD-ratings-year'!B25</f>
        <v>Profitability</v>
      </c>
      <c r="C24" s="418">
        <f>'MD-ratings-year'!C25</f>
        <v>0.1</v>
      </c>
      <c r="D24" s="419" t="str">
        <f>'MD-ratings-year'!D25</f>
        <v>ROA - Return on Assets</v>
      </c>
      <c r="E24" s="420" t="str">
        <f>'MD-ratings-year'!E25</f>
        <v>Net Profit ÷ Total Assets</v>
      </c>
      <c r="F24" s="243" t="s">
        <v>400</v>
      </c>
      <c r="G24" s="653"/>
      <c r="I24" s="242">
        <f>('MD-ratings-year'!W25*'MD-ratings-year'!$I25+'MD-ratings-year'!W8*'MD-ratings-year'!$H8)/('MD-ratings-year'!$I25+'MD-ratings-year'!$H8)</f>
        <v>8.3239100448017407</v>
      </c>
      <c r="J24" s="242">
        <f>('MD-ratings-year'!X25*'MD-ratings-year'!$I25+'MD-ratings-year'!X8*'MD-ratings-year'!$H8)/('MD-ratings-year'!$I25+'MD-ratings-year'!$H8)</f>
        <v>7.4012051386382129</v>
      </c>
      <c r="K24" s="242">
        <f>('MD-ratings-year'!Y25*'MD-ratings-year'!$I25+'MD-ratings-year'!Y8*'MD-ratings-year'!$H8)/('MD-ratings-year'!$I25+'MD-ratings-year'!$H8)</f>
        <v>2.0272388468317755</v>
      </c>
      <c r="L24" s="242">
        <f>('MD-ratings-year'!Z25*'MD-ratings-year'!$I25+'MD-ratings-year'!Z8*'MD-ratings-year'!$H8)/('MD-ratings-year'!$I25+'MD-ratings-year'!$H8)</f>
        <v>3.7081846270559575</v>
      </c>
      <c r="M24" s="242">
        <f>('MD-ratings-year'!AA25*'MD-ratings-year'!$I25+'MD-ratings-year'!AA8*'MD-ratings-year'!$H8)/('MD-ratings-year'!$I25+'MD-ratings-year'!$H8)</f>
        <v>9.4488327282392159</v>
      </c>
      <c r="N24" s="242">
        <f>('MD-ratings-year'!AB25*'MD-ratings-year'!$I25+'MD-ratings-year'!AB8*'MD-ratings-year'!$H8)/('MD-ratings-year'!$I25+'MD-ratings-year'!$H8)</f>
        <v>0</v>
      </c>
      <c r="O24" s="242">
        <f>('MD-ratings-year'!AC25*'MD-ratings-year'!$I25+'MD-ratings-year'!AC8*'MD-ratings-year'!$H8)/('MD-ratings-year'!$I25+'MD-ratings-year'!$H8)</f>
        <v>6.288916228315939</v>
      </c>
      <c r="P24" s="242">
        <f>('MD-ratings-year'!AD25*'MD-ratings-year'!$I25+'MD-ratings-year'!AD8*'MD-ratings-year'!$H8)/('MD-ratings-year'!$I25+'MD-ratings-year'!$H8)</f>
        <v>8.2449890249087296</v>
      </c>
      <c r="Q24" s="242">
        <f>('MD-ratings-year'!AE25*'MD-ratings-year'!$I25+'MD-ratings-year'!AE8*'MD-ratings-year'!$H8)/('MD-ratings-year'!$I25+'MD-ratings-year'!$H8)</f>
        <v>7.1524271002402022</v>
      </c>
      <c r="R24" s="242">
        <f>('MD-ratings-year'!AF25*'MD-ratings-year'!$I25+'MD-ratings-year'!AF8*'MD-ratings-year'!$H8)/('MD-ratings-year'!$I25+'MD-ratings-year'!$H8)</f>
        <v>2.3425710048780708</v>
      </c>
      <c r="S24" s="242">
        <f>('MD-ratings-year'!AG25*'MD-ratings-year'!$I25+'MD-ratings-year'!AG8*'MD-ratings-year'!$H8)/('MD-ratings-year'!$I25+'MD-ratings-year'!$H8)</f>
        <v>5.052151043009629</v>
      </c>
      <c r="T24" s="242">
        <f>('MD-ratings-year'!AH25*'MD-ratings-year'!$I25+'MD-ratings-year'!AH8*'MD-ratings-year'!$H8)/('MD-ratings-year'!$I25+'MD-ratings-year'!$H8)</f>
        <v>7.3390676989560388</v>
      </c>
      <c r="U24" s="242">
        <f>('MD-ratings-year'!AI25*'MD-ratings-year'!$I25+'MD-ratings-year'!AI8*'MD-ratings-year'!$H8)/('MD-ratings-year'!$I25+'MD-ratings-year'!$H8)</f>
        <v>9.732609407326029</v>
      </c>
      <c r="V24" s="242">
        <f>('MD-ratings-year'!AJ25*'MD-ratings-year'!$I25+'MD-ratings-year'!AJ8*'MD-ratings-year'!$H8)/('MD-ratings-year'!$I25+'MD-ratings-year'!$H8)</f>
        <v>3.298742616510252</v>
      </c>
      <c r="W24" s="242">
        <f>('MD-ratings-year'!AK25*'MD-ratings-year'!$I25+'MD-ratings-year'!AK8*'MD-ratings-year'!$H8)/('MD-ratings-year'!$I25+'MD-ratings-year'!$H8)</f>
        <v>8.5937863952819296</v>
      </c>
      <c r="X24" s="242">
        <f>('MD-ratings-year'!AL25*'MD-ratings-year'!$I25+'MD-ratings-year'!AL8*'MD-ratings-year'!$H8)/('MD-ratings-year'!$I25+'MD-ratings-year'!$H8)</f>
        <v>5.6199022708467483</v>
      </c>
      <c r="Y24" s="242">
        <f>('MD-ratings-year'!AM25*'MD-ratings-year'!$I25+'MD-ratings-year'!AM8*'MD-ratings-year'!$H8)/('MD-ratings-year'!$I25+'MD-ratings-year'!$H8)</f>
        <v>7.6237333858824883</v>
      </c>
      <c r="Z24" s="242">
        <f>('MD-ratings-year'!AN25*'MD-ratings-year'!$I25+'MD-ratings-year'!AN8*'MD-ratings-year'!$H8)/('MD-ratings-year'!$I25+'MD-ratings-year'!$H8)</f>
        <v>7.1417752321271113</v>
      </c>
      <c r="AA24" s="242">
        <f>('MD-ratings-year'!AO25*'MD-ratings-year'!$I25+'MD-ratings-year'!AO8*'MD-ratings-year'!$H8)/('MD-ratings-year'!$I25+'MD-ratings-year'!$H8)</f>
        <v>6.0866843615568422</v>
      </c>
      <c r="AB24" s="242">
        <f>('MD-ratings-year'!AP25*'MD-ratings-year'!$I25+'MD-ratings-year'!AP8*'MD-ratings-year'!$H8)/('MD-ratings-year'!$I25+'MD-ratings-year'!$H8)</f>
        <v>7.7854554138620546</v>
      </c>
      <c r="AC24" s="242">
        <f>('MD-ratings-year'!AQ25*'MD-ratings-year'!$I25+'MD-ratings-year'!AQ8*'MD-ratings-year'!$H8)/('MD-ratings-year'!$I25+'MD-ratings-year'!$H8)</f>
        <v>3.9914329695136179</v>
      </c>
      <c r="AD24" s="242">
        <f>('MD-ratings-year'!AR25*'MD-ratings-year'!$I25+'MD-ratings-year'!AR8*'MD-ratings-year'!$H8)/('MD-ratings-year'!$I25+'MD-ratings-year'!$H8)</f>
        <v>9.9423026477960565</v>
      </c>
      <c r="AE24" s="242">
        <f>('MD-ratings-year'!AS25*'MD-ratings-year'!$I25+'MD-ratings-year'!AS8*'MD-ratings-year'!$H8)/('MD-ratings-year'!$I25+'MD-ratings-year'!$H8)</f>
        <v>1.5058238991178006</v>
      </c>
      <c r="AF24" s="242">
        <f>('MD-ratings-year'!AT25*'MD-ratings-year'!$I25+'MD-ratings-year'!AT8*'MD-ratings-year'!$H8)/('MD-ratings-year'!$I25+'MD-ratings-year'!$H8)</f>
        <v>7.6077803382244271</v>
      </c>
      <c r="AG24" s="242">
        <f>('MD-ratings-year'!AU25*'MD-ratings-year'!$I25+'MD-ratings-year'!AU8*'MD-ratings-year'!$H8)/('MD-ratings-year'!$I25+'MD-ratings-year'!$H8)</f>
        <v>4.2430208417761923</v>
      </c>
      <c r="AH24" s="242">
        <f>('MD-ratings-year'!AV25*'MD-ratings-year'!$I25+'MD-ratings-year'!AV8*'MD-ratings-year'!$H8)/('MD-ratings-year'!$I25+'MD-ratings-year'!$H8)</f>
        <v>7.4834333645719084</v>
      </c>
      <c r="AI24" s="242">
        <f>('MD-ratings-year'!AW25*'MD-ratings-year'!$I25+'MD-ratings-year'!AW8*'MD-ratings-year'!$H8)/('MD-ratings-year'!$I25+'MD-ratings-year'!$H8)</f>
        <v>9.9960045277022118</v>
      </c>
      <c r="AJ24" s="242">
        <f>('MD-ratings-year'!AX25*'MD-ratings-year'!$I25+'MD-ratings-year'!AX8*'MD-ratings-year'!$H8)/('MD-ratings-year'!$I25+'MD-ratings-year'!$H8)</f>
        <v>4.0939564775233785</v>
      </c>
      <c r="AK24" s="242">
        <f>('MD-ratings-year'!AY25*'MD-ratings-year'!$I25+'MD-ratings-year'!AY8*'MD-ratings-year'!$H8)/('MD-ratings-year'!$I25+'MD-ratings-year'!$H8)</f>
        <v>7.9734628434082016</v>
      </c>
      <c r="AL24" s="242">
        <f>('MD-ratings-year'!AZ25*'MD-ratings-year'!$I25+'MD-ratings-year'!AZ8*'MD-ratings-year'!$H8)/('MD-ratings-year'!$I25+'MD-ratings-year'!$H8)</f>
        <v>6.5870679100728031</v>
      </c>
      <c r="AM24" s="242">
        <f>('MD-ratings-year'!BA25*'MD-ratings-year'!$I25+'MD-ratings-year'!BA8*'MD-ratings-year'!$H8)/('MD-ratings-year'!$I25+'MD-ratings-year'!$H8)</f>
        <v>10</v>
      </c>
      <c r="AN24" s="242">
        <f>('MD-ratings-year'!BB25*'MD-ratings-year'!$I25+'MD-ratings-year'!BB8*'MD-ratings-year'!$H8)/('MD-ratings-year'!$I25+'MD-ratings-year'!$H8)</f>
        <v>2.2986705365853779</v>
      </c>
      <c r="AO24" s="242">
        <f>('MD-ratings-year'!BC25*'MD-ratings-year'!$I25+'MD-ratings-year'!BC8*'MD-ratings-year'!$H8)/('MD-ratings-year'!$I25+'MD-ratings-year'!$H8)</f>
        <v>8.1672293667010631</v>
      </c>
      <c r="AP24" s="242">
        <f>('MD-ratings-year'!BD25*'MD-ratings-year'!$I25+'MD-ratings-year'!BD8*'MD-ratings-year'!$H8)/('MD-ratings-year'!$I25+'MD-ratings-year'!$H8)</f>
        <v>9.7246231377802825</v>
      </c>
      <c r="AQ24" s="242">
        <f>('MD-ratings-year'!BE25*'MD-ratings-year'!$I25+'MD-ratings-year'!BE8*'MD-ratings-year'!$H8)/('MD-ratings-year'!$I25+'MD-ratings-year'!$H8)</f>
        <v>7.5108096206094981</v>
      </c>
      <c r="AR24" s="242">
        <f>('MD-ratings-year'!BF25*'MD-ratings-year'!$I25+'MD-ratings-year'!BF8*'MD-ratings-year'!$H8)/('MD-ratings-year'!$I25+'MD-ratings-year'!$H8)</f>
        <v>7.3597092789209695</v>
      </c>
      <c r="AS24" s="242">
        <f>('MD-ratings-year'!BG25*'MD-ratings-year'!$I25+'MD-ratings-year'!BG8*'MD-ratings-year'!$H8)/('MD-ratings-year'!$I25+'MD-ratings-year'!$H8)</f>
        <v>10</v>
      </c>
      <c r="AT24" s="242">
        <f>('MD-ratings-year'!BH25*'MD-ratings-year'!$I25+'MD-ratings-year'!BH8*'MD-ratings-year'!$H8)/('MD-ratings-year'!$I25+'MD-ratings-year'!$H8)</f>
        <v>4.0667525097359185</v>
      </c>
      <c r="AU24" s="242">
        <f>('MD-ratings-year'!BI25*'MD-ratings-year'!$I25+'MD-ratings-year'!BI8*'MD-ratings-year'!$H8)/('MD-ratings-year'!$I25+'MD-ratings-year'!$H8)</f>
        <v>7.8907728088678324</v>
      </c>
      <c r="AV24" s="242">
        <f>('MD-ratings-year'!BJ25*'MD-ratings-year'!$I25+'MD-ratings-year'!BJ8*'MD-ratings-year'!$H8)/('MD-ratings-year'!$I25+'MD-ratings-year'!$H8)</f>
        <v>5.0058649534412343</v>
      </c>
      <c r="AW24" s="242">
        <f>('MD-ratings-year'!BK25*'MD-ratings-year'!$I25+'MD-ratings-year'!BK8*'MD-ratings-year'!$H8)/('MD-ratings-year'!$I25+'MD-ratings-year'!$H8)</f>
        <v>5.0755170293468881</v>
      </c>
      <c r="AX24" s="242">
        <f>('MD-ratings-year'!BL25*'MD-ratings-year'!$I25+'MD-ratings-year'!BL8*'MD-ratings-year'!$H8)/('MD-ratings-year'!$I25+'MD-ratings-year'!$H8)</f>
        <v>7.9225366901498022</v>
      </c>
      <c r="AY24" s="242">
        <f>('MD-ratings-year'!BM25*'MD-ratings-year'!$I25+'MD-ratings-year'!BM8*'MD-ratings-year'!$H8)/('MD-ratings-year'!$I25+'MD-ratings-year'!$H8)</f>
        <v>7.2175313140430699</v>
      </c>
      <c r="AZ24" s="242">
        <f>('MD-ratings-year'!BN25*'MD-ratings-year'!$I25+'MD-ratings-year'!BN8*'MD-ratings-year'!$H8)/('MD-ratings-year'!$I25+'MD-ratings-year'!$H8)</f>
        <v>2.5799450340132113</v>
      </c>
      <c r="BA24" s="242">
        <f>('MD-ratings-year'!BO25*'MD-ratings-year'!$I25+'MD-ratings-year'!BO8*'MD-ratings-year'!$H8)/('MD-ratings-year'!$I25+'MD-ratings-year'!$H8)</f>
        <v>4.9357911714606599</v>
      </c>
      <c r="BB24" s="242">
        <f>('MD-ratings-year'!BP25*'MD-ratings-year'!$I25+'MD-ratings-year'!BP8*'MD-ratings-year'!$H8)/('MD-ratings-year'!$I25+'MD-ratings-year'!$H8)</f>
        <v>4.2059169467766031</v>
      </c>
      <c r="BC24" s="242">
        <f>('MD-ratings-year'!BQ25*'MD-ratings-year'!$I25+'MD-ratings-year'!BQ8*'MD-ratings-year'!$H8)/('MD-ratings-year'!$I25+'MD-ratings-year'!$H8)</f>
        <v>7.5295721154666664</v>
      </c>
      <c r="BD24" s="242">
        <f>('MD-ratings-year'!BR25*'MD-ratings-year'!$I25+'MD-ratings-year'!BR8*'MD-ratings-year'!$H8)/('MD-ratings-year'!$I25+'MD-ratings-year'!$H8)</f>
        <v>7.8492341068739204</v>
      </c>
      <c r="BE24" s="242">
        <f>('MD-ratings-year'!BS25*'MD-ratings-year'!$I25+'MD-ratings-year'!BS8*'MD-ratings-year'!$H8)/('MD-ratings-year'!$I25+'MD-ratings-year'!$H8)</f>
        <v>2.2591873527993021</v>
      </c>
      <c r="BF24" s="242">
        <f>('MD-ratings-year'!BT25*'MD-ratings-year'!$I25+'MD-ratings-year'!BT8*'MD-ratings-year'!$H8)/('MD-ratings-year'!$I25+'MD-ratings-year'!$H8)</f>
        <v>5.7664511408666277</v>
      </c>
    </row>
    <row r="25" spans="1:58" ht="15.75" customHeight="1" thickBot="1" x14ac:dyDescent="0.3">
      <c r="A25" s="640"/>
      <c r="B25" s="669"/>
      <c r="C25" s="418">
        <f>'MD-ratings-year'!C26</f>
        <v>0.05</v>
      </c>
      <c r="D25" s="419" t="str">
        <f>'MD-ratings-year'!D26</f>
        <v>ROE - Return on Equity</v>
      </c>
      <c r="E25" s="420" t="str">
        <f>'MD-ratings-year'!E26</f>
        <v>Net Profit ÷ Equity</v>
      </c>
      <c r="F25" s="224" t="s">
        <v>400</v>
      </c>
      <c r="G25" s="653"/>
      <c r="I25" s="242">
        <f>('MD-ratings-year'!W26*'MD-ratings-year'!$I26+'MD-ratings-year'!W9*'MD-ratings-year'!$H9)/('MD-ratings-year'!$I26+'MD-ratings-year'!$H9)</f>
        <v>7.3396227893814556</v>
      </c>
      <c r="J25" s="242">
        <f>('MD-ratings-year'!X26*'MD-ratings-year'!$I26+'MD-ratings-year'!X9*'MD-ratings-year'!$H9)/('MD-ratings-year'!$I26+'MD-ratings-year'!$H9)</f>
        <v>6.9957274334492894</v>
      </c>
      <c r="K25" s="242">
        <f>('MD-ratings-year'!Y26*'MD-ratings-year'!$I26+'MD-ratings-year'!Y9*'MD-ratings-year'!$H9)/('MD-ratings-year'!$I26+'MD-ratings-year'!$H9)</f>
        <v>1.7578903059556541</v>
      </c>
      <c r="L25" s="242">
        <f>('MD-ratings-year'!Z26*'MD-ratings-year'!$I26+'MD-ratings-year'!Z9*'MD-ratings-year'!$H9)/('MD-ratings-year'!$I26+'MD-ratings-year'!$H9)</f>
        <v>4.0954304505792303</v>
      </c>
      <c r="M25" s="242">
        <f>('MD-ratings-year'!AA26*'MD-ratings-year'!$I26+'MD-ratings-year'!AA9*'MD-ratings-year'!$H9)/('MD-ratings-year'!$I26+'MD-ratings-year'!$H9)</f>
        <v>8.5690779441963141</v>
      </c>
      <c r="N25" s="242">
        <f>('MD-ratings-year'!AB26*'MD-ratings-year'!$I26+'MD-ratings-year'!AB9*'MD-ratings-year'!$H9)/('MD-ratings-year'!$I26+'MD-ratings-year'!$H9)</f>
        <v>1.2385917395186448E-2</v>
      </c>
      <c r="O25" s="242">
        <f>('MD-ratings-year'!AC26*'MD-ratings-year'!$I26+'MD-ratings-year'!AC9*'MD-ratings-year'!$H9)/('MD-ratings-year'!$I26+'MD-ratings-year'!$H9)</f>
        <v>7.4669177773536735</v>
      </c>
      <c r="P25" s="242">
        <f>('MD-ratings-year'!AD26*'MD-ratings-year'!$I26+'MD-ratings-year'!AD9*'MD-ratings-year'!$H9)/('MD-ratings-year'!$I26+'MD-ratings-year'!$H9)</f>
        <v>7.2249698985734074</v>
      </c>
      <c r="Q25" s="242">
        <f>('MD-ratings-year'!AE26*'MD-ratings-year'!$I26+'MD-ratings-year'!AE9*'MD-ratings-year'!$H9)/('MD-ratings-year'!$I26+'MD-ratings-year'!$H9)</f>
        <v>6.3397121072166902</v>
      </c>
      <c r="R25" s="242">
        <f>('MD-ratings-year'!AF26*'MD-ratings-year'!$I26+'MD-ratings-year'!AF9*'MD-ratings-year'!$H9)/('MD-ratings-year'!$I26+'MD-ratings-year'!$H9)</f>
        <v>3.0204879867359424</v>
      </c>
      <c r="S25" s="242">
        <f>('MD-ratings-year'!AG26*'MD-ratings-year'!$I26+'MD-ratings-year'!AG9*'MD-ratings-year'!$H9)/('MD-ratings-year'!$I26+'MD-ratings-year'!$H9)</f>
        <v>5.0330923527837568</v>
      </c>
      <c r="T25" s="242">
        <f>('MD-ratings-year'!AH26*'MD-ratings-year'!$I26+'MD-ratings-year'!AH9*'MD-ratings-year'!$H9)/('MD-ratings-year'!$I26+'MD-ratings-year'!$H9)</f>
        <v>6.6285442201315918</v>
      </c>
      <c r="U25" s="242">
        <f>('MD-ratings-year'!AI26*'MD-ratings-year'!$I26+'MD-ratings-year'!AI9*'MD-ratings-year'!$H9)/('MD-ratings-year'!$I26+'MD-ratings-year'!$H9)</f>
        <v>8.711723614634673</v>
      </c>
      <c r="V25" s="242">
        <f>('MD-ratings-year'!AJ26*'MD-ratings-year'!$I26+'MD-ratings-year'!AJ9*'MD-ratings-year'!$H9)/('MD-ratings-year'!$I26+'MD-ratings-year'!$H9)</f>
        <v>3.1598448613676928</v>
      </c>
      <c r="W25" s="242">
        <f>('MD-ratings-year'!AK26*'MD-ratings-year'!$I26+'MD-ratings-year'!AK9*'MD-ratings-year'!$H9)/('MD-ratings-year'!$I26+'MD-ratings-year'!$H9)</f>
        <v>8.9805145827094783</v>
      </c>
      <c r="X25" s="242">
        <f>('MD-ratings-year'!AL26*'MD-ratings-year'!$I26+'MD-ratings-year'!AL9*'MD-ratings-year'!$H9)/('MD-ratings-year'!$I26+'MD-ratings-year'!$H9)</f>
        <v>5.534198040239338</v>
      </c>
      <c r="Y25" s="242">
        <f>('MD-ratings-year'!AM26*'MD-ratings-year'!$I26+'MD-ratings-year'!AM9*'MD-ratings-year'!$H9)/('MD-ratings-year'!$I26+'MD-ratings-year'!$H9)</f>
        <v>6.8956710071435321</v>
      </c>
      <c r="Z25" s="242">
        <f>('MD-ratings-year'!AN26*'MD-ratings-year'!$I26+'MD-ratings-year'!AN9*'MD-ratings-year'!$H9)/('MD-ratings-year'!$I26+'MD-ratings-year'!$H9)</f>
        <v>8.780870930499205</v>
      </c>
      <c r="AA25" s="242">
        <f>('MD-ratings-year'!AO26*'MD-ratings-year'!$I26+'MD-ratings-year'!AO9*'MD-ratings-year'!$H9)/('MD-ratings-year'!$I26+'MD-ratings-year'!$H9)</f>
        <v>5.7012238771469201</v>
      </c>
      <c r="AB25" s="242">
        <f>('MD-ratings-year'!AP26*'MD-ratings-year'!$I26+'MD-ratings-year'!AP9*'MD-ratings-year'!$H9)/('MD-ratings-year'!$I26+'MD-ratings-year'!$H9)</f>
        <v>7.3070241323112928</v>
      </c>
      <c r="AC25" s="242">
        <f>('MD-ratings-year'!AQ26*'MD-ratings-year'!$I26+'MD-ratings-year'!AQ9*'MD-ratings-year'!$H9)/('MD-ratings-year'!$I26+'MD-ratings-year'!$H9)</f>
        <v>4.210650964886649</v>
      </c>
      <c r="AD25" s="242">
        <f>('MD-ratings-year'!AR26*'MD-ratings-year'!$I26+'MD-ratings-year'!AR9*'MD-ratings-year'!$H9)/('MD-ratings-year'!$I26+'MD-ratings-year'!$H9)</f>
        <v>9.0582931473687331</v>
      </c>
      <c r="AE25" s="242">
        <f>('MD-ratings-year'!AS26*'MD-ratings-year'!$I26+'MD-ratings-year'!AS9*'MD-ratings-year'!$H9)/('MD-ratings-year'!$I26+'MD-ratings-year'!$H9)</f>
        <v>1.7445303281895643</v>
      </c>
      <c r="AF25" s="242">
        <f>('MD-ratings-year'!AT26*'MD-ratings-year'!$I26+'MD-ratings-year'!AT9*'MD-ratings-year'!$H9)/('MD-ratings-year'!$I26+'MD-ratings-year'!$H9)</f>
        <v>8.5607513535749753</v>
      </c>
      <c r="AG25" s="242">
        <f>('MD-ratings-year'!AU26*'MD-ratings-year'!$I26+'MD-ratings-year'!AU9*'MD-ratings-year'!$H9)/('MD-ratings-year'!$I26+'MD-ratings-year'!$H9)</f>
        <v>5.3121640456217518</v>
      </c>
      <c r="AH25" s="242">
        <f>('MD-ratings-year'!AV26*'MD-ratings-year'!$I26+'MD-ratings-year'!AV9*'MD-ratings-year'!$H9)/('MD-ratings-year'!$I26+'MD-ratings-year'!$H9)</f>
        <v>9.5828648471764666</v>
      </c>
      <c r="AI25" s="242">
        <f>('MD-ratings-year'!AW26*'MD-ratings-year'!$I26+'MD-ratings-year'!AW9*'MD-ratings-year'!$H9)/('MD-ratings-year'!$I26+'MD-ratings-year'!$H9)</f>
        <v>9.1529713152889087</v>
      </c>
      <c r="AJ25" s="242">
        <f>('MD-ratings-year'!AX26*'MD-ratings-year'!$I26+'MD-ratings-year'!AX9*'MD-ratings-year'!$H9)/('MD-ratings-year'!$I26+'MD-ratings-year'!$H9)</f>
        <v>4.4279583170664392</v>
      </c>
      <c r="AK25" s="242">
        <f>('MD-ratings-year'!AY26*'MD-ratings-year'!$I26+'MD-ratings-year'!AY9*'MD-ratings-year'!$H9)/('MD-ratings-year'!$I26+'MD-ratings-year'!$H9)</f>
        <v>7.2192424088778244</v>
      </c>
      <c r="AL25" s="242">
        <f>('MD-ratings-year'!AZ26*'MD-ratings-year'!$I26+'MD-ratings-year'!AZ9*'MD-ratings-year'!$H9)/('MD-ratings-year'!$I26+'MD-ratings-year'!$H9)</f>
        <v>6.0366707314482673</v>
      </c>
      <c r="AM25" s="242">
        <f>('MD-ratings-year'!BA26*'MD-ratings-year'!$I26+'MD-ratings-year'!BA9*'MD-ratings-year'!$H9)/('MD-ratings-year'!$I26+'MD-ratings-year'!$H9)</f>
        <v>9.213421409660226</v>
      </c>
      <c r="AN25" s="242">
        <f>('MD-ratings-year'!BB26*'MD-ratings-year'!$I26+'MD-ratings-year'!BB9*'MD-ratings-year'!$H9)/('MD-ratings-year'!$I26+'MD-ratings-year'!$H9)</f>
        <v>2.3446155569736464</v>
      </c>
      <c r="AO25" s="242">
        <f>('MD-ratings-year'!BC26*'MD-ratings-year'!$I26+'MD-ratings-year'!BC9*'MD-ratings-year'!$H9)/('MD-ratings-year'!$I26+'MD-ratings-year'!$H9)</f>
        <v>9.6206361886904919</v>
      </c>
      <c r="AP25" s="242">
        <f>('MD-ratings-year'!BD26*'MD-ratings-year'!$I26+'MD-ratings-year'!BD9*'MD-ratings-year'!$H9)/('MD-ratings-year'!$I26+'MD-ratings-year'!$H9)</f>
        <v>8.8434238836137524</v>
      </c>
      <c r="AQ25" s="242">
        <f>('MD-ratings-year'!BE26*'MD-ratings-year'!$I26+'MD-ratings-year'!BE9*'MD-ratings-year'!$H9)/('MD-ratings-year'!$I26+'MD-ratings-year'!$H9)</f>
        <v>7.447649696792455</v>
      </c>
      <c r="AR25" s="242">
        <f>('MD-ratings-year'!BF26*'MD-ratings-year'!$I26+'MD-ratings-year'!BF9*'MD-ratings-year'!$H9)/('MD-ratings-year'!$I26+'MD-ratings-year'!$H9)</f>
        <v>6.5455955408379527</v>
      </c>
      <c r="AS25" s="242">
        <f>('MD-ratings-year'!BG26*'MD-ratings-year'!$I26+'MD-ratings-year'!BG9*'MD-ratings-year'!$H9)/('MD-ratings-year'!$I26+'MD-ratings-year'!$H9)</f>
        <v>9.5714285654575111</v>
      </c>
      <c r="AT25" s="242">
        <f>('MD-ratings-year'!BH26*'MD-ratings-year'!$I26+'MD-ratings-year'!BH9*'MD-ratings-year'!$H9)/('MD-ratings-year'!$I26+'MD-ratings-year'!$H9)</f>
        <v>4.5034663706762634</v>
      </c>
      <c r="AU25" s="242">
        <f>('MD-ratings-year'!BI26*'MD-ratings-year'!$I26+'MD-ratings-year'!BI9*'MD-ratings-year'!$H9)/('MD-ratings-year'!$I26+'MD-ratings-year'!$H9)</f>
        <v>7.0345100734303037</v>
      </c>
      <c r="AV25" s="242">
        <f>('MD-ratings-year'!BJ26*'MD-ratings-year'!$I26+'MD-ratings-year'!BJ9*'MD-ratings-year'!$H9)/('MD-ratings-year'!$I26+'MD-ratings-year'!$H9)</f>
        <v>5.0239846983797651</v>
      </c>
      <c r="AW25" s="242">
        <f>('MD-ratings-year'!BK26*'MD-ratings-year'!$I26+'MD-ratings-year'!BK9*'MD-ratings-year'!$H9)/('MD-ratings-year'!$I26+'MD-ratings-year'!$H9)</f>
        <v>5.0786728884871382</v>
      </c>
      <c r="AX25" s="242">
        <f>('MD-ratings-year'!BL26*'MD-ratings-year'!$I26+'MD-ratings-year'!BL9*'MD-ratings-year'!$H9)/('MD-ratings-year'!$I26+'MD-ratings-year'!$H9)</f>
        <v>7.4690285657414988</v>
      </c>
      <c r="AY25" s="242">
        <f>('MD-ratings-year'!BM26*'MD-ratings-year'!$I26+'MD-ratings-year'!BM9*'MD-ratings-year'!$H9)/('MD-ratings-year'!$I26+'MD-ratings-year'!$H9)</f>
        <v>7.5842749618489167</v>
      </c>
      <c r="AZ25" s="242">
        <f>('MD-ratings-year'!BN26*'MD-ratings-year'!$I26+'MD-ratings-year'!BN9*'MD-ratings-year'!$H9)/('MD-ratings-year'!$I26+'MD-ratings-year'!$H9)</f>
        <v>3.0034355427727744</v>
      </c>
      <c r="BA25" s="242">
        <f>('MD-ratings-year'!BO26*'MD-ratings-year'!$I26+'MD-ratings-year'!BO9*'MD-ratings-year'!$H9)/('MD-ratings-year'!$I26+'MD-ratings-year'!$H9)</f>
        <v>4.6648725555391559</v>
      </c>
      <c r="BB25" s="242">
        <f>('MD-ratings-year'!BP26*'MD-ratings-year'!$I26+'MD-ratings-year'!BP9*'MD-ratings-year'!$H9)/('MD-ratings-year'!$I26+'MD-ratings-year'!$H9)</f>
        <v>4.2831624035909508</v>
      </c>
      <c r="BC25" s="242">
        <f>('MD-ratings-year'!BQ26*'MD-ratings-year'!$I26+'MD-ratings-year'!BQ9*'MD-ratings-year'!$H9)/('MD-ratings-year'!$I26+'MD-ratings-year'!$H9)</f>
        <v>8.525859378656822</v>
      </c>
      <c r="BD25" s="242">
        <f>('MD-ratings-year'!BR26*'MD-ratings-year'!$I26+'MD-ratings-year'!BR9*'MD-ratings-year'!$H9)/('MD-ratings-year'!$I26+'MD-ratings-year'!$H9)</f>
        <v>7.7623158218411037</v>
      </c>
      <c r="BE25" s="242">
        <f>('MD-ratings-year'!BS26*'MD-ratings-year'!$I26+'MD-ratings-year'!BS9*'MD-ratings-year'!$H9)/('MD-ratings-year'!$I26+'MD-ratings-year'!$H9)</f>
        <v>3.1526893208716298</v>
      </c>
      <c r="BF25" s="242">
        <f>('MD-ratings-year'!BT26*'MD-ratings-year'!$I26+'MD-ratings-year'!BT9*'MD-ratings-year'!$H9)/('MD-ratings-year'!$I26+'MD-ratings-year'!$H9)</f>
        <v>5.5054657588971425</v>
      </c>
    </row>
    <row r="26" spans="1:58" ht="15.75" customHeight="1" thickBot="1" x14ac:dyDescent="0.3">
      <c r="A26" s="640"/>
      <c r="B26" s="669"/>
      <c r="C26" s="418">
        <f>'MD-ratings-year'!C27</f>
        <v>0.1</v>
      </c>
      <c r="D26" s="419" t="str">
        <f>'MD-ratings-year'!D27</f>
        <v>ROS – Return on Sales</v>
      </c>
      <c r="E26" s="420" t="str">
        <f>'MD-ratings-year'!E27</f>
        <v>Net Profit ÷ Sales</v>
      </c>
      <c r="F26" s="224" t="s">
        <v>400</v>
      </c>
      <c r="G26" s="653"/>
      <c r="I26" s="242">
        <f>('MD-ratings-year'!W27*'MD-ratings-year'!$I27+'MD-ratings-year'!W10*'MD-ratings-year'!$H10)/('MD-ratings-year'!$I27+'MD-ratings-year'!$H10)</f>
        <v>9.3969835794085039</v>
      </c>
      <c r="J26" s="242">
        <f>('MD-ratings-year'!X27*'MD-ratings-year'!$I27+'MD-ratings-year'!X10*'MD-ratings-year'!$H10)/('MD-ratings-year'!$I27+'MD-ratings-year'!$H10)</f>
        <v>6.5119585627827901</v>
      </c>
      <c r="K26" s="242">
        <f>('MD-ratings-year'!Y27*'MD-ratings-year'!$I27+'MD-ratings-year'!Y10*'MD-ratings-year'!$H10)/('MD-ratings-year'!$I27+'MD-ratings-year'!$H10)</f>
        <v>1.4309043790992972</v>
      </c>
      <c r="L26" s="242">
        <f>('MD-ratings-year'!Z27*'MD-ratings-year'!$I27+'MD-ratings-year'!Z10*'MD-ratings-year'!$H10)/('MD-ratings-year'!$I27+'MD-ratings-year'!$H10)</f>
        <v>2.7975311405509085</v>
      </c>
      <c r="M26" s="242">
        <f>('MD-ratings-year'!AA27*'MD-ratings-year'!$I27+'MD-ratings-year'!AA10*'MD-ratings-year'!$H10)/('MD-ratings-year'!$I27+'MD-ratings-year'!$H10)</f>
        <v>10</v>
      </c>
      <c r="N26" s="242">
        <f>('MD-ratings-year'!AB27*'MD-ratings-year'!$I27+'MD-ratings-year'!AB10*'MD-ratings-year'!$H10)/('MD-ratings-year'!$I27+'MD-ratings-year'!$H10)</f>
        <v>0</v>
      </c>
      <c r="O26" s="242">
        <f>('MD-ratings-year'!AC27*'MD-ratings-year'!$I27+'MD-ratings-year'!AC10*'MD-ratings-year'!$H10)/('MD-ratings-year'!$I27+'MD-ratings-year'!$H10)</f>
        <v>7.8105630484464825</v>
      </c>
      <c r="P26" s="242">
        <f>('MD-ratings-year'!AD27*'MD-ratings-year'!$I27+'MD-ratings-year'!AD10*'MD-ratings-year'!$H10)/('MD-ratings-year'!$I27+'MD-ratings-year'!$H10)</f>
        <v>9.3069915637534191</v>
      </c>
      <c r="Q26" s="242">
        <f>('MD-ratings-year'!AE27*'MD-ratings-year'!$I27+'MD-ratings-year'!AE10*'MD-ratings-year'!$H10)/('MD-ratings-year'!$I27+'MD-ratings-year'!$H10)</f>
        <v>6.3790011352125529</v>
      </c>
      <c r="R26" s="242">
        <f>('MD-ratings-year'!AF27*'MD-ratings-year'!$I27+'MD-ratings-year'!AF10*'MD-ratings-year'!$H10)/('MD-ratings-year'!$I27+'MD-ratings-year'!$H10)</f>
        <v>1.2175594287397342</v>
      </c>
      <c r="S26" s="242">
        <f>('MD-ratings-year'!AG27*'MD-ratings-year'!$I27+'MD-ratings-year'!AG10*'MD-ratings-year'!$H10)/('MD-ratings-year'!$I27+'MD-ratings-year'!$H10)</f>
        <v>7.572026489403874</v>
      </c>
      <c r="T26" s="242">
        <f>('MD-ratings-year'!AH27*'MD-ratings-year'!$I27+'MD-ratings-year'!AH10*'MD-ratings-year'!$H10)/('MD-ratings-year'!$I27+'MD-ratings-year'!$H10)</f>
        <v>7.5857050303706668</v>
      </c>
      <c r="U26" s="242">
        <f>('MD-ratings-year'!AI27*'MD-ratings-year'!$I27+'MD-ratings-year'!AI10*'MD-ratings-year'!$H10)/('MD-ratings-year'!$I27+'MD-ratings-year'!$H10)</f>
        <v>9.9803211777699801</v>
      </c>
      <c r="V26" s="242">
        <f>('MD-ratings-year'!AJ27*'MD-ratings-year'!$I27+'MD-ratings-year'!AJ10*'MD-ratings-year'!$H10)/('MD-ratings-year'!$I27+'MD-ratings-year'!$H10)</f>
        <v>3.5820794792558295</v>
      </c>
      <c r="W26" s="242">
        <f>('MD-ratings-year'!AK27*'MD-ratings-year'!$I27+'MD-ratings-year'!AK10*'MD-ratings-year'!$H10)/('MD-ratings-year'!$I27+'MD-ratings-year'!$H10)</f>
        <v>6.6156600901210334</v>
      </c>
      <c r="X26" s="242">
        <f>('MD-ratings-year'!AL27*'MD-ratings-year'!$I27+'MD-ratings-year'!AL10*'MD-ratings-year'!$H10)/('MD-ratings-year'!$I27+'MD-ratings-year'!$H10)</f>
        <v>5.7951680522586013</v>
      </c>
      <c r="Y26" s="242">
        <f>('MD-ratings-year'!AM27*'MD-ratings-year'!$I27+'MD-ratings-year'!AM10*'MD-ratings-year'!$H10)/('MD-ratings-year'!$I27+'MD-ratings-year'!$H10)</f>
        <v>6.6882028697718612</v>
      </c>
      <c r="Z26" s="242">
        <f>('MD-ratings-year'!AN27*'MD-ratings-year'!$I27+'MD-ratings-year'!AN10*'MD-ratings-year'!$H10)/('MD-ratings-year'!$I27+'MD-ratings-year'!$H10)</f>
        <v>6.3961749025701504</v>
      </c>
      <c r="AA26" s="242">
        <f>('MD-ratings-year'!AO27*'MD-ratings-year'!$I27+'MD-ratings-year'!AO10*'MD-ratings-year'!$H10)/('MD-ratings-year'!$I27+'MD-ratings-year'!$H10)</f>
        <v>6.2002676365743197</v>
      </c>
      <c r="AB26" s="242">
        <f>('MD-ratings-year'!AP27*'MD-ratings-year'!$I27+'MD-ratings-year'!AP10*'MD-ratings-year'!$H10)/('MD-ratings-year'!$I27+'MD-ratings-year'!$H10)</f>
        <v>6.8957687068792053</v>
      </c>
      <c r="AC26" s="242">
        <f>('MD-ratings-year'!AQ27*'MD-ratings-year'!$I27+'MD-ratings-year'!AQ10*'MD-ratings-year'!$H10)/('MD-ratings-year'!$I27+'MD-ratings-year'!$H10)</f>
        <v>4.1440952308358723</v>
      </c>
      <c r="AD26" s="242">
        <f>('MD-ratings-year'!AR27*'MD-ratings-year'!$I27+'MD-ratings-year'!AR10*'MD-ratings-year'!$H10)/('MD-ratings-year'!$I27+'MD-ratings-year'!$H10)</f>
        <v>7.9988006469132342</v>
      </c>
      <c r="AE26" s="242">
        <f>('MD-ratings-year'!AS27*'MD-ratings-year'!$I27+'MD-ratings-year'!AS10*'MD-ratings-year'!$H10)/('MD-ratings-year'!$I27+'MD-ratings-year'!$H10)</f>
        <v>1.7715597289646072</v>
      </c>
      <c r="AF26" s="242">
        <f>('MD-ratings-year'!AT27*'MD-ratings-year'!$I27+'MD-ratings-year'!AT10*'MD-ratings-year'!$H10)/('MD-ratings-year'!$I27+'MD-ratings-year'!$H10)</f>
        <v>6.9962628697016873</v>
      </c>
      <c r="AG26" s="242">
        <f>('MD-ratings-year'!AU27*'MD-ratings-year'!$I27+'MD-ratings-year'!AU10*'MD-ratings-year'!$H10)/('MD-ratings-year'!$I27+'MD-ratings-year'!$H10)</f>
        <v>4.6219456210013723</v>
      </c>
      <c r="AH26" s="242">
        <f>('MD-ratings-year'!AV27*'MD-ratings-year'!$I27+'MD-ratings-year'!AV10*'MD-ratings-year'!$H10)/('MD-ratings-year'!$I27+'MD-ratings-year'!$H10)</f>
        <v>5.546315846764001</v>
      </c>
      <c r="AI26" s="242">
        <f>('MD-ratings-year'!AW27*'MD-ratings-year'!$I27+'MD-ratings-year'!AW10*'MD-ratings-year'!$H10)/('MD-ratings-year'!$I27+'MD-ratings-year'!$H10)</f>
        <v>9.264236784451553</v>
      </c>
      <c r="AJ26" s="242">
        <f>('MD-ratings-year'!AX27*'MD-ratings-year'!$I27+'MD-ratings-year'!AX10*'MD-ratings-year'!$H10)/('MD-ratings-year'!$I27+'MD-ratings-year'!$H10)</f>
        <v>3.9907383560395266</v>
      </c>
      <c r="AK26" s="242">
        <f>('MD-ratings-year'!AY27*'MD-ratings-year'!$I27+'MD-ratings-year'!AY10*'MD-ratings-year'!$H10)/('MD-ratings-year'!$I27+'MD-ratings-year'!$H10)</f>
        <v>8.6872447592047894</v>
      </c>
      <c r="AL26" s="242">
        <f>('MD-ratings-year'!AZ27*'MD-ratings-year'!$I27+'MD-ratings-year'!AZ10*'MD-ratings-year'!$H10)/('MD-ratings-year'!$I27+'MD-ratings-year'!$H10)</f>
        <v>6.2422248311130408</v>
      </c>
      <c r="AM26" s="242">
        <f>('MD-ratings-year'!BA27*'MD-ratings-year'!$I27+'MD-ratings-year'!BA10*'MD-ratings-year'!$H10)/('MD-ratings-year'!$I27+'MD-ratings-year'!$H10)</f>
        <v>8.8518081256478514</v>
      </c>
      <c r="AN26" s="242">
        <f>('MD-ratings-year'!BB27*'MD-ratings-year'!$I27+'MD-ratings-year'!BB10*'MD-ratings-year'!$H10)/('MD-ratings-year'!$I27+'MD-ratings-year'!$H10)</f>
        <v>2.7135840274487983</v>
      </c>
      <c r="AO26" s="242">
        <f>('MD-ratings-year'!BC27*'MD-ratings-year'!$I27+'MD-ratings-year'!BC10*'MD-ratings-year'!$H10)/('MD-ratings-year'!$I27+'MD-ratings-year'!$H10)</f>
        <v>9.8450980165689366</v>
      </c>
      <c r="AP26" s="242">
        <f>('MD-ratings-year'!BD27*'MD-ratings-year'!$I27+'MD-ratings-year'!BD10*'MD-ratings-year'!$H10)/('MD-ratings-year'!$I27+'MD-ratings-year'!$H10)</f>
        <v>7.5080693514868022</v>
      </c>
      <c r="AQ26" s="242">
        <f>('MD-ratings-year'!BE27*'MD-ratings-year'!$I27+'MD-ratings-year'!BE10*'MD-ratings-year'!$H10)/('MD-ratings-year'!$I27+'MD-ratings-year'!$H10)</f>
        <v>7.1137535985198452</v>
      </c>
      <c r="AR26" s="242">
        <f>('MD-ratings-year'!BF27*'MD-ratings-year'!$I27+'MD-ratings-year'!BF10*'MD-ratings-year'!$H10)/('MD-ratings-year'!$I27+'MD-ratings-year'!$H10)</f>
        <v>7.0890803303944887</v>
      </c>
      <c r="AS26" s="242">
        <f>('MD-ratings-year'!BG27*'MD-ratings-year'!$I27+'MD-ratings-year'!BG10*'MD-ratings-year'!$H10)/('MD-ratings-year'!$I27+'MD-ratings-year'!$H10)</f>
        <v>10</v>
      </c>
      <c r="AT26" s="242">
        <f>('MD-ratings-year'!BH27*'MD-ratings-year'!$I27+'MD-ratings-year'!BH10*'MD-ratings-year'!$H10)/('MD-ratings-year'!$I27+'MD-ratings-year'!$H10)</f>
        <v>0.92057531819225624</v>
      </c>
      <c r="AU26" s="242">
        <f>('MD-ratings-year'!BI27*'MD-ratings-year'!$I27+'MD-ratings-year'!BI10*'MD-ratings-year'!$H10)/('MD-ratings-year'!$I27+'MD-ratings-year'!$H10)</f>
        <v>8.9654411533742557</v>
      </c>
      <c r="AV26" s="242">
        <f>('MD-ratings-year'!BJ27*'MD-ratings-year'!$I27+'MD-ratings-year'!BJ10*'MD-ratings-year'!$H10)/('MD-ratings-year'!$I27+'MD-ratings-year'!$H10)</f>
        <v>5.1212557590002161</v>
      </c>
      <c r="AW26" s="242">
        <f>('MD-ratings-year'!BK27*'MD-ratings-year'!$I27+'MD-ratings-year'!BK10*'MD-ratings-year'!$H10)/('MD-ratings-year'!$I27+'MD-ratings-year'!$H10)</f>
        <v>5.1670633744184915</v>
      </c>
      <c r="AX26" s="242">
        <f>('MD-ratings-year'!BL27*'MD-ratings-year'!$I27+'MD-ratings-year'!BL10*'MD-ratings-year'!$H10)/('MD-ratings-year'!$I27+'MD-ratings-year'!$H10)</f>
        <v>7.9487146094092722</v>
      </c>
      <c r="AY26" s="242">
        <f>('MD-ratings-year'!BM27*'MD-ratings-year'!$I27+'MD-ratings-year'!BM10*'MD-ratings-year'!$H10)/('MD-ratings-year'!$I27+'MD-ratings-year'!$H10)</f>
        <v>6.1833847824976811</v>
      </c>
      <c r="AZ26" s="242">
        <f>('MD-ratings-year'!BN27*'MD-ratings-year'!$I27+'MD-ratings-year'!BN10*'MD-ratings-year'!$H10)/('MD-ratings-year'!$I27+'MD-ratings-year'!$H10)</f>
        <v>2.963050916408676</v>
      </c>
      <c r="BA26" s="242">
        <f>('MD-ratings-year'!BO27*'MD-ratings-year'!$I27+'MD-ratings-year'!BO10*'MD-ratings-year'!$H10)/('MD-ratings-year'!$I27+'MD-ratings-year'!$H10)</f>
        <v>4.9517406205486054</v>
      </c>
      <c r="BB26" s="242">
        <f>('MD-ratings-year'!BP27*'MD-ratings-year'!$I27+'MD-ratings-year'!BP10*'MD-ratings-year'!$H10)/('MD-ratings-year'!$I27+'MD-ratings-year'!$H10)</f>
        <v>4.0983111850581002</v>
      </c>
      <c r="BC26" s="242">
        <f>('MD-ratings-year'!BQ27*'MD-ratings-year'!$I27+'MD-ratings-year'!BQ10*'MD-ratings-year'!$H10)/('MD-ratings-year'!$I27+'MD-ratings-year'!$H10)</f>
        <v>8.2884711837938081</v>
      </c>
      <c r="BD26" s="242">
        <f>('MD-ratings-year'!BR27*'MD-ratings-year'!$I27+'MD-ratings-year'!BR10*'MD-ratings-year'!$H10)/('MD-ratings-year'!$I27+'MD-ratings-year'!$H10)</f>
        <v>7.9138891966612892</v>
      </c>
      <c r="BE26" s="242">
        <f>('MD-ratings-year'!BS27*'MD-ratings-year'!$I27+'MD-ratings-year'!BS10*'MD-ratings-year'!$H10)/('MD-ratings-year'!$I27+'MD-ratings-year'!$H10)</f>
        <v>0</v>
      </c>
      <c r="BF26" s="242">
        <f>('MD-ratings-year'!BT27*'MD-ratings-year'!$I27+'MD-ratings-year'!BT10*'MD-ratings-year'!$H10)/('MD-ratings-year'!$I27+'MD-ratings-year'!$H10)</f>
        <v>5.5936617012910705</v>
      </c>
    </row>
    <row r="27" spans="1:58" s="270" customFormat="1" ht="15.75" customHeight="1" thickBot="1" x14ac:dyDescent="0.3">
      <c r="A27" s="641"/>
      <c r="B27" s="670"/>
      <c r="C27" s="647" t="str">
        <f>'MD-ratings-year'!C28:E28</f>
        <v>Profitability total</v>
      </c>
      <c r="D27" s="648"/>
      <c r="E27" s="649"/>
      <c r="F27" s="270" t="s">
        <v>400</v>
      </c>
      <c r="G27" s="653"/>
      <c r="I27" s="269">
        <f>SUMPRODUCT(I24:I26,$C24:$C26)/SUM($C24:$C26)</f>
        <v>8.5562820075603891</v>
      </c>
      <c r="J27" s="269">
        <f t="shared" ref="J27:BF27" si="6">SUMPRODUCT(J24:J26,$C24:$C26)/SUM($C24:$C26)</f>
        <v>6.9644109672582601</v>
      </c>
      <c r="K27" s="269">
        <f t="shared" si="6"/>
        <v>1.7348353515635599</v>
      </c>
      <c r="L27" s="269">
        <f t="shared" si="6"/>
        <v>3.4213723971585925</v>
      </c>
      <c r="M27" s="269">
        <f t="shared" si="6"/>
        <v>9.4933486801349503</v>
      </c>
      <c r="N27" s="269">
        <f t="shared" si="6"/>
        <v>2.4771834790372899E-3</v>
      </c>
      <c r="O27" s="269">
        <f t="shared" si="6"/>
        <v>7.1331752661757033</v>
      </c>
      <c r="P27" s="269">
        <f t="shared" si="6"/>
        <v>8.4657862151795413</v>
      </c>
      <c r="Q27" s="269">
        <f t="shared" si="6"/>
        <v>6.680513715624441</v>
      </c>
      <c r="R27" s="269">
        <f t="shared" si="6"/>
        <v>2.0281497707943106</v>
      </c>
      <c r="S27" s="269">
        <f t="shared" si="6"/>
        <v>6.0562894835221535</v>
      </c>
      <c r="T27" s="269">
        <f t="shared" si="6"/>
        <v>7.2956179357570008</v>
      </c>
      <c r="U27" s="269">
        <f t="shared" si="6"/>
        <v>9.6275169569653389</v>
      </c>
      <c r="V27" s="269">
        <f t="shared" si="6"/>
        <v>3.3842978105799713</v>
      </c>
      <c r="W27" s="269">
        <f t="shared" si="6"/>
        <v>7.8798815107030817</v>
      </c>
      <c r="X27" s="269">
        <f t="shared" si="6"/>
        <v>5.6728677372900078</v>
      </c>
      <c r="Y27" s="269">
        <f t="shared" si="6"/>
        <v>7.1039087036904469</v>
      </c>
      <c r="Z27" s="269">
        <f t="shared" si="6"/>
        <v>7.1713542399787462</v>
      </c>
      <c r="AA27" s="269">
        <f t="shared" si="6"/>
        <v>6.0550255746818493</v>
      </c>
      <c r="AB27" s="269">
        <f t="shared" si="6"/>
        <v>7.3338944747587629</v>
      </c>
      <c r="AC27" s="269">
        <f t="shared" si="6"/>
        <v>4.0963414731171266</v>
      </c>
      <c r="AD27" s="269">
        <f t="shared" si="6"/>
        <v>8.9880999473574636</v>
      </c>
      <c r="AE27" s="269">
        <f t="shared" si="6"/>
        <v>1.6598595168708761</v>
      </c>
      <c r="AF27" s="269">
        <f t="shared" si="6"/>
        <v>7.5537675538854412</v>
      </c>
      <c r="AG27" s="269">
        <f t="shared" si="6"/>
        <v>4.6084193942353764</v>
      </c>
      <c r="AH27" s="269">
        <f t="shared" si="6"/>
        <v>7.1284726539696575</v>
      </c>
      <c r="AI27" s="269">
        <f t="shared" si="6"/>
        <v>9.5346907879192884</v>
      </c>
      <c r="AJ27" s="269">
        <f t="shared" si="6"/>
        <v>4.1194695968384503</v>
      </c>
      <c r="AK27" s="269">
        <f t="shared" si="6"/>
        <v>8.1081315228207611</v>
      </c>
      <c r="AL27" s="269">
        <f t="shared" si="6"/>
        <v>6.3390512427639916</v>
      </c>
      <c r="AM27" s="269">
        <f t="shared" si="6"/>
        <v>9.3834075321911854</v>
      </c>
      <c r="AN27" s="269">
        <f t="shared" si="6"/>
        <v>2.4738249370083998</v>
      </c>
      <c r="AO27" s="269">
        <f t="shared" si="6"/>
        <v>9.1290581910460986</v>
      </c>
      <c r="AP27" s="269">
        <f t="shared" si="6"/>
        <v>8.6617617724295837</v>
      </c>
      <c r="AQ27" s="269">
        <f t="shared" si="6"/>
        <v>7.3393552270102287</v>
      </c>
      <c r="AR27" s="269">
        <f t="shared" si="6"/>
        <v>7.0886349518937735</v>
      </c>
      <c r="AS27" s="269">
        <f t="shared" si="6"/>
        <v>9.9142857130915019</v>
      </c>
      <c r="AT27" s="269">
        <f t="shared" si="6"/>
        <v>2.8956244053065223</v>
      </c>
      <c r="AU27" s="269">
        <f t="shared" si="6"/>
        <v>8.1493875995828979</v>
      </c>
      <c r="AV27" s="269">
        <f t="shared" si="6"/>
        <v>5.0556452246525332</v>
      </c>
      <c r="AW27" s="269">
        <f t="shared" si="6"/>
        <v>5.1127667392035789</v>
      </c>
      <c r="AX27" s="269">
        <f t="shared" si="6"/>
        <v>7.8423062329719304</v>
      </c>
      <c r="AY27" s="269">
        <f t="shared" si="6"/>
        <v>6.8772214309860846</v>
      </c>
      <c r="AZ27" s="269">
        <f t="shared" si="6"/>
        <v>2.8178854887233098</v>
      </c>
      <c r="BA27" s="269">
        <f t="shared" si="6"/>
        <v>4.8879872279115375</v>
      </c>
      <c r="BB27" s="269">
        <f t="shared" si="6"/>
        <v>4.1783237334520722</v>
      </c>
      <c r="BC27" s="269">
        <f t="shared" si="6"/>
        <v>8.032389195435556</v>
      </c>
      <c r="BD27" s="269">
        <f t="shared" si="6"/>
        <v>7.8577124857823053</v>
      </c>
      <c r="BE27" s="269">
        <f t="shared" si="6"/>
        <v>1.5342128052940469</v>
      </c>
      <c r="BF27" s="269">
        <f t="shared" si="6"/>
        <v>5.6451382886425074</v>
      </c>
    </row>
    <row r="28" spans="1:58" s="259" customFormat="1" ht="15.75" customHeight="1" thickBot="1" x14ac:dyDescent="0.3">
      <c r="A28" s="639">
        <f>'MD-ratings-year'!A29</f>
        <v>0.3</v>
      </c>
      <c r="B28" s="668" t="str">
        <f>'MD-ratings-year'!B29</f>
        <v>Leverage</v>
      </c>
      <c r="C28" s="418">
        <f>'MD-ratings-year'!C29</f>
        <v>0.15</v>
      </c>
      <c r="D28" s="419" t="str">
        <f>'MD-ratings-year'!D29</f>
        <v>Total Debt to Total Assets</v>
      </c>
      <c r="E28" s="420" t="str">
        <f>'MD-ratings-year'!E29</f>
        <v>Total Debt ÷ Total Assets</v>
      </c>
      <c r="F28" s="259" t="s">
        <v>400</v>
      </c>
      <c r="G28" s="653"/>
      <c r="I28" s="262">
        <f>('MD-ratings-year'!W29*'MD-ratings-year'!$I29+'MD-ratings-year'!W12*'MD-ratings-year'!$H12)/('MD-ratings-year'!$I29+'MD-ratings-year'!$H12)</f>
        <v>9.5353127664116304</v>
      </c>
      <c r="J28" s="262">
        <f>('MD-ratings-year'!X29*'MD-ratings-year'!$I29+'MD-ratings-year'!X12*'MD-ratings-year'!$H12)/('MD-ratings-year'!$I29+'MD-ratings-year'!$H12)</f>
        <v>0.99580283560961846</v>
      </c>
      <c r="K28" s="262">
        <f>('MD-ratings-year'!Y29*'MD-ratings-year'!$I29+'MD-ratings-year'!Y12*'MD-ratings-year'!$H12)/('MD-ratings-year'!$I29+'MD-ratings-year'!$H12)</f>
        <v>0.16021935000283019</v>
      </c>
      <c r="L28" s="262">
        <f>('MD-ratings-year'!Z29*'MD-ratings-year'!$I29+'MD-ratings-year'!Z12*'MD-ratings-year'!$H12)/('MD-ratings-year'!$I29+'MD-ratings-year'!$H12)</f>
        <v>7.1747858236904829</v>
      </c>
      <c r="M28" s="262">
        <f>('MD-ratings-year'!AA29*'MD-ratings-year'!$I29+'MD-ratings-year'!AA12*'MD-ratings-year'!$H12)/('MD-ratings-year'!$I29+'MD-ratings-year'!$H12)</f>
        <v>1.7732878719892429</v>
      </c>
      <c r="N28" s="262">
        <f>('MD-ratings-year'!AB29*'MD-ratings-year'!$I29+'MD-ratings-year'!AB12*'MD-ratings-year'!$H12)/('MD-ratings-year'!$I29+'MD-ratings-year'!$H12)</f>
        <v>5.6917675754183472</v>
      </c>
      <c r="O28" s="262">
        <f>('MD-ratings-year'!AC29*'MD-ratings-year'!$I29+'MD-ratings-year'!AC12*'MD-ratings-year'!$H12)/('MD-ratings-year'!$I29+'MD-ratings-year'!$H12)</f>
        <v>0</v>
      </c>
      <c r="P28" s="262">
        <f>('MD-ratings-year'!AD29*'MD-ratings-year'!$I29+'MD-ratings-year'!AD12*'MD-ratings-year'!$H12)/('MD-ratings-year'!$I29+'MD-ratings-year'!$H12)</f>
        <v>9.5674636008261675</v>
      </c>
      <c r="Q28" s="262">
        <f>('MD-ratings-year'!AE29*'MD-ratings-year'!$I29+'MD-ratings-year'!AE12*'MD-ratings-year'!$H12)/('MD-ratings-year'!$I29+'MD-ratings-year'!$H12)</f>
        <v>8.8215130873813585</v>
      </c>
      <c r="R28" s="262">
        <f>('MD-ratings-year'!AF29*'MD-ratings-year'!$I29+'MD-ratings-year'!AF12*'MD-ratings-year'!$H12)/('MD-ratings-year'!$I29+'MD-ratings-year'!$H12)</f>
        <v>3.9573913017667723</v>
      </c>
      <c r="S28" s="262">
        <f>('MD-ratings-year'!AG29*'MD-ratings-year'!$I29+'MD-ratings-year'!AG12*'MD-ratings-year'!$H12)/('MD-ratings-year'!$I29+'MD-ratings-year'!$H12)</f>
        <v>1.1448937900345109</v>
      </c>
      <c r="T28" s="262">
        <f>('MD-ratings-year'!AH29*'MD-ratings-year'!$I29+'MD-ratings-year'!AH12*'MD-ratings-year'!$H12)/('MD-ratings-year'!$I29+'MD-ratings-year'!$H12)</f>
        <v>7.2773464604282037</v>
      </c>
      <c r="U28" s="262">
        <f>('MD-ratings-year'!AI29*'MD-ratings-year'!$I29+'MD-ratings-year'!AI12*'MD-ratings-year'!$H12)/('MD-ratings-year'!$I29+'MD-ratings-year'!$H12)</f>
        <v>9.1136267538319213</v>
      </c>
      <c r="V28" s="262">
        <f>('MD-ratings-year'!AJ29*'MD-ratings-year'!$I29+'MD-ratings-year'!AJ12*'MD-ratings-year'!$H12)/('MD-ratings-year'!$I29+'MD-ratings-year'!$H12)</f>
        <v>1.5793108930791291</v>
      </c>
      <c r="W28" s="262">
        <f>('MD-ratings-year'!AK29*'MD-ratings-year'!$I29+'MD-ratings-year'!AK12*'MD-ratings-year'!$H12)/('MD-ratings-year'!$I29+'MD-ratings-year'!$H12)</f>
        <v>9.1019414855386422</v>
      </c>
      <c r="X28" s="262">
        <f>('MD-ratings-year'!AL29*'MD-ratings-year'!$I29+'MD-ratings-year'!AL12*'MD-ratings-year'!$H12)/('MD-ratings-year'!$I29+'MD-ratings-year'!$H12)</f>
        <v>9.2891056700284107</v>
      </c>
      <c r="Y28" s="262">
        <f>('MD-ratings-year'!AM29*'MD-ratings-year'!$I29+'MD-ratings-year'!AM12*'MD-ratings-year'!$H12)/('MD-ratings-year'!$I29+'MD-ratings-year'!$H12)</f>
        <v>7.8476161644421536</v>
      </c>
      <c r="Z28" s="262">
        <f>('MD-ratings-year'!AN29*'MD-ratings-year'!$I29+'MD-ratings-year'!AN12*'MD-ratings-year'!$H12)/('MD-ratings-year'!$I29+'MD-ratings-year'!$H12)</f>
        <v>8.7281874236344628</v>
      </c>
      <c r="AA28" s="262">
        <f>('MD-ratings-year'!AO29*'MD-ratings-year'!$I29+'MD-ratings-year'!AO12*'MD-ratings-year'!$H12)/('MD-ratings-year'!$I29+'MD-ratings-year'!$H12)</f>
        <v>8.0029113896986015</v>
      </c>
      <c r="AB28" s="262">
        <f>('MD-ratings-year'!AP29*'MD-ratings-year'!$I29+'MD-ratings-year'!AP12*'MD-ratings-year'!$H12)/('MD-ratings-year'!$I29+'MD-ratings-year'!$H12)</f>
        <v>9.0310823430373919</v>
      </c>
      <c r="AC28" s="262">
        <f>('MD-ratings-year'!AQ29*'MD-ratings-year'!$I29+'MD-ratings-year'!AQ12*'MD-ratings-year'!$H12)/('MD-ratings-year'!$I29+'MD-ratings-year'!$H12)</f>
        <v>9.1056555282738394</v>
      </c>
      <c r="AD28" s="262">
        <f>('MD-ratings-year'!AR29*'MD-ratings-year'!$I29+'MD-ratings-year'!AR12*'MD-ratings-year'!$H12)/('MD-ratings-year'!$I29+'MD-ratings-year'!$H12)</f>
        <v>9.5163896831908659</v>
      </c>
      <c r="AE28" s="262">
        <f>('MD-ratings-year'!AS29*'MD-ratings-year'!$I29+'MD-ratings-year'!AS12*'MD-ratings-year'!$H12)/('MD-ratings-year'!$I29+'MD-ratings-year'!$H12)</f>
        <v>4.3007075582013234</v>
      </c>
      <c r="AF28" s="262">
        <f>('MD-ratings-year'!AT29*'MD-ratings-year'!$I29+'MD-ratings-year'!AT12*'MD-ratings-year'!$H12)/('MD-ratings-year'!$I29+'MD-ratings-year'!$H12)</f>
        <v>4.9073973657727521</v>
      </c>
      <c r="AG28" s="262">
        <f>('MD-ratings-year'!AU29*'MD-ratings-year'!$I29+'MD-ratings-year'!AU12*'MD-ratings-year'!$H12)/('MD-ratings-year'!$I29+'MD-ratings-year'!$H12)</f>
        <v>0.83993084228998782</v>
      </c>
      <c r="AH28" s="262">
        <f>('MD-ratings-year'!AV29*'MD-ratings-year'!$I29+'MD-ratings-year'!AV12*'MD-ratings-year'!$H12)/('MD-ratings-year'!$I29+'MD-ratings-year'!$H12)</f>
        <v>9.9961128449274437</v>
      </c>
      <c r="AI28" s="262">
        <f>('MD-ratings-year'!AW29*'MD-ratings-year'!$I29+'MD-ratings-year'!AW12*'MD-ratings-year'!$H12)/('MD-ratings-year'!$I29+'MD-ratings-year'!$H12)</f>
        <v>2.5746909808910621</v>
      </c>
      <c r="AJ28" s="262">
        <f>('MD-ratings-year'!AX29*'MD-ratings-year'!$I29+'MD-ratings-year'!AX12*'MD-ratings-year'!$H12)/('MD-ratings-year'!$I29+'MD-ratings-year'!$H12)</f>
        <v>4.6606372298073371</v>
      </c>
      <c r="AK28" s="262">
        <f>('MD-ratings-year'!AY29*'MD-ratings-year'!$I29+'MD-ratings-year'!AY12*'MD-ratings-year'!$H12)/('MD-ratings-year'!$I29+'MD-ratings-year'!$H12)</f>
        <v>1.9795543864307512</v>
      </c>
      <c r="AL28" s="262">
        <f>('MD-ratings-year'!AZ29*'MD-ratings-year'!$I29+'MD-ratings-year'!AZ12*'MD-ratings-year'!$H12)/('MD-ratings-year'!$I29+'MD-ratings-year'!$H12)</f>
        <v>7.091100798155682</v>
      </c>
      <c r="AM28" s="262">
        <f>('MD-ratings-year'!BA29*'MD-ratings-year'!$I29+'MD-ratings-year'!BA12*'MD-ratings-year'!$H12)/('MD-ratings-year'!$I29+'MD-ratings-year'!$H12)</f>
        <v>8.5675193573959678</v>
      </c>
      <c r="AN28" s="262">
        <f>('MD-ratings-year'!BB29*'MD-ratings-year'!$I29+'MD-ratings-year'!BB12*'MD-ratings-year'!$H12)/('MD-ratings-year'!$I29+'MD-ratings-year'!$H12)</f>
        <v>0.22977041666254522</v>
      </c>
      <c r="AO28" s="262">
        <f>('MD-ratings-year'!BC29*'MD-ratings-year'!$I29+'MD-ratings-year'!BC12*'MD-ratings-year'!$H12)/('MD-ratings-year'!$I29+'MD-ratings-year'!$H12)</f>
        <v>0</v>
      </c>
      <c r="AP28" s="262">
        <f>('MD-ratings-year'!BD29*'MD-ratings-year'!$I29+'MD-ratings-year'!BD12*'MD-ratings-year'!$H12)/('MD-ratings-year'!$I29+'MD-ratings-year'!$H12)</f>
        <v>9.9926099267543798</v>
      </c>
      <c r="AQ28" s="262">
        <f>('MD-ratings-year'!BE29*'MD-ratings-year'!$I29+'MD-ratings-year'!BE12*'MD-ratings-year'!$H12)/('MD-ratings-year'!$I29+'MD-ratings-year'!$H12)</f>
        <v>6.8740132327979229</v>
      </c>
      <c r="AR28" s="262">
        <f>('MD-ratings-year'!BF29*'MD-ratings-year'!$I29+'MD-ratings-year'!BF12*'MD-ratings-year'!$H12)/('MD-ratings-year'!$I29+'MD-ratings-year'!$H12)</f>
        <v>9.4489192216440596</v>
      </c>
      <c r="AS28" s="262">
        <f>('MD-ratings-year'!BG29*'MD-ratings-year'!$I29+'MD-ratings-year'!BG12*'MD-ratings-year'!$H12)/('MD-ratings-year'!$I29+'MD-ratings-year'!$H12)</f>
        <v>9.9879243156323998</v>
      </c>
      <c r="AT28" s="262">
        <f>('MD-ratings-year'!BH29*'MD-ratings-year'!$I29+'MD-ratings-year'!BH12*'MD-ratings-year'!$H12)/('MD-ratings-year'!$I29+'MD-ratings-year'!$H12)</f>
        <v>9.9845901427614567</v>
      </c>
      <c r="AU28" s="262">
        <f>('MD-ratings-year'!BI29*'MD-ratings-year'!$I29+'MD-ratings-year'!BI12*'MD-ratings-year'!$H12)/('MD-ratings-year'!$I29+'MD-ratings-year'!$H12)</f>
        <v>8.7752753584741416</v>
      </c>
      <c r="AV28" s="262">
        <f>('MD-ratings-year'!BJ29*'MD-ratings-year'!$I29+'MD-ratings-year'!BJ12*'MD-ratings-year'!$H12)/('MD-ratings-year'!$I29+'MD-ratings-year'!$H12)</f>
        <v>6.520279779232582</v>
      </c>
      <c r="AW28" s="262">
        <f>('MD-ratings-year'!BK29*'MD-ratings-year'!$I29+'MD-ratings-year'!BK12*'MD-ratings-year'!$H12)/('MD-ratings-year'!$I29+'MD-ratings-year'!$H12)</f>
        <v>10</v>
      </c>
      <c r="AX28" s="262">
        <f>('MD-ratings-year'!BL29*'MD-ratings-year'!$I29+'MD-ratings-year'!BL12*'MD-ratings-year'!$H12)/('MD-ratings-year'!$I29+'MD-ratings-year'!$H12)</f>
        <v>3.3923115426029722</v>
      </c>
      <c r="AY28" s="262">
        <f>('MD-ratings-year'!BM29*'MD-ratings-year'!$I29+'MD-ratings-year'!BM12*'MD-ratings-year'!$H12)/('MD-ratings-year'!$I29+'MD-ratings-year'!$H12)</f>
        <v>7.739361227346528</v>
      </c>
      <c r="AZ28" s="262">
        <f>('MD-ratings-year'!BN29*'MD-ratings-year'!$I29+'MD-ratings-year'!BN12*'MD-ratings-year'!$H12)/('MD-ratings-year'!$I29+'MD-ratings-year'!$H12)</f>
        <v>7.8461070381200173</v>
      </c>
      <c r="BA28" s="262">
        <f>('MD-ratings-year'!BO29*'MD-ratings-year'!$I29+'MD-ratings-year'!BO12*'MD-ratings-year'!$H12)/('MD-ratings-year'!$I29+'MD-ratings-year'!$H12)</f>
        <v>6.2945948367184057</v>
      </c>
      <c r="BB28" s="262">
        <f>('MD-ratings-year'!BP29*'MD-ratings-year'!$I29+'MD-ratings-year'!BP12*'MD-ratings-year'!$H12)/('MD-ratings-year'!$I29+'MD-ratings-year'!$H12)</f>
        <v>5.8327549750790997</v>
      </c>
      <c r="BC28" s="262">
        <f>('MD-ratings-year'!BQ29*'MD-ratings-year'!$I29+'MD-ratings-year'!BQ12*'MD-ratings-year'!$H12)/('MD-ratings-year'!$I29+'MD-ratings-year'!$H12)</f>
        <v>4.3036934369635258</v>
      </c>
      <c r="BD28" s="262">
        <f>('MD-ratings-year'!BR29*'MD-ratings-year'!$I29+'MD-ratings-year'!BR12*'MD-ratings-year'!$H12)/('MD-ratings-year'!$I29+'MD-ratings-year'!$H12)</f>
        <v>0.13886682428595723</v>
      </c>
      <c r="BE28" s="262">
        <f>('MD-ratings-year'!BS29*'MD-ratings-year'!$I29+'MD-ratings-year'!BS12*'MD-ratings-year'!$H12)/('MD-ratings-year'!$I29+'MD-ratings-year'!$H12)</f>
        <v>8.0870848856688529</v>
      </c>
      <c r="BF28" s="262">
        <f>('MD-ratings-year'!BT29*'MD-ratings-year'!$I29+'MD-ratings-year'!BT12*'MD-ratings-year'!$H12)/('MD-ratings-year'!$I29+'MD-ratings-year'!$H12)</f>
        <v>9.2036254944940215</v>
      </c>
    </row>
    <row r="29" spans="1:58" s="243" customFormat="1" ht="15.75" customHeight="1" thickBot="1" x14ac:dyDescent="0.3">
      <c r="A29" s="640"/>
      <c r="B29" s="669"/>
      <c r="C29" s="418">
        <f>'MD-ratings-year'!C30</f>
        <v>0.15</v>
      </c>
      <c r="D29" s="419" t="str">
        <f>'MD-ratings-year'!D30</f>
        <v>Debt-to-EBITDA Ratio</v>
      </c>
      <c r="E29" s="420" t="str">
        <f>'MD-ratings-year'!E30</f>
        <v>Total Debt / Earnings Before Interest Taxes Depreciation &amp; Amortization</v>
      </c>
      <c r="F29" s="243" t="s">
        <v>400</v>
      </c>
      <c r="G29" s="653"/>
      <c r="I29" s="242">
        <f>('MD-ratings-year'!W30*'MD-ratings-year'!$I30+'MD-ratings-year'!W13*'MD-ratings-year'!$H13)/('MD-ratings-year'!$I30+'MD-ratings-year'!$H13)</f>
        <v>9.8369558478117352</v>
      </c>
      <c r="J29" s="242">
        <f>('MD-ratings-year'!X30*'MD-ratings-year'!$I30+'MD-ratings-year'!X13*'MD-ratings-year'!$H13)/('MD-ratings-year'!$I30+'MD-ratings-year'!$H13)</f>
        <v>4.4172271220969481</v>
      </c>
      <c r="K29" s="242">
        <f>('MD-ratings-year'!Y30*'MD-ratings-year'!$I30+'MD-ratings-year'!Y13*'MD-ratings-year'!$H13)/('MD-ratings-year'!$I30+'MD-ratings-year'!$H13)</f>
        <v>1.6941071931557343</v>
      </c>
      <c r="L29" s="242">
        <f>('MD-ratings-year'!Z30*'MD-ratings-year'!$I30+'MD-ratings-year'!Z13*'MD-ratings-year'!$H13)/('MD-ratings-year'!$I30+'MD-ratings-year'!$H13)</f>
        <v>4.5789377982141692</v>
      </c>
      <c r="M29" s="242">
        <f>('MD-ratings-year'!AA30*'MD-ratings-year'!$I30+'MD-ratings-year'!AA13*'MD-ratings-year'!$H13)/('MD-ratings-year'!$I30+'MD-ratings-year'!$H13)</f>
        <v>10</v>
      </c>
      <c r="N29" s="242">
        <f>('MD-ratings-year'!AB30*'MD-ratings-year'!$I30+'MD-ratings-year'!AB13*'MD-ratings-year'!$H13)/('MD-ratings-year'!$I30+'MD-ratings-year'!$H13)</f>
        <v>4.7536090747412247</v>
      </c>
      <c r="O29" s="242">
        <f>('MD-ratings-year'!AC30*'MD-ratings-year'!$I30+'MD-ratings-year'!AC13*'MD-ratings-year'!$H13)/('MD-ratings-year'!$I30+'MD-ratings-year'!$H13)</f>
        <v>0.43621198614581302</v>
      </c>
      <c r="P29" s="242">
        <f>('MD-ratings-year'!AD30*'MD-ratings-year'!$I30+'MD-ratings-year'!AD13*'MD-ratings-year'!$H13)/('MD-ratings-year'!$I30+'MD-ratings-year'!$H13)</f>
        <v>9.8553003364809566</v>
      </c>
      <c r="Q29" s="242">
        <f>('MD-ratings-year'!AE30*'MD-ratings-year'!$I30+'MD-ratings-year'!AE13*'MD-ratings-year'!$H13)/('MD-ratings-year'!$I30+'MD-ratings-year'!$H13)</f>
        <v>9.1643486130344787</v>
      </c>
      <c r="R29" s="242">
        <f>('MD-ratings-year'!AF30*'MD-ratings-year'!$I30+'MD-ratings-year'!AF13*'MD-ratings-year'!$H13)/('MD-ratings-year'!$I30+'MD-ratings-year'!$H13)</f>
        <v>3.0907545932013756</v>
      </c>
      <c r="S29" s="242">
        <f>('MD-ratings-year'!AG30*'MD-ratings-year'!$I30+'MD-ratings-year'!AG13*'MD-ratings-year'!$H13)/('MD-ratings-year'!$I30+'MD-ratings-year'!$H13)</f>
        <v>0</v>
      </c>
      <c r="T29" s="242">
        <f>('MD-ratings-year'!AH30*'MD-ratings-year'!$I30+'MD-ratings-year'!AH13*'MD-ratings-year'!$H13)/('MD-ratings-year'!$I30+'MD-ratings-year'!$H13)</f>
        <v>8.8016306065012735</v>
      </c>
      <c r="U29" s="242">
        <f>('MD-ratings-year'!AI30*'MD-ratings-year'!$I30+'MD-ratings-year'!AI13*'MD-ratings-year'!$H13)/('MD-ratings-year'!$I30+'MD-ratings-year'!$H13)</f>
        <v>9.8956698745099896</v>
      </c>
      <c r="V29" s="242">
        <f>('MD-ratings-year'!AJ30*'MD-ratings-year'!$I30+'MD-ratings-year'!AJ13*'MD-ratings-year'!$H13)/('MD-ratings-year'!$I30+'MD-ratings-year'!$H13)</f>
        <v>2.117331383035256</v>
      </c>
      <c r="W29" s="242">
        <f>('MD-ratings-year'!AK30*'MD-ratings-year'!$I30+'MD-ratings-year'!AK13*'MD-ratings-year'!$H13)/('MD-ratings-year'!$I30+'MD-ratings-year'!$H13)</f>
        <v>9.8759922063986902</v>
      </c>
      <c r="X29" s="242">
        <f>('MD-ratings-year'!AL30*'MD-ratings-year'!$I30+'MD-ratings-year'!AL13*'MD-ratings-year'!$H13)/('MD-ratings-year'!$I30+'MD-ratings-year'!$H13)</f>
        <v>7.6358233435853764</v>
      </c>
      <c r="Y29" s="242">
        <f>('MD-ratings-year'!AM30*'MD-ratings-year'!$I30+'MD-ratings-year'!AM13*'MD-ratings-year'!$H13)/('MD-ratings-year'!$I30+'MD-ratings-year'!$H13)</f>
        <v>8.927669601377179</v>
      </c>
      <c r="Z29" s="242">
        <f>('MD-ratings-year'!AN30*'MD-ratings-year'!$I30+'MD-ratings-year'!AN13*'MD-ratings-year'!$H13)/('MD-ratings-year'!$I30+'MD-ratings-year'!$H13)</f>
        <v>9.3949612738195896</v>
      </c>
      <c r="AA29" s="242">
        <f>('MD-ratings-year'!AO30*'MD-ratings-year'!$I30+'MD-ratings-year'!AO13*'MD-ratings-year'!$H13)/('MD-ratings-year'!$I30+'MD-ratings-year'!$H13)</f>
        <v>6.7769444669379855</v>
      </c>
      <c r="AB29" s="242">
        <f>('MD-ratings-year'!AP30*'MD-ratings-year'!$I30+'MD-ratings-year'!AP13*'MD-ratings-year'!$H13)/('MD-ratings-year'!$I30+'MD-ratings-year'!$H13)</f>
        <v>9.6760751405360619</v>
      </c>
      <c r="AC29" s="242">
        <f>('MD-ratings-year'!AQ30*'MD-ratings-year'!$I30+'MD-ratings-year'!AQ13*'MD-ratings-year'!$H13)/('MD-ratings-year'!$I30+'MD-ratings-year'!$H13)</f>
        <v>5.7978091016095528</v>
      </c>
      <c r="AD29" s="242">
        <f>('MD-ratings-year'!AR30*'MD-ratings-year'!$I30+'MD-ratings-year'!AR13*'MD-ratings-year'!$H13)/('MD-ratings-year'!$I30+'MD-ratings-year'!$H13)</f>
        <v>9.9546343450873476</v>
      </c>
      <c r="AE29" s="242">
        <f>('MD-ratings-year'!AS30*'MD-ratings-year'!$I30+'MD-ratings-year'!AS13*'MD-ratings-year'!$H13)/('MD-ratings-year'!$I30+'MD-ratings-year'!$H13)</f>
        <v>3.6644493033363452</v>
      </c>
      <c r="AF29" s="242">
        <f>('MD-ratings-year'!AT30*'MD-ratings-year'!$I30+'MD-ratings-year'!AT13*'MD-ratings-year'!$H13)/('MD-ratings-year'!$I30+'MD-ratings-year'!$H13)</f>
        <v>7.0818611238416542</v>
      </c>
      <c r="AG29" s="242">
        <f>('MD-ratings-year'!AU30*'MD-ratings-year'!$I30+'MD-ratings-year'!AU13*'MD-ratings-year'!$H13)/('MD-ratings-year'!$I30+'MD-ratings-year'!$H13)</f>
        <v>3.2643255370059676</v>
      </c>
      <c r="AH29" s="242">
        <f>('MD-ratings-year'!AV30*'MD-ratings-year'!$I30+'MD-ratings-year'!AV13*'MD-ratings-year'!$H13)/('MD-ratings-year'!$I30+'MD-ratings-year'!$H13)</f>
        <v>9.9941000993484064</v>
      </c>
      <c r="AI29" s="242">
        <f>('MD-ratings-year'!AW30*'MD-ratings-year'!$I30+'MD-ratings-year'!AW13*'MD-ratings-year'!$H13)/('MD-ratings-year'!$I30+'MD-ratings-year'!$H13)</f>
        <v>8.0152091649731609</v>
      </c>
      <c r="AJ29" s="242">
        <f>('MD-ratings-year'!AX30*'MD-ratings-year'!$I30+'MD-ratings-year'!AX13*'MD-ratings-year'!$H13)/('MD-ratings-year'!$I30+'MD-ratings-year'!$H13)</f>
        <v>2.5102260554721165</v>
      </c>
      <c r="AK29" s="242">
        <f>('MD-ratings-year'!AY30*'MD-ratings-year'!$I30+'MD-ratings-year'!AY13*'MD-ratings-year'!$H13)/('MD-ratings-year'!$I30+'MD-ratings-year'!$H13)</f>
        <v>5.3961080257743488</v>
      </c>
      <c r="AL29" s="242">
        <f>('MD-ratings-year'!AZ30*'MD-ratings-year'!$I30+'MD-ratings-year'!AZ13*'MD-ratings-year'!$H13)/('MD-ratings-year'!$I30+'MD-ratings-year'!$H13)</f>
        <v>7.6642651649317601</v>
      </c>
      <c r="AM29" s="242">
        <f>('MD-ratings-year'!BA30*'MD-ratings-year'!$I30+'MD-ratings-year'!BA13*'MD-ratings-year'!$H13)/('MD-ratings-year'!$I30+'MD-ratings-year'!$H13)</f>
        <v>9.8465421244389368</v>
      </c>
      <c r="AN29" s="242">
        <f>('MD-ratings-year'!BB30*'MD-ratings-year'!$I30+'MD-ratings-year'!BB13*'MD-ratings-year'!$H13)/('MD-ratings-year'!$I30+'MD-ratings-year'!$H13)</f>
        <v>2.5434134347111859</v>
      </c>
      <c r="AO29" s="242">
        <f>('MD-ratings-year'!BC30*'MD-ratings-year'!$I30+'MD-ratings-year'!BC13*'MD-ratings-year'!$H13)/('MD-ratings-year'!$I30+'MD-ratings-year'!$H13)</f>
        <v>3.1544662166139679</v>
      </c>
      <c r="AP29" s="242">
        <f>('MD-ratings-year'!BD30*'MD-ratings-year'!$I30+'MD-ratings-year'!BD13*'MD-ratings-year'!$H13)/('MD-ratings-year'!$I30+'MD-ratings-year'!$H13)</f>
        <v>9.9993197855950733</v>
      </c>
      <c r="AQ29" s="242">
        <f>('MD-ratings-year'!BE30*'MD-ratings-year'!$I30+'MD-ratings-year'!BE13*'MD-ratings-year'!$H13)/('MD-ratings-year'!$I30+'MD-ratings-year'!$H13)</f>
        <v>8.2709185667306571</v>
      </c>
      <c r="AR29" s="242">
        <f>('MD-ratings-year'!BF30*'MD-ratings-year'!$I30+'MD-ratings-year'!BF13*'MD-ratings-year'!$H13)/('MD-ratings-year'!$I30+'MD-ratings-year'!$H13)</f>
        <v>9.6820740119930999</v>
      </c>
      <c r="AS29" s="242">
        <f>('MD-ratings-year'!BG30*'MD-ratings-year'!$I30+'MD-ratings-year'!BG13*'MD-ratings-year'!$H13)/('MD-ratings-year'!$I30+'MD-ratings-year'!$H13)</f>
        <v>9.9993769660834371</v>
      </c>
      <c r="AT29" s="242">
        <f>('MD-ratings-year'!BH30*'MD-ratings-year'!$I30+'MD-ratings-year'!BH13*'MD-ratings-year'!$H13)/('MD-ratings-year'!$I30+'MD-ratings-year'!$H13)</f>
        <v>4.9773038513812793</v>
      </c>
      <c r="AU29" s="242">
        <f>('MD-ratings-year'!BI30*'MD-ratings-year'!$I30+'MD-ratings-year'!BI13*'MD-ratings-year'!$H13)/('MD-ratings-year'!$I30+'MD-ratings-year'!$H13)</f>
        <v>9.2953419606261996</v>
      </c>
      <c r="AV29" s="242">
        <f>('MD-ratings-year'!BJ30*'MD-ratings-year'!$I30+'MD-ratings-year'!BJ13*'MD-ratings-year'!$H13)/('MD-ratings-year'!$I30+'MD-ratings-year'!$H13)</f>
        <v>4.2307264168045888</v>
      </c>
      <c r="AW29" s="242">
        <f>('MD-ratings-year'!BK30*'MD-ratings-year'!$I30+'MD-ratings-year'!BK13*'MD-ratings-year'!$H13)/('MD-ratings-year'!$I30+'MD-ratings-year'!$H13)</f>
        <v>10</v>
      </c>
      <c r="AX29" s="242">
        <f>('MD-ratings-year'!BL30*'MD-ratings-year'!$I30+'MD-ratings-year'!BL13*'MD-ratings-year'!$H13)/('MD-ratings-year'!$I30+'MD-ratings-year'!$H13)</f>
        <v>6.4667630656271902</v>
      </c>
      <c r="AY29" s="242">
        <f>('MD-ratings-year'!BM30*'MD-ratings-year'!$I30+'MD-ratings-year'!BM13*'MD-ratings-year'!$H13)/('MD-ratings-year'!$I30+'MD-ratings-year'!$H13)</f>
        <v>8.4846664088601376</v>
      </c>
      <c r="AZ29" s="242">
        <f>('MD-ratings-year'!BN30*'MD-ratings-year'!$I30+'MD-ratings-year'!BN13*'MD-ratings-year'!$H13)/('MD-ratings-year'!$I30+'MD-ratings-year'!$H13)</f>
        <v>5.0026857234510995</v>
      </c>
      <c r="BA29" s="242">
        <f>('MD-ratings-year'!BO30*'MD-ratings-year'!$I30+'MD-ratings-year'!BO13*'MD-ratings-year'!$H13)/('MD-ratings-year'!$I30+'MD-ratings-year'!$H13)</f>
        <v>6.8808879997034849</v>
      </c>
      <c r="BB29" s="242">
        <f>('MD-ratings-year'!BP30*'MD-ratings-year'!$I30+'MD-ratings-year'!BP13*'MD-ratings-year'!$H13)/('MD-ratings-year'!$I30+'MD-ratings-year'!$H13)</f>
        <v>2.2893754349271118</v>
      </c>
      <c r="BC29" s="242">
        <f>('MD-ratings-year'!BQ30*'MD-ratings-year'!$I30+'MD-ratings-year'!BQ13*'MD-ratings-year'!$H13)/('MD-ratings-year'!$I30+'MD-ratings-year'!$H13)</f>
        <v>7.0279134299894839</v>
      </c>
      <c r="BD29" s="242">
        <f>('MD-ratings-year'!BR30*'MD-ratings-year'!$I30+'MD-ratings-year'!BR13*'MD-ratings-year'!$H13)/('MD-ratings-year'!$I30+'MD-ratings-year'!$H13)</f>
        <v>3.7949857462624115</v>
      </c>
      <c r="BE29" s="242">
        <f>('MD-ratings-year'!BS30*'MD-ratings-year'!$I30+'MD-ratings-year'!BS13*'MD-ratings-year'!$H13)/('MD-ratings-year'!$I30+'MD-ratings-year'!$H13)</f>
        <v>4.4700660666569556</v>
      </c>
      <c r="BF29" s="242">
        <f>('MD-ratings-year'!BT30*'MD-ratings-year'!$I30+'MD-ratings-year'!BT13*'MD-ratings-year'!$H13)/('MD-ratings-year'!$I30+'MD-ratings-year'!$H13)</f>
        <v>8.0598455792257973</v>
      </c>
    </row>
    <row r="30" spans="1:58" s="266" customFormat="1" ht="15.75" customHeight="1" thickBot="1" x14ac:dyDescent="0.3">
      <c r="A30" s="641"/>
      <c r="B30" s="670"/>
      <c r="C30" s="647" t="str">
        <f>'MD-ratings-year'!C31:E31</f>
        <v>Leverage total</v>
      </c>
      <c r="D30" s="648"/>
      <c r="E30" s="649"/>
      <c r="F30" s="266" t="s">
        <v>400</v>
      </c>
      <c r="G30" s="653"/>
      <c r="I30" s="269">
        <f t="shared" ref="I30" si="7">SUMPRODUCT(I28:I29,$C28:$C29)/SUM($C28:$C29)</f>
        <v>9.6861343071116828</v>
      </c>
      <c r="J30" s="269">
        <f t="shared" ref="J30:BF30" si="8">SUMPRODUCT(J28:J29,$C28:$C29)/SUM($C28:$C29)</f>
        <v>2.7065149788532832</v>
      </c>
      <c r="K30" s="269">
        <f t="shared" si="8"/>
        <v>0.92716327157928213</v>
      </c>
      <c r="L30" s="269">
        <f t="shared" si="8"/>
        <v>5.8768618109523265</v>
      </c>
      <c r="M30" s="269">
        <f t="shared" si="8"/>
        <v>5.8866439359946217</v>
      </c>
      <c r="N30" s="269">
        <f t="shared" si="8"/>
        <v>5.222688325079786</v>
      </c>
      <c r="O30" s="269">
        <f t="shared" si="8"/>
        <v>0.21810599307290651</v>
      </c>
      <c r="P30" s="269">
        <f t="shared" si="8"/>
        <v>9.7113819686535621</v>
      </c>
      <c r="Q30" s="269">
        <f t="shared" si="8"/>
        <v>8.9929308502079195</v>
      </c>
      <c r="R30" s="269">
        <f t="shared" si="8"/>
        <v>3.5240729474840737</v>
      </c>
      <c r="S30" s="269">
        <f t="shared" si="8"/>
        <v>0.57244689501725543</v>
      </c>
      <c r="T30" s="269">
        <f t="shared" si="8"/>
        <v>8.0394885334647395</v>
      </c>
      <c r="U30" s="269">
        <f t="shared" si="8"/>
        <v>9.5046483141709555</v>
      </c>
      <c r="V30" s="269">
        <f t="shared" si="8"/>
        <v>1.8483211380571927</v>
      </c>
      <c r="W30" s="269">
        <f t="shared" si="8"/>
        <v>9.4889668459686654</v>
      </c>
      <c r="X30" s="269">
        <f t="shared" si="8"/>
        <v>8.462464506806894</v>
      </c>
      <c r="Y30" s="269">
        <f t="shared" si="8"/>
        <v>8.387642882909665</v>
      </c>
      <c r="Z30" s="269">
        <f t="shared" si="8"/>
        <v>9.0615743487270262</v>
      </c>
      <c r="AA30" s="269">
        <f t="shared" si="8"/>
        <v>7.3899279283182935</v>
      </c>
      <c r="AB30" s="269">
        <f t="shared" si="8"/>
        <v>9.3535787417867269</v>
      </c>
      <c r="AC30" s="269">
        <f t="shared" si="8"/>
        <v>7.4517323149416965</v>
      </c>
      <c r="AD30" s="269">
        <f t="shared" si="8"/>
        <v>9.7355120141391076</v>
      </c>
      <c r="AE30" s="269">
        <f t="shared" si="8"/>
        <v>3.9825784307688346</v>
      </c>
      <c r="AF30" s="269">
        <f t="shared" si="8"/>
        <v>5.9946292448072027</v>
      </c>
      <c r="AG30" s="269">
        <f t="shared" si="8"/>
        <v>2.0521281896479779</v>
      </c>
      <c r="AH30" s="269">
        <f t="shared" si="8"/>
        <v>9.995106472137925</v>
      </c>
      <c r="AI30" s="269">
        <f t="shared" si="8"/>
        <v>5.294950072932112</v>
      </c>
      <c r="AJ30" s="269">
        <f t="shared" si="8"/>
        <v>3.585431642639727</v>
      </c>
      <c r="AK30" s="269">
        <f t="shared" si="8"/>
        <v>3.6878312061025498</v>
      </c>
      <c r="AL30" s="269">
        <f t="shared" si="8"/>
        <v>7.3776829815437202</v>
      </c>
      <c r="AM30" s="269">
        <f t="shared" si="8"/>
        <v>9.2070307409174532</v>
      </c>
      <c r="AN30" s="269">
        <f t="shared" si="8"/>
        <v>1.3865919256868655</v>
      </c>
      <c r="AO30" s="269">
        <f t="shared" si="8"/>
        <v>1.5772331083069839</v>
      </c>
      <c r="AP30" s="269">
        <f t="shared" si="8"/>
        <v>9.9959648561747265</v>
      </c>
      <c r="AQ30" s="269">
        <f t="shared" si="8"/>
        <v>7.5724658997642891</v>
      </c>
      <c r="AR30" s="269">
        <f t="shared" si="8"/>
        <v>9.5654966168185798</v>
      </c>
      <c r="AS30" s="269">
        <f t="shared" si="8"/>
        <v>9.9936506408579184</v>
      </c>
      <c r="AT30" s="269">
        <f t="shared" si="8"/>
        <v>7.4809469970713671</v>
      </c>
      <c r="AU30" s="269">
        <f t="shared" si="8"/>
        <v>9.0353086595501697</v>
      </c>
      <c r="AV30" s="269">
        <f t="shared" si="8"/>
        <v>5.3755030980185854</v>
      </c>
      <c r="AW30" s="269">
        <f t="shared" si="8"/>
        <v>10</v>
      </c>
      <c r="AX30" s="269">
        <f t="shared" si="8"/>
        <v>4.9295373041150814</v>
      </c>
      <c r="AY30" s="269">
        <f t="shared" si="8"/>
        <v>8.1120138181033319</v>
      </c>
      <c r="AZ30" s="269">
        <f t="shared" si="8"/>
        <v>6.4243963807855575</v>
      </c>
      <c r="BA30" s="269">
        <f t="shared" si="8"/>
        <v>6.5877414182109453</v>
      </c>
      <c r="BB30" s="269">
        <f t="shared" si="8"/>
        <v>4.0610652050031062</v>
      </c>
      <c r="BC30" s="269">
        <f t="shared" si="8"/>
        <v>5.6658034334765039</v>
      </c>
      <c r="BD30" s="269">
        <f t="shared" si="8"/>
        <v>1.9669262852741842</v>
      </c>
      <c r="BE30" s="269">
        <f t="shared" si="8"/>
        <v>6.2785754761629038</v>
      </c>
      <c r="BF30" s="269">
        <f t="shared" si="8"/>
        <v>8.6317355368599102</v>
      </c>
    </row>
    <row r="31" spans="1:58" s="243" customFormat="1" ht="15.75" customHeight="1" thickBot="1" x14ac:dyDescent="0.3">
      <c r="A31" s="630">
        <f>'MD-ratings-year'!A32</f>
        <v>0.2</v>
      </c>
      <c r="B31" s="668" t="str">
        <f>'MD-ratings-year'!B32</f>
        <v>Activity</v>
      </c>
      <c r="C31" s="418">
        <f>'MD-ratings-year'!C32</f>
        <v>0.1</v>
      </c>
      <c r="D31" s="419" t="str">
        <f>'MD-ratings-year'!D32</f>
        <v>Working capital turnover ratio</v>
      </c>
      <c r="E31" s="420" t="str">
        <f>'MD-ratings-year'!E32</f>
        <v>Net Sales ÷ ((Beginning Working Capital + Ending Working Capital) / 2) Note: Working Capital = Current Assets Minus Current Liabilities)</v>
      </c>
      <c r="F31" s="243" t="s">
        <v>400</v>
      </c>
      <c r="G31" s="653"/>
      <c r="I31" s="242">
        <f>('MD-ratings-year'!W32*'MD-ratings-year'!$I32+'MD-ratings-year'!W15*'MD-ratings-year'!$H15)/('MD-ratings-year'!$I32+'MD-ratings-year'!$H15)</f>
        <v>1.5456579097569907</v>
      </c>
      <c r="J31" s="242">
        <f>('MD-ratings-year'!X32*'MD-ratings-year'!$I32+'MD-ratings-year'!X15*'MD-ratings-year'!$H15)/('MD-ratings-year'!$I32+'MD-ratings-year'!$H15)</f>
        <v>8.6493384957865143</v>
      </c>
      <c r="K31" s="242">
        <f>('MD-ratings-year'!Y32*'MD-ratings-year'!$I32+'MD-ratings-year'!Y15*'MD-ratings-year'!$H15)/('MD-ratings-year'!$I32+'MD-ratings-year'!$H15)</f>
        <v>5.8026926953696449</v>
      </c>
      <c r="L31" s="242">
        <f>('MD-ratings-year'!Z32*'MD-ratings-year'!$I32+'MD-ratings-year'!Z15*'MD-ratings-year'!$H15)/('MD-ratings-year'!$I32+'MD-ratings-year'!$H15)</f>
        <v>4.3040845537166845</v>
      </c>
      <c r="M31" s="242">
        <f>('MD-ratings-year'!AA32*'MD-ratings-year'!$I32+'MD-ratings-year'!AA15*'MD-ratings-year'!$H15)/('MD-ratings-year'!$I32+'MD-ratings-year'!$H15)</f>
        <v>3.5598916697799874</v>
      </c>
      <c r="N31" s="242">
        <f>('MD-ratings-year'!AB32*'MD-ratings-year'!$I32+'MD-ratings-year'!AB15*'MD-ratings-year'!$H15)/('MD-ratings-year'!$I32+'MD-ratings-year'!$H15)</f>
        <v>7.1518608913264456</v>
      </c>
      <c r="O31" s="242">
        <f>('MD-ratings-year'!AC32*'MD-ratings-year'!$I32+'MD-ratings-year'!AC15*'MD-ratings-year'!$H15)/('MD-ratings-year'!$I32+'MD-ratings-year'!$H15)</f>
        <v>0.74042573698988312</v>
      </c>
      <c r="P31" s="242">
        <f>('MD-ratings-year'!AD32*'MD-ratings-year'!$I32+'MD-ratings-year'!AD15*'MD-ratings-year'!$H15)/('MD-ratings-year'!$I32+'MD-ratings-year'!$H15)</f>
        <v>1.9926168877700685</v>
      </c>
      <c r="Q31" s="242">
        <f>('MD-ratings-year'!AE32*'MD-ratings-year'!$I32+'MD-ratings-year'!AE15*'MD-ratings-year'!$H15)/('MD-ratings-year'!$I32+'MD-ratings-year'!$H15)</f>
        <v>0.74975650231794255</v>
      </c>
      <c r="R31" s="242">
        <f>('MD-ratings-year'!AF32*'MD-ratings-year'!$I32+'MD-ratings-year'!AF15*'MD-ratings-year'!$H15)/('MD-ratings-year'!$I32+'MD-ratings-year'!$H15)</f>
        <v>8.1027753094505304</v>
      </c>
      <c r="S31" s="242">
        <f>('MD-ratings-year'!AG32*'MD-ratings-year'!$I32+'MD-ratings-year'!AG15*'MD-ratings-year'!$H15)/('MD-ratings-year'!$I32+'MD-ratings-year'!$H15)</f>
        <v>1.1465589067995177</v>
      </c>
      <c r="T31" s="242">
        <f>('MD-ratings-year'!AH32*'MD-ratings-year'!$I32+'MD-ratings-year'!AH15*'MD-ratings-year'!$H15)/('MD-ratings-year'!$I32+'MD-ratings-year'!$H15)</f>
        <v>3.2531301751798236</v>
      </c>
      <c r="U31" s="242">
        <f>('MD-ratings-year'!AI32*'MD-ratings-year'!$I32+'MD-ratings-year'!AI15*'MD-ratings-year'!$H15)/('MD-ratings-year'!$I32+'MD-ratings-year'!$H15)</f>
        <v>4.0491948390473409</v>
      </c>
      <c r="V31" s="242">
        <f>('MD-ratings-year'!AJ32*'MD-ratings-year'!$I32+'MD-ratings-year'!AJ15*'MD-ratings-year'!$H15)/('MD-ratings-year'!$I32+'MD-ratings-year'!$H15)</f>
        <v>6.4582535805654784</v>
      </c>
      <c r="W31" s="242">
        <f>('MD-ratings-year'!AK32*'MD-ratings-year'!$I32+'MD-ratings-year'!AK15*'MD-ratings-year'!$H15)/('MD-ratings-year'!$I32+'MD-ratings-year'!$H15)</f>
        <v>9.1613352839057232</v>
      </c>
      <c r="X31" s="242">
        <f>('MD-ratings-year'!AL32*'MD-ratings-year'!$I32+'MD-ratings-year'!AL15*'MD-ratings-year'!$H15)/('MD-ratings-year'!$I32+'MD-ratings-year'!$H15)</f>
        <v>6.4288914521531053</v>
      </c>
      <c r="Y31" s="242">
        <f>('MD-ratings-year'!AM32*'MD-ratings-year'!$I32+'MD-ratings-year'!AM15*'MD-ratings-year'!$H15)/('MD-ratings-year'!$I32+'MD-ratings-year'!$H15)</f>
        <v>4.7053638053518716</v>
      </c>
      <c r="Z31" s="242">
        <f>('MD-ratings-year'!AN32*'MD-ratings-year'!$I32+'MD-ratings-year'!AN15*'MD-ratings-year'!$H15)/('MD-ratings-year'!$I32+'MD-ratings-year'!$H15)</f>
        <v>3.9668095510908836</v>
      </c>
      <c r="AA31" s="242">
        <f>('MD-ratings-year'!AO32*'MD-ratings-year'!$I32+'MD-ratings-year'!AO15*'MD-ratings-year'!$H15)/('MD-ratings-year'!$I32+'MD-ratings-year'!$H15)</f>
        <v>4.217698412704026</v>
      </c>
      <c r="AB31" s="242">
        <f>('MD-ratings-year'!AP32*'MD-ratings-year'!$I32+'MD-ratings-year'!AP15*'MD-ratings-year'!$H15)/('MD-ratings-year'!$I32+'MD-ratings-year'!$H15)</f>
        <v>7.469300513003061</v>
      </c>
      <c r="AC31" s="242">
        <f>('MD-ratings-year'!AQ32*'MD-ratings-year'!$I32+'MD-ratings-year'!AQ15*'MD-ratings-year'!$H15)/('MD-ratings-year'!$I32+'MD-ratings-year'!$H15)</f>
        <v>7.1147890449820368</v>
      </c>
      <c r="AD31" s="242">
        <f>('MD-ratings-year'!AR32*'MD-ratings-year'!$I32+'MD-ratings-year'!AR15*'MD-ratings-year'!$H15)/('MD-ratings-year'!$I32+'MD-ratings-year'!$H15)</f>
        <v>5.1290365079493592</v>
      </c>
      <c r="AE31" s="242">
        <f>('MD-ratings-year'!AS32*'MD-ratings-year'!$I32+'MD-ratings-year'!AS15*'MD-ratings-year'!$H15)/('MD-ratings-year'!$I32+'MD-ratings-year'!$H15)</f>
        <v>4.8207518378039174</v>
      </c>
      <c r="AF31" s="242">
        <f>('MD-ratings-year'!AT32*'MD-ratings-year'!$I32+'MD-ratings-year'!AT15*'MD-ratings-year'!$H15)/('MD-ratings-year'!$I32+'MD-ratings-year'!$H15)</f>
        <v>9.5731524633567968</v>
      </c>
      <c r="AG31" s="242">
        <f>('MD-ratings-year'!AU32*'MD-ratings-year'!$I32+'MD-ratings-year'!AU15*'MD-ratings-year'!$H15)/('MD-ratings-year'!$I32+'MD-ratings-year'!$H15)</f>
        <v>1.7285587453676912</v>
      </c>
      <c r="AH31" s="242">
        <f>('MD-ratings-year'!AV32*'MD-ratings-year'!$I32+'MD-ratings-year'!AV15*'MD-ratings-year'!$H15)/('MD-ratings-year'!$I32+'MD-ratings-year'!$H15)</f>
        <v>10</v>
      </c>
      <c r="AI31" s="242">
        <f>('MD-ratings-year'!AW32*'MD-ratings-year'!$I32+'MD-ratings-year'!AW15*'MD-ratings-year'!$H15)/('MD-ratings-year'!$I32+'MD-ratings-year'!$H15)</f>
        <v>5.5715851437822437</v>
      </c>
      <c r="AJ31" s="242">
        <f>('MD-ratings-year'!AX32*'MD-ratings-year'!$I32+'MD-ratings-year'!AX15*'MD-ratings-year'!$H15)/('MD-ratings-year'!$I32+'MD-ratings-year'!$H15)</f>
        <v>9.4734858688860335</v>
      </c>
      <c r="AK31" s="242">
        <f>('MD-ratings-year'!AY32*'MD-ratings-year'!$I32+'MD-ratings-year'!AY15*'MD-ratings-year'!$H15)/('MD-ratings-year'!$I32+'MD-ratings-year'!$H15)</f>
        <v>4.3009046769213395</v>
      </c>
      <c r="AL31" s="242">
        <f>('MD-ratings-year'!AZ32*'MD-ratings-year'!$I32+'MD-ratings-year'!AZ15*'MD-ratings-year'!$H15)/('MD-ratings-year'!$I32+'MD-ratings-year'!$H15)</f>
        <v>4.9754364964527058</v>
      </c>
      <c r="AM31" s="242">
        <f>('MD-ratings-year'!BA32*'MD-ratings-year'!$I32+'MD-ratings-year'!BA15*'MD-ratings-year'!$H15)/('MD-ratings-year'!$I32+'MD-ratings-year'!$H15)</f>
        <v>5.2547203986785798</v>
      </c>
      <c r="AN31" s="242">
        <f>('MD-ratings-year'!BB32*'MD-ratings-year'!$I32+'MD-ratings-year'!BB15*'MD-ratings-year'!$H15)/('MD-ratings-year'!$I32+'MD-ratings-year'!$H15)</f>
        <v>6.5932569446048754</v>
      </c>
      <c r="AO31" s="242">
        <f>('MD-ratings-year'!BC32*'MD-ratings-year'!$I32+'MD-ratings-year'!BC15*'MD-ratings-year'!$H15)/('MD-ratings-year'!$I32+'MD-ratings-year'!$H15)</f>
        <v>4.0034210994433348</v>
      </c>
      <c r="AP31" s="242">
        <f>('MD-ratings-year'!BD32*'MD-ratings-year'!$I32+'MD-ratings-year'!BD15*'MD-ratings-year'!$H15)/('MD-ratings-year'!$I32+'MD-ratings-year'!$H15)</f>
        <v>5.7316520589751319</v>
      </c>
      <c r="AQ31" s="242">
        <f>('MD-ratings-year'!BE32*'MD-ratings-year'!$I32+'MD-ratings-year'!BE15*'MD-ratings-year'!$H15)/('MD-ratings-year'!$I32+'MD-ratings-year'!$H15)</f>
        <v>4.6131620923465517</v>
      </c>
      <c r="AR31" s="242">
        <f>('MD-ratings-year'!BF32*'MD-ratings-year'!$I32+'MD-ratings-year'!BF15*'MD-ratings-year'!$H15)/('MD-ratings-year'!$I32+'MD-ratings-year'!$H15)</f>
        <v>3.0486472868758687</v>
      </c>
      <c r="AS31" s="242">
        <f>('MD-ratings-year'!BG32*'MD-ratings-year'!$I32+'MD-ratings-year'!BG15*'MD-ratings-year'!$H15)/('MD-ratings-year'!$I32+'MD-ratings-year'!$H15)</f>
        <v>1.6633021938357173</v>
      </c>
      <c r="AT31" s="242">
        <f>('MD-ratings-year'!BH32*'MD-ratings-year'!$I32+'MD-ratings-year'!BH15*'MD-ratings-year'!$H15)/('MD-ratings-year'!$I32+'MD-ratings-year'!$H15)</f>
        <v>4.1397890962823514</v>
      </c>
      <c r="AU31" s="242">
        <f>('MD-ratings-year'!BI32*'MD-ratings-year'!$I32+'MD-ratings-year'!BI15*'MD-ratings-year'!$H15)/('MD-ratings-year'!$I32+'MD-ratings-year'!$H15)</f>
        <v>5.8085387024867758</v>
      </c>
      <c r="AV31" s="242">
        <f>('MD-ratings-year'!BJ32*'MD-ratings-year'!$I32+'MD-ratings-year'!BJ15*'MD-ratings-year'!$H15)/('MD-ratings-year'!$I32+'MD-ratings-year'!$H15)</f>
        <v>0.59205624785738864</v>
      </c>
      <c r="AW31" s="242">
        <f>('MD-ratings-year'!BK32*'MD-ratings-year'!$I32+'MD-ratings-year'!BK15*'MD-ratings-year'!$H15)/('MD-ratings-year'!$I32+'MD-ratings-year'!$H15)</f>
        <v>2.8167053681110681</v>
      </c>
      <c r="AX31" s="242">
        <f>('MD-ratings-year'!BL32*'MD-ratings-year'!$I32+'MD-ratings-year'!BL15*'MD-ratings-year'!$H15)/('MD-ratings-year'!$I32+'MD-ratings-year'!$H15)</f>
        <v>3.9396735176940401</v>
      </c>
      <c r="AY31" s="242">
        <f>('MD-ratings-year'!BM32*'MD-ratings-year'!$I32+'MD-ratings-year'!BM15*'MD-ratings-year'!$H15)/('MD-ratings-year'!$I32+'MD-ratings-year'!$H15)</f>
        <v>7.3411749418905767</v>
      </c>
      <c r="AZ31" s="242">
        <f>('MD-ratings-year'!BN32*'MD-ratings-year'!$I32+'MD-ratings-year'!BN15*'MD-ratings-year'!$H15)/('MD-ratings-year'!$I32+'MD-ratings-year'!$H15)</f>
        <v>4.3292326293387822</v>
      </c>
      <c r="BA31" s="242">
        <f>('MD-ratings-year'!BO32*'MD-ratings-year'!$I32+'MD-ratings-year'!BO15*'MD-ratings-year'!$H15)/('MD-ratings-year'!$I32+'MD-ratings-year'!$H15)</f>
        <v>7.4099956205860309</v>
      </c>
      <c r="BB31" s="242">
        <f>('MD-ratings-year'!BP32*'MD-ratings-year'!$I32+'MD-ratings-year'!BP15*'MD-ratings-year'!$H15)/('MD-ratings-year'!$I32+'MD-ratings-year'!$H15)</f>
        <v>4.5549778251644577</v>
      </c>
      <c r="BC31" s="242">
        <f>('MD-ratings-year'!BQ32*'MD-ratings-year'!$I32+'MD-ratings-year'!BQ15*'MD-ratings-year'!$H15)/('MD-ratings-year'!$I32+'MD-ratings-year'!$H15)</f>
        <v>3.2894068892843573</v>
      </c>
      <c r="BD31" s="242">
        <f>('MD-ratings-year'!BR32*'MD-ratings-year'!$I32+'MD-ratings-year'!BR15*'MD-ratings-year'!$H15)/('MD-ratings-year'!$I32+'MD-ratings-year'!$H15)</f>
        <v>8.1437794260285052</v>
      </c>
      <c r="BE31" s="242">
        <f>('MD-ratings-year'!BS32*'MD-ratings-year'!$I32+'MD-ratings-year'!BS15*'MD-ratings-year'!$H15)/('MD-ratings-year'!$I32+'MD-ratings-year'!$H15)</f>
        <v>1.7871634002661829</v>
      </c>
      <c r="BF31" s="242">
        <f>('MD-ratings-year'!BT32*'MD-ratings-year'!$I32+'MD-ratings-year'!BT15*'MD-ratings-year'!$H15)/('MD-ratings-year'!$I32+'MD-ratings-year'!$H15)</f>
        <v>5.0789497810765898</v>
      </c>
    </row>
    <row r="32" spans="1:58" ht="15.75" customHeight="1" thickBot="1" x14ac:dyDescent="0.3">
      <c r="A32" s="631"/>
      <c r="B32" s="669"/>
      <c r="C32" s="418">
        <f>'MD-ratings-year'!C33</f>
        <v>0.1</v>
      </c>
      <c r="D32" s="419" t="str">
        <f>'MD-ratings-year'!D33</f>
        <v>Accounts receivable turnover ratio</v>
      </c>
      <c r="E32" s="420" t="str">
        <f>'MD-ratings-year'!E33</f>
        <v>Net Sales ÷ ((Beginning Accounts Receivable + Ending Accounts Receivable) / 2)</v>
      </c>
      <c r="F32" s="224" t="s">
        <v>400</v>
      </c>
      <c r="G32" s="653"/>
      <c r="I32" s="242">
        <f>('MD-ratings-year'!W33*'MD-ratings-year'!$I33+'MD-ratings-year'!W16*'MD-ratings-year'!$H16)/('MD-ratings-year'!$I33+'MD-ratings-year'!$H16)</f>
        <v>1.4110876074948879</v>
      </c>
      <c r="J32" s="242">
        <f>('MD-ratings-year'!X33*'MD-ratings-year'!$I33+'MD-ratings-year'!X16*'MD-ratings-year'!$H16)/('MD-ratings-year'!$I33+'MD-ratings-year'!$H16)</f>
        <v>7.7326249057715559</v>
      </c>
      <c r="K32" s="242">
        <f>('MD-ratings-year'!Y33*'MD-ratings-year'!$I33+'MD-ratings-year'!Y16*'MD-ratings-year'!$H16)/('MD-ratings-year'!$I33+'MD-ratings-year'!$H16)</f>
        <v>1.5817946698032874</v>
      </c>
      <c r="L32" s="242">
        <f>('MD-ratings-year'!Z33*'MD-ratings-year'!$I33+'MD-ratings-year'!Z16*'MD-ratings-year'!$H16)/('MD-ratings-year'!$I33+'MD-ratings-year'!$H16)</f>
        <v>3.3430866347917765</v>
      </c>
      <c r="M32" s="242">
        <f>('MD-ratings-year'!AA33*'MD-ratings-year'!$I33+'MD-ratings-year'!AA16*'MD-ratings-year'!$H16)/('MD-ratings-year'!$I33+'MD-ratings-year'!$H16)</f>
        <v>8.7787390770085665</v>
      </c>
      <c r="N32" s="242">
        <f>('MD-ratings-year'!AB33*'MD-ratings-year'!$I33+'MD-ratings-year'!AB16*'MD-ratings-year'!$H16)/('MD-ratings-year'!$I33+'MD-ratings-year'!$H16)</f>
        <v>5.6994318504066745</v>
      </c>
      <c r="O32" s="242">
        <f>('MD-ratings-year'!AC33*'MD-ratings-year'!$I33+'MD-ratings-year'!AC16*'MD-ratings-year'!$H16)/('MD-ratings-year'!$I33+'MD-ratings-year'!$H16)</f>
        <v>4.5487835472572229</v>
      </c>
      <c r="P32" s="242">
        <f>('MD-ratings-year'!AD33*'MD-ratings-year'!$I33+'MD-ratings-year'!AD16*'MD-ratings-year'!$H16)/('MD-ratings-year'!$I33+'MD-ratings-year'!$H16)</f>
        <v>4.5727517814011742</v>
      </c>
      <c r="Q32" s="242">
        <f>('MD-ratings-year'!AE33*'MD-ratings-year'!$I33+'MD-ratings-year'!AE16*'MD-ratings-year'!$H16)/('MD-ratings-year'!$I33+'MD-ratings-year'!$H16)</f>
        <v>7.3382447306006853</v>
      </c>
      <c r="R32" s="242">
        <f>('MD-ratings-year'!AF33*'MD-ratings-year'!$I33+'MD-ratings-year'!AF16*'MD-ratings-year'!$H16)/('MD-ratings-year'!$I33+'MD-ratings-year'!$H16)</f>
        <v>6.1608594591936434</v>
      </c>
      <c r="S32" s="242">
        <f>('MD-ratings-year'!AG33*'MD-ratings-year'!$I33+'MD-ratings-year'!AG16*'MD-ratings-year'!$H16)/('MD-ratings-year'!$I33+'MD-ratings-year'!$H16)</f>
        <v>2.1191644374781604</v>
      </c>
      <c r="T32" s="242">
        <f>('MD-ratings-year'!AH33*'MD-ratings-year'!$I33+'MD-ratings-year'!AH16*'MD-ratings-year'!$H16)/('MD-ratings-year'!$I33+'MD-ratings-year'!$H16)</f>
        <v>1.4982916834916045</v>
      </c>
      <c r="U32" s="242">
        <f>('MD-ratings-year'!AI33*'MD-ratings-year'!$I33+'MD-ratings-year'!AI16*'MD-ratings-year'!$H16)/('MD-ratings-year'!$I33+'MD-ratings-year'!$H16)</f>
        <v>4.8285418896191841</v>
      </c>
      <c r="V32" s="242">
        <f>('MD-ratings-year'!AJ33*'MD-ratings-year'!$I33+'MD-ratings-year'!AJ16*'MD-ratings-year'!$H16)/('MD-ratings-year'!$I33+'MD-ratings-year'!$H16)</f>
        <v>3.1937761232501125</v>
      </c>
      <c r="W32" s="242">
        <f>('MD-ratings-year'!AK33*'MD-ratings-year'!$I33+'MD-ratings-year'!AK16*'MD-ratings-year'!$H16)/('MD-ratings-year'!$I33+'MD-ratings-year'!$H16)</f>
        <v>7.4292966440541459</v>
      </c>
      <c r="X32" s="242">
        <f>('MD-ratings-year'!AL33*'MD-ratings-year'!$I33+'MD-ratings-year'!AL16*'MD-ratings-year'!$H16)/('MD-ratings-year'!$I33+'MD-ratings-year'!$H16)</f>
        <v>4.4644833980552381</v>
      </c>
      <c r="Y32" s="242">
        <f>('MD-ratings-year'!AM33*'MD-ratings-year'!$I33+'MD-ratings-year'!AM16*'MD-ratings-year'!$H16)/('MD-ratings-year'!$I33+'MD-ratings-year'!$H16)</f>
        <v>3.2661099129483575</v>
      </c>
      <c r="Z32" s="242">
        <f>('MD-ratings-year'!AN33*'MD-ratings-year'!$I33+'MD-ratings-year'!AN16*'MD-ratings-year'!$H16)/('MD-ratings-year'!$I33+'MD-ratings-year'!$H16)</f>
        <v>8.3456335401480803</v>
      </c>
      <c r="AA32" s="242">
        <f>('MD-ratings-year'!AO33*'MD-ratings-year'!$I33+'MD-ratings-year'!AO16*'MD-ratings-year'!$H16)/('MD-ratings-year'!$I33+'MD-ratings-year'!$H16)</f>
        <v>2.2921616640598432</v>
      </c>
      <c r="AB32" s="242">
        <f>('MD-ratings-year'!AP33*'MD-ratings-year'!$I33+'MD-ratings-year'!AP16*'MD-ratings-year'!$H16)/('MD-ratings-year'!$I33+'MD-ratings-year'!$H16)</f>
        <v>10</v>
      </c>
      <c r="AC32" s="242">
        <f>('MD-ratings-year'!AQ33*'MD-ratings-year'!$I33+'MD-ratings-year'!AQ16*'MD-ratings-year'!$H16)/('MD-ratings-year'!$I33+'MD-ratings-year'!$H16)</f>
        <v>3.8700657757534338</v>
      </c>
      <c r="AD32" s="242">
        <f>('MD-ratings-year'!AR33*'MD-ratings-year'!$I33+'MD-ratings-year'!AR16*'MD-ratings-year'!$H16)/('MD-ratings-year'!$I33+'MD-ratings-year'!$H16)</f>
        <v>4.9117136029699209</v>
      </c>
      <c r="AE32" s="242">
        <f>('MD-ratings-year'!AS33*'MD-ratings-year'!$I33+'MD-ratings-year'!AS16*'MD-ratings-year'!$H16)/('MD-ratings-year'!$I33+'MD-ratings-year'!$H16)</f>
        <v>4.8386067037125349</v>
      </c>
      <c r="AF32" s="242">
        <f>('MD-ratings-year'!AT33*'MD-ratings-year'!$I33+'MD-ratings-year'!AT16*'MD-ratings-year'!$H16)/('MD-ratings-year'!$I33+'MD-ratings-year'!$H16)</f>
        <v>4.1053681843367649</v>
      </c>
      <c r="AG32" s="242">
        <f>('MD-ratings-year'!AU33*'MD-ratings-year'!$I33+'MD-ratings-year'!AU16*'MD-ratings-year'!$H16)/('MD-ratings-year'!$I33+'MD-ratings-year'!$H16)</f>
        <v>0.76687541184813368</v>
      </c>
      <c r="AH32" s="242">
        <f>('MD-ratings-year'!AV33*'MD-ratings-year'!$I33+'MD-ratings-year'!AV16*'MD-ratings-year'!$H16)/('MD-ratings-year'!$I33+'MD-ratings-year'!$H16)</f>
        <v>4.7567259275550242</v>
      </c>
      <c r="AI32" s="242">
        <f>('MD-ratings-year'!AW33*'MD-ratings-year'!$I33+'MD-ratings-year'!AW16*'MD-ratings-year'!$H16)/('MD-ratings-year'!$I33+'MD-ratings-year'!$H16)</f>
        <v>10</v>
      </c>
      <c r="AJ32" s="242">
        <f>('MD-ratings-year'!AX33*'MD-ratings-year'!$I33+'MD-ratings-year'!AX16*'MD-ratings-year'!$H16)/('MD-ratings-year'!$I33+'MD-ratings-year'!$H16)</f>
        <v>2.2836976021005309</v>
      </c>
      <c r="AK32" s="242">
        <f>('MD-ratings-year'!AY33*'MD-ratings-year'!$I33+'MD-ratings-year'!AY16*'MD-ratings-year'!$H16)/('MD-ratings-year'!$I33+'MD-ratings-year'!$H16)</f>
        <v>0</v>
      </c>
      <c r="AL32" s="242">
        <f>('MD-ratings-year'!AZ33*'MD-ratings-year'!$I33+'MD-ratings-year'!AZ16*'MD-ratings-year'!$H16)/('MD-ratings-year'!$I33+'MD-ratings-year'!$H16)</f>
        <v>9.9299748092576863</v>
      </c>
      <c r="AM32" s="242">
        <f>('MD-ratings-year'!BA33*'MD-ratings-year'!$I33+'MD-ratings-year'!BA16*'MD-ratings-year'!$H16)/('MD-ratings-year'!$I33+'MD-ratings-year'!$H16)</f>
        <v>10</v>
      </c>
      <c r="AN32" s="242">
        <f>('MD-ratings-year'!BB33*'MD-ratings-year'!$I33+'MD-ratings-year'!BB16*'MD-ratings-year'!$H16)/('MD-ratings-year'!$I33+'MD-ratings-year'!$H16)</f>
        <v>6.7981141034137877</v>
      </c>
      <c r="AO32" s="242">
        <f>('MD-ratings-year'!BC33*'MD-ratings-year'!$I33+'MD-ratings-year'!BC16*'MD-ratings-year'!$H16)/('MD-ratings-year'!$I33+'MD-ratings-year'!$H16)</f>
        <v>0</v>
      </c>
      <c r="AP32" s="242">
        <f>('MD-ratings-year'!BD33*'MD-ratings-year'!$I33+'MD-ratings-year'!BD16*'MD-ratings-year'!$H16)/('MD-ratings-year'!$I33+'MD-ratings-year'!$H16)</f>
        <v>8.8513502723358943</v>
      </c>
      <c r="AQ32" s="242">
        <f>('MD-ratings-year'!BE33*'MD-ratings-year'!$I33+'MD-ratings-year'!BE16*'MD-ratings-year'!$H16)/('MD-ratings-year'!$I33+'MD-ratings-year'!$H16)</f>
        <v>5.8488761138438923</v>
      </c>
      <c r="AR32" s="242">
        <f>('MD-ratings-year'!BF33*'MD-ratings-year'!$I33+'MD-ratings-year'!BF16*'MD-ratings-year'!$H16)/('MD-ratings-year'!$I33+'MD-ratings-year'!$H16)</f>
        <v>2.5837130819916347</v>
      </c>
      <c r="AS32" s="242">
        <f>('MD-ratings-year'!BG33*'MD-ratings-year'!$I33+'MD-ratings-year'!BG16*'MD-ratings-year'!$H16)/('MD-ratings-year'!$I33+'MD-ratings-year'!$H16)</f>
        <v>6.6902552802040791</v>
      </c>
      <c r="AT32" s="242">
        <f>('MD-ratings-year'!BH33*'MD-ratings-year'!$I33+'MD-ratings-year'!BH16*'MD-ratings-year'!$H16)/('MD-ratings-year'!$I33+'MD-ratings-year'!$H16)</f>
        <v>6.4647601480712416</v>
      </c>
      <c r="AU32" s="242">
        <f>('MD-ratings-year'!BI33*'MD-ratings-year'!$I33+'MD-ratings-year'!BI16*'MD-ratings-year'!$H16)/('MD-ratings-year'!$I33+'MD-ratings-year'!$H16)</f>
        <v>3.4792629135286108</v>
      </c>
      <c r="AV32" s="242">
        <f>('MD-ratings-year'!BJ33*'MD-ratings-year'!$I33+'MD-ratings-year'!BJ16*'MD-ratings-year'!$H16)/('MD-ratings-year'!$I33+'MD-ratings-year'!$H16)</f>
        <v>4.5040566643372415</v>
      </c>
      <c r="AW32" s="242">
        <f>('MD-ratings-year'!BK33*'MD-ratings-year'!$I33+'MD-ratings-year'!BK16*'MD-ratings-year'!$H16)/('MD-ratings-year'!$I33+'MD-ratings-year'!$H16)</f>
        <v>8.6254143239617136</v>
      </c>
      <c r="AX32" s="242">
        <f>('MD-ratings-year'!BL33*'MD-ratings-year'!$I33+'MD-ratings-year'!BL16*'MD-ratings-year'!$H16)/('MD-ratings-year'!$I33+'MD-ratings-year'!$H16)</f>
        <v>4.5646531841567644</v>
      </c>
      <c r="AY32" s="242">
        <f>('MD-ratings-year'!BM33*'MD-ratings-year'!$I33+'MD-ratings-year'!BM16*'MD-ratings-year'!$H16)/('MD-ratings-year'!$I33+'MD-ratings-year'!$H16)</f>
        <v>2.2113612684492217</v>
      </c>
      <c r="AZ32" s="242">
        <f>('MD-ratings-year'!BN33*'MD-ratings-year'!$I33+'MD-ratings-year'!BN16*'MD-ratings-year'!$H16)/('MD-ratings-year'!$I33+'MD-ratings-year'!$H16)</f>
        <v>5.6545920476004738</v>
      </c>
      <c r="BA32" s="242">
        <f>('MD-ratings-year'!BO33*'MD-ratings-year'!$I33+'MD-ratings-year'!BO16*'MD-ratings-year'!$H16)/('MD-ratings-year'!$I33+'MD-ratings-year'!$H16)</f>
        <v>1.4804826683605867</v>
      </c>
      <c r="BB32" s="242">
        <f>('MD-ratings-year'!BP33*'MD-ratings-year'!$I33+'MD-ratings-year'!BP16*'MD-ratings-year'!$H16)/('MD-ratings-year'!$I33+'MD-ratings-year'!$H16)</f>
        <v>0.97169290194268343</v>
      </c>
      <c r="BC32" s="242">
        <f>('MD-ratings-year'!BQ33*'MD-ratings-year'!$I33+'MD-ratings-year'!BQ16*'MD-ratings-year'!$H16)/('MD-ratings-year'!$I33+'MD-ratings-year'!$H16)</f>
        <v>3.20220435381274</v>
      </c>
      <c r="BD32" s="242">
        <f>('MD-ratings-year'!BR33*'MD-ratings-year'!$I33+'MD-ratings-year'!BR16*'MD-ratings-year'!$H16)/('MD-ratings-year'!$I33+'MD-ratings-year'!$H16)</f>
        <v>7.1396145055253371</v>
      </c>
      <c r="BE32" s="242">
        <f>('MD-ratings-year'!BS33*'MD-ratings-year'!$I33+'MD-ratings-year'!BS16*'MD-ratings-year'!$H16)/('MD-ratings-year'!$I33+'MD-ratings-year'!$H16)</f>
        <v>0</v>
      </c>
      <c r="BF32" s="242">
        <f>('MD-ratings-year'!BT33*'MD-ratings-year'!$I33+'MD-ratings-year'!BT16*'MD-ratings-year'!$H16)/('MD-ratings-year'!$I33+'MD-ratings-year'!$H16)</f>
        <v>4.4014802826354682</v>
      </c>
    </row>
    <row r="33" spans="1:58" s="270" customFormat="1" ht="15.75" customHeight="1" thickBot="1" x14ac:dyDescent="0.3">
      <c r="A33" s="632"/>
      <c r="B33" s="670"/>
      <c r="C33" s="647" t="str">
        <f>'MD-ratings-year'!C34:E34</f>
        <v>Activity total</v>
      </c>
      <c r="D33" s="648"/>
      <c r="E33" s="649"/>
      <c r="F33" s="270" t="s">
        <v>400</v>
      </c>
      <c r="G33" s="653"/>
      <c r="I33" s="269">
        <f>SUMPRODUCT(I31:I32,$C31:$C32)/SUM($C31:$C32)</f>
        <v>1.4783727586259392</v>
      </c>
      <c r="J33" s="269">
        <f t="shared" ref="J33:BF33" si="9">SUMPRODUCT(J31:J32,$C31:$C32)/SUM($C31:$C32)</f>
        <v>8.1909817007790355</v>
      </c>
      <c r="K33" s="269">
        <f t="shared" si="9"/>
        <v>3.6922436825864668</v>
      </c>
      <c r="L33" s="269">
        <f t="shared" si="9"/>
        <v>3.8235855942542307</v>
      </c>
      <c r="M33" s="269">
        <f t="shared" si="9"/>
        <v>6.1693153733942774</v>
      </c>
      <c r="N33" s="269">
        <f t="shared" si="9"/>
        <v>6.4256463708665601</v>
      </c>
      <c r="O33" s="269">
        <f t="shared" si="9"/>
        <v>2.6446046421235527</v>
      </c>
      <c r="P33" s="269">
        <f t="shared" si="9"/>
        <v>3.2826843345856216</v>
      </c>
      <c r="Q33" s="269">
        <f t="shared" si="9"/>
        <v>4.0440006164593143</v>
      </c>
      <c r="R33" s="269">
        <f t="shared" si="9"/>
        <v>7.1318173843220878</v>
      </c>
      <c r="S33" s="269">
        <f t="shared" si="9"/>
        <v>1.6328616721388389</v>
      </c>
      <c r="T33" s="269">
        <f t="shared" si="9"/>
        <v>2.3757109293357139</v>
      </c>
      <c r="U33" s="269">
        <f t="shared" si="9"/>
        <v>4.4388683643332625</v>
      </c>
      <c r="V33" s="269">
        <f t="shared" si="9"/>
        <v>4.8260148519077957</v>
      </c>
      <c r="W33" s="269">
        <f t="shared" si="9"/>
        <v>8.2953159639799345</v>
      </c>
      <c r="X33" s="269">
        <f t="shared" si="9"/>
        <v>5.4466874251041713</v>
      </c>
      <c r="Y33" s="269">
        <f t="shared" si="9"/>
        <v>3.9857368591501152</v>
      </c>
      <c r="Z33" s="269">
        <f t="shared" si="9"/>
        <v>6.1562215456194824</v>
      </c>
      <c r="AA33" s="269">
        <f t="shared" si="9"/>
        <v>3.2549300383819344</v>
      </c>
      <c r="AB33" s="269">
        <f t="shared" si="9"/>
        <v>8.7346502565015296</v>
      </c>
      <c r="AC33" s="269">
        <f t="shared" si="9"/>
        <v>5.4924274103677346</v>
      </c>
      <c r="AD33" s="269">
        <f t="shared" si="9"/>
        <v>5.02037505545964</v>
      </c>
      <c r="AE33" s="269">
        <f t="shared" si="9"/>
        <v>4.8296792707582261</v>
      </c>
      <c r="AF33" s="269">
        <f t="shared" si="9"/>
        <v>6.8392603238467808</v>
      </c>
      <c r="AG33" s="269">
        <f t="shared" si="9"/>
        <v>1.2477170786079124</v>
      </c>
      <c r="AH33" s="269">
        <f t="shared" si="9"/>
        <v>7.3783629637775112</v>
      </c>
      <c r="AI33" s="269">
        <f t="shared" si="9"/>
        <v>7.785792571891121</v>
      </c>
      <c r="AJ33" s="269">
        <f t="shared" si="9"/>
        <v>5.8785917354932824</v>
      </c>
      <c r="AK33" s="269">
        <f t="shared" si="9"/>
        <v>2.1504523384606697</v>
      </c>
      <c r="AL33" s="269">
        <f t="shared" si="9"/>
        <v>7.4527056528551956</v>
      </c>
      <c r="AM33" s="269">
        <f t="shared" si="9"/>
        <v>7.6273601993392903</v>
      </c>
      <c r="AN33" s="269">
        <f t="shared" si="9"/>
        <v>6.6956855240093311</v>
      </c>
      <c r="AO33" s="269">
        <f t="shared" si="9"/>
        <v>2.0017105497216674</v>
      </c>
      <c r="AP33" s="269">
        <f t="shared" si="9"/>
        <v>7.2915011656555135</v>
      </c>
      <c r="AQ33" s="269">
        <f t="shared" si="9"/>
        <v>5.231019103095222</v>
      </c>
      <c r="AR33" s="269">
        <f t="shared" si="9"/>
        <v>2.816180184433752</v>
      </c>
      <c r="AS33" s="269">
        <f t="shared" si="9"/>
        <v>4.1767787370198981</v>
      </c>
      <c r="AT33" s="269">
        <f t="shared" si="9"/>
        <v>5.3022746221767969</v>
      </c>
      <c r="AU33" s="269">
        <f t="shared" si="9"/>
        <v>4.6439008080076931</v>
      </c>
      <c r="AV33" s="269">
        <f t="shared" si="9"/>
        <v>2.5480564560973149</v>
      </c>
      <c r="AW33" s="269">
        <f t="shared" si="9"/>
        <v>5.7210598460363915</v>
      </c>
      <c r="AX33" s="269">
        <f t="shared" si="9"/>
        <v>4.252163350925402</v>
      </c>
      <c r="AY33" s="269">
        <f t="shared" si="9"/>
        <v>4.7762681051698994</v>
      </c>
      <c r="AZ33" s="269">
        <f t="shared" si="9"/>
        <v>4.9919123384696285</v>
      </c>
      <c r="BA33" s="269">
        <f t="shared" si="9"/>
        <v>4.4452391444733088</v>
      </c>
      <c r="BB33" s="269">
        <f t="shared" si="9"/>
        <v>2.7633353635535705</v>
      </c>
      <c r="BC33" s="269">
        <f t="shared" si="9"/>
        <v>3.2458056215485485</v>
      </c>
      <c r="BD33" s="269">
        <f t="shared" si="9"/>
        <v>7.6416969657769211</v>
      </c>
      <c r="BE33" s="269">
        <f t="shared" si="9"/>
        <v>0.89358170013309146</v>
      </c>
      <c r="BF33" s="269">
        <f t="shared" si="9"/>
        <v>4.740215031856029</v>
      </c>
    </row>
    <row r="34" spans="1:58" s="273" customFormat="1" ht="15.75" customHeight="1" thickBot="1" x14ac:dyDescent="0.3">
      <c r="A34" s="591">
        <f>'MD-ratings-year'!A35</f>
        <v>1</v>
      </c>
      <c r="B34" s="671" t="str">
        <f>'MD-ratings-year'!B35:E35</f>
        <v>Total</v>
      </c>
      <c r="C34" s="672"/>
      <c r="D34" s="672"/>
      <c r="E34" s="673"/>
      <c r="G34" s="654"/>
      <c r="I34" s="274">
        <f>(I23*$A20+I27*$A24+I30*$A28+I33*$A31)/($A20+$A24+$A28+$A31)</f>
        <v>6.883897822415177</v>
      </c>
      <c r="J34" s="274">
        <f t="shared" ref="J34:BF34" si="10">(J23*$A20+J27*$A24+J30*$A28+J33*$A31)/($A20+$A24+$A28+$A31)</f>
        <v>4.9752712092506961</v>
      </c>
      <c r="K34" s="274">
        <f t="shared" si="10"/>
        <v>2.7637607946257932</v>
      </c>
      <c r="L34" s="274">
        <f t="shared" si="10"/>
        <v>4.6394639246917322</v>
      </c>
      <c r="M34" s="274">
        <f t="shared" si="10"/>
        <v>5.4663204296174071</v>
      </c>
      <c r="N34" s="274">
        <f t="shared" si="10"/>
        <v>3.2741680875209958</v>
      </c>
      <c r="O34" s="274">
        <f t="shared" si="10"/>
        <v>4.3980905560836909</v>
      </c>
      <c r="P34" s="274">
        <f t="shared" si="10"/>
        <v>7.5798124752628642</v>
      </c>
      <c r="Q34" s="274">
        <f t="shared" si="10"/>
        <v>7.5643070098734961</v>
      </c>
      <c r="R34" s="274">
        <f t="shared" si="10"/>
        <v>3.4335675122678095</v>
      </c>
      <c r="S34" s="274">
        <f t="shared" si="10"/>
        <v>3.2847593515453157</v>
      </c>
      <c r="T34" s="274">
        <f t="shared" si="10"/>
        <v>6.3623185156842554</v>
      </c>
      <c r="U34" s="274">
        <f t="shared" si="10"/>
        <v>7.8654112409999701</v>
      </c>
      <c r="V34" s="274">
        <f t="shared" si="10"/>
        <v>3.4838595526608729</v>
      </c>
      <c r="W34" s="274">
        <f t="shared" si="10"/>
        <v>7.2424579740098345</v>
      </c>
      <c r="X34" s="274">
        <f t="shared" si="10"/>
        <v>6.4330698077532826</v>
      </c>
      <c r="Y34" s="274">
        <f t="shared" si="10"/>
        <v>6.5581949118197596</v>
      </c>
      <c r="Z34" s="274">
        <f t="shared" si="10"/>
        <v>6.2098624116502803</v>
      </c>
      <c r="AA34" s="274">
        <f t="shared" si="10"/>
        <v>5.9224905976712936</v>
      </c>
      <c r="AB34" s="274">
        <f t="shared" si="10"/>
        <v>7.5657581302879038</v>
      </c>
      <c r="AC34" s="274">
        <f t="shared" si="10"/>
        <v>5.4635952275274295</v>
      </c>
      <c r="AD34" s="274">
        <f t="shared" si="10"/>
        <v>8.623327696580608</v>
      </c>
      <c r="AE34" s="274">
        <f t="shared" si="10"/>
        <v>2.8877607866705821</v>
      </c>
      <c r="AF34" s="274">
        <f t="shared" si="10"/>
        <v>5.9625800911859823</v>
      </c>
      <c r="AG34" s="274">
        <f t="shared" si="10"/>
        <v>2.4354775353868634</v>
      </c>
      <c r="AH34" s="274">
        <f t="shared" si="10"/>
        <v>7.190514574402437</v>
      </c>
      <c r="AI34" s="274">
        <f t="shared" si="10"/>
        <v>6.7862236605668524</v>
      </c>
      <c r="AJ34" s="274">
        <f t="shared" si="10"/>
        <v>4.0222826479759179</v>
      </c>
      <c r="AK34" s="274">
        <f t="shared" si="10"/>
        <v>3.8690040433026711</v>
      </c>
      <c r="AL34" s="274">
        <f t="shared" si="10"/>
        <v>6.7090116598932426</v>
      </c>
      <c r="AM34" s="274">
        <f t="shared" si="10"/>
        <v>8.7572010042402866</v>
      </c>
      <c r="AN34" s="274">
        <f t="shared" si="10"/>
        <v>2.6873211810871585</v>
      </c>
      <c r="AO34" s="274">
        <f t="shared" si="10"/>
        <v>5.5028517067984231</v>
      </c>
      <c r="AP34" s="274">
        <f t="shared" si="10"/>
        <v>8.5329401258935249</v>
      </c>
      <c r="AQ34" s="274">
        <f t="shared" si="10"/>
        <v>5.4895441040541169</v>
      </c>
      <c r="AR34" s="274">
        <f t="shared" si="10"/>
        <v>7.2768266275834801</v>
      </c>
      <c r="AS34" s="274">
        <f t="shared" si="10"/>
        <v>8.5028264609655331</v>
      </c>
      <c r="AT34" s="274">
        <f t="shared" si="10"/>
        <v>6.4745863669649291</v>
      </c>
      <c r="AU34" s="274">
        <f t="shared" si="10"/>
        <v>5.9317355370538047</v>
      </c>
      <c r="AV34" s="274">
        <f t="shared" si="10"/>
        <v>5.431922091351443</v>
      </c>
      <c r="AW34" s="274">
        <f t="shared" si="10"/>
        <v>7.922403654008173</v>
      </c>
      <c r="AX34" s="274">
        <f t="shared" si="10"/>
        <v>4.8044971474692089</v>
      </c>
      <c r="AY34" s="274">
        <f t="shared" si="10"/>
        <v>5.8454319123818115</v>
      </c>
      <c r="AZ34" s="274">
        <f t="shared" si="10"/>
        <v>4.9106616045497624</v>
      </c>
      <c r="BA34" s="274">
        <f t="shared" si="10"/>
        <v>4.8680768130808882</v>
      </c>
      <c r="BB34" s="274">
        <f t="shared" si="10"/>
        <v>3.4029924461710763</v>
      </c>
      <c r="BC34" s="274">
        <f t="shared" si="10"/>
        <v>4.8313655007683751</v>
      </c>
      <c r="BD34" s="274">
        <f t="shared" si="10"/>
        <v>5.1079447506121678</v>
      </c>
      <c r="BE34" s="274">
        <f t="shared" si="10"/>
        <v>2.543332206591681</v>
      </c>
      <c r="BF34" s="274">
        <f t="shared" si="10"/>
        <v>5.858674226314359</v>
      </c>
    </row>
    <row r="35" spans="1:58" ht="15.75" customHeight="1" x14ac:dyDescent="0.25"/>
    <row r="36" spans="1:58" ht="15.75" customHeight="1" x14ac:dyDescent="0.25"/>
    <row r="37" spans="1:58" ht="15.75" customHeight="1" x14ac:dyDescent="0.25"/>
    <row r="38" spans="1:58" ht="15.75" customHeight="1" x14ac:dyDescent="0.25"/>
    <row r="39" spans="1:58" ht="15.75" customHeight="1" x14ac:dyDescent="0.25"/>
    <row r="40" spans="1:58" ht="15.75" customHeight="1" x14ac:dyDescent="0.25"/>
    <row r="41" spans="1:58" ht="15.75" customHeight="1" x14ac:dyDescent="0.25"/>
    <row r="42" spans="1:58" ht="15.75" customHeight="1" x14ac:dyDescent="0.25"/>
    <row r="43" spans="1:58" ht="15.75" customHeight="1" x14ac:dyDescent="0.25"/>
    <row r="44" spans="1:58" ht="15.75" customHeight="1" x14ac:dyDescent="0.25"/>
    <row r="45" spans="1:58" ht="15.75" customHeight="1" x14ac:dyDescent="0.25"/>
    <row r="46" spans="1:58" ht="15.75" customHeight="1" x14ac:dyDescent="0.25"/>
    <row r="47" spans="1:58" ht="15.75" customHeight="1" x14ac:dyDescent="0.25"/>
    <row r="48" spans="1:5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28">
    <mergeCell ref="G3:G17"/>
    <mergeCell ref="G20:G34"/>
    <mergeCell ref="C33:E33"/>
    <mergeCell ref="B34:E34"/>
    <mergeCell ref="C23:E23"/>
    <mergeCell ref="C27:E27"/>
    <mergeCell ref="A3:A6"/>
    <mergeCell ref="B3:B6"/>
    <mergeCell ref="C6:E6"/>
    <mergeCell ref="A7:A10"/>
    <mergeCell ref="B7:B10"/>
    <mergeCell ref="C10:E10"/>
    <mergeCell ref="A11:A13"/>
    <mergeCell ref="B11:B13"/>
    <mergeCell ref="C13:E13"/>
    <mergeCell ref="A14:A16"/>
    <mergeCell ref="B14:B16"/>
    <mergeCell ref="C16:E16"/>
    <mergeCell ref="A28:A30"/>
    <mergeCell ref="B28:B30"/>
    <mergeCell ref="C30:E30"/>
    <mergeCell ref="B17:E17"/>
    <mergeCell ref="A31:A33"/>
    <mergeCell ref="B31:B33"/>
    <mergeCell ref="A20:A23"/>
    <mergeCell ref="B20:B23"/>
    <mergeCell ref="A24:A27"/>
    <mergeCell ref="B24:B27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2"/>
  <sheetViews>
    <sheetView zoomScaleNormal="100" workbookViewId="0">
      <pane xSplit="7" ySplit="4" topLeftCell="I5" activePane="bottomRight" state="frozen"/>
      <selection pane="topRight" activeCell="F1" sqref="F1"/>
      <selection pane="bottomLeft" activeCell="A4" sqref="A4"/>
      <selection pane="bottomRight"/>
    </sheetView>
  </sheetViews>
  <sheetFormatPr defaultRowHeight="15" x14ac:dyDescent="0.25"/>
  <cols>
    <col min="1" max="1" width="3" bestFit="1" customWidth="1"/>
    <col min="2" max="2" width="3" style="525" customWidth="1"/>
    <col min="3" max="3" width="44" style="307" bestFit="1" customWidth="1"/>
    <col min="4" max="4" width="7.28515625" style="307" customWidth="1"/>
    <col min="5" max="5" width="3" style="307" customWidth="1"/>
    <col min="6" max="6" width="8.7109375" style="284" customWidth="1"/>
    <col min="7" max="7" width="3" style="307" customWidth="1"/>
    <col min="8" max="10" width="6.7109375" customWidth="1"/>
    <col min="11" max="11" width="6.7109375" style="284" customWidth="1"/>
    <col min="12" max="12" width="3" style="307" customWidth="1"/>
    <col min="13" max="15" width="6.7109375" customWidth="1"/>
    <col min="16" max="16" width="6.7109375" style="284" customWidth="1"/>
    <col min="17" max="17" width="3" style="307" customWidth="1"/>
    <col min="18" max="19" width="6.7109375" customWidth="1"/>
    <col min="20" max="20" width="6.7109375" style="284" customWidth="1"/>
    <col min="21" max="21" width="3" style="307" customWidth="1"/>
    <col min="22" max="23" width="6.7109375" customWidth="1"/>
    <col min="24" max="24" width="6.7109375" style="284" customWidth="1"/>
    <col min="25" max="25" width="3" style="307" customWidth="1"/>
    <col min="26" max="26" width="3" style="546" customWidth="1"/>
    <col min="27" max="29" width="7.7109375" style="307" customWidth="1"/>
    <col min="30" max="30" width="3" style="307" customWidth="1"/>
    <col min="31" max="33" width="7.7109375" style="307" customWidth="1"/>
    <col min="34" max="34" width="3" style="307" customWidth="1"/>
    <col min="35" max="36" width="7.7109375" style="307" customWidth="1"/>
    <col min="37" max="37" width="3" style="307" customWidth="1"/>
    <col min="38" max="39" width="7.7109375" style="307" customWidth="1"/>
  </cols>
  <sheetData>
    <row r="1" spans="1:39" s="307" customFormat="1" x14ac:dyDescent="0.25">
      <c r="B1" s="525"/>
      <c r="F1" s="284"/>
      <c r="H1" s="525">
        <v>20</v>
      </c>
      <c r="I1" s="525">
        <v>21</v>
      </c>
      <c r="J1" s="525">
        <v>22</v>
      </c>
      <c r="K1" s="525">
        <v>23</v>
      </c>
      <c r="L1" s="525"/>
      <c r="M1" s="525">
        <v>24</v>
      </c>
      <c r="N1" s="525">
        <v>25</v>
      </c>
      <c r="O1" s="525">
        <v>26</v>
      </c>
      <c r="P1" s="525">
        <v>27</v>
      </c>
      <c r="Q1" s="525"/>
      <c r="R1" s="525">
        <v>28</v>
      </c>
      <c r="S1" s="525">
        <v>29</v>
      </c>
      <c r="T1" s="525">
        <v>30</v>
      </c>
      <c r="U1" s="525"/>
      <c r="V1" s="525">
        <v>31</v>
      </c>
      <c r="W1" s="525">
        <v>32</v>
      </c>
      <c r="X1" s="284">
        <v>33</v>
      </c>
      <c r="Y1" s="525"/>
      <c r="Z1" s="544"/>
      <c r="AA1" s="525">
        <v>20</v>
      </c>
      <c r="AB1" s="525">
        <v>21</v>
      </c>
      <c r="AC1" s="525">
        <v>22</v>
      </c>
      <c r="AD1" s="525"/>
      <c r="AE1" s="525">
        <v>24</v>
      </c>
      <c r="AF1" s="525">
        <v>25</v>
      </c>
      <c r="AG1" s="525">
        <v>26</v>
      </c>
      <c r="AH1" s="525"/>
      <c r="AI1" s="525">
        <v>28</v>
      </c>
      <c r="AJ1" s="525">
        <v>29</v>
      </c>
      <c r="AK1" s="525"/>
      <c r="AL1" s="525">
        <v>31</v>
      </c>
      <c r="AM1" s="525">
        <v>32</v>
      </c>
    </row>
    <row r="2" spans="1:39" x14ac:dyDescent="0.25">
      <c r="F2" s="674">
        <v>2016</v>
      </c>
      <c r="G2" s="674"/>
      <c r="H2" s="674"/>
      <c r="I2" s="674"/>
      <c r="J2" s="674"/>
      <c r="K2" s="674"/>
      <c r="L2" s="674"/>
      <c r="M2" s="674"/>
      <c r="N2" s="674"/>
      <c r="O2" s="674"/>
      <c r="P2" s="674"/>
      <c r="Q2" s="674"/>
      <c r="R2" s="674"/>
      <c r="S2" s="674"/>
      <c r="T2" s="674"/>
      <c r="U2" s="674"/>
      <c r="V2" s="674"/>
      <c r="W2" s="674"/>
      <c r="X2" s="674"/>
      <c r="Y2" s="543"/>
      <c r="Z2" s="545"/>
      <c r="AA2" s="674" t="s">
        <v>1469</v>
      </c>
      <c r="AB2" s="674"/>
      <c r="AC2" s="674"/>
      <c r="AD2" s="674"/>
      <c r="AE2" s="674"/>
      <c r="AF2" s="674"/>
      <c r="AG2" s="674"/>
      <c r="AH2" s="674"/>
      <c r="AI2" s="674"/>
      <c r="AJ2" s="674"/>
      <c r="AK2" s="674"/>
      <c r="AL2" s="674"/>
      <c r="AM2" s="674"/>
    </row>
    <row r="3" spans="1:39" x14ac:dyDescent="0.25">
      <c r="F3" s="481">
        <f>K3+P3+T3+X3</f>
        <v>1</v>
      </c>
      <c r="H3" s="562">
        <f>25/300</f>
        <v>8.3333333333333329E-2</v>
      </c>
      <c r="I3" s="562">
        <f>25/300</f>
        <v>8.3333333333333329E-2</v>
      </c>
      <c r="J3" s="562">
        <f>25/300</f>
        <v>8.3333333333333329E-2</v>
      </c>
      <c r="K3" s="481">
        <f>H3+I3+J3</f>
        <v>0.25</v>
      </c>
      <c r="M3" s="514">
        <v>0.1</v>
      </c>
      <c r="N3" s="514">
        <v>0.05</v>
      </c>
      <c r="O3" s="514">
        <v>0.1</v>
      </c>
      <c r="P3" s="481">
        <f>M3+N3+O3</f>
        <v>0.25</v>
      </c>
      <c r="R3" s="514">
        <v>0.15</v>
      </c>
      <c r="S3" s="514">
        <v>0.15</v>
      </c>
      <c r="T3" s="481">
        <f>R3+S3</f>
        <v>0.3</v>
      </c>
      <c r="V3" s="514">
        <v>0.1</v>
      </c>
      <c r="W3" s="514">
        <v>0.1</v>
      </c>
      <c r="X3" s="481">
        <f>V3+W3</f>
        <v>0.2</v>
      </c>
      <c r="Y3" s="428"/>
      <c r="AA3" s="541" t="s">
        <v>386</v>
      </c>
      <c r="AB3" s="541" t="s">
        <v>386</v>
      </c>
      <c r="AC3" s="541" t="s">
        <v>386</v>
      </c>
      <c r="AD3" s="542"/>
      <c r="AE3" s="541" t="s">
        <v>386</v>
      </c>
      <c r="AF3" s="541" t="s">
        <v>386</v>
      </c>
      <c r="AG3" s="541" t="s">
        <v>386</v>
      </c>
      <c r="AH3" s="542"/>
      <c r="AI3" s="541" t="s">
        <v>311</v>
      </c>
      <c r="AJ3" s="541" t="s">
        <v>1535</v>
      </c>
      <c r="AK3" s="542"/>
      <c r="AL3" s="541" t="s">
        <v>1536</v>
      </c>
      <c r="AM3" s="541" t="s">
        <v>386</v>
      </c>
    </row>
    <row r="4" spans="1:39" s="159" customFormat="1" ht="100.5" customHeight="1" x14ac:dyDescent="0.25">
      <c r="A4" s="512" t="s">
        <v>1458</v>
      </c>
      <c r="B4" s="526" t="s">
        <v>1507</v>
      </c>
      <c r="C4" s="512"/>
      <c r="D4" s="512"/>
      <c r="E4" s="512"/>
      <c r="F4" s="513" t="str">
        <f>'MD-ratings-year'!B18</f>
        <v>Total</v>
      </c>
      <c r="G4" s="512"/>
      <c r="H4" s="515" t="str">
        <f>'MD-ratings-year'!D4</f>
        <v>Current Ratio</v>
      </c>
      <c r="I4" s="515" t="str">
        <f>'MD-ratings-year'!D5</f>
        <v>Quick Asset Ratio</v>
      </c>
      <c r="J4" s="515" t="str">
        <f>'MD-ratings-year'!D6</f>
        <v>Cash Position Ratio</v>
      </c>
      <c r="K4" s="516" t="str">
        <f>'MD-ratings-year'!C7</f>
        <v>Liquidity total</v>
      </c>
      <c r="L4" s="512"/>
      <c r="M4" s="515" t="str">
        <f>'MD-ratings-year'!D8</f>
        <v>ROA - Return on Assets</v>
      </c>
      <c r="N4" s="515" t="str">
        <f>'MD-ratings-year'!D9</f>
        <v>ROE - Return on Equity</v>
      </c>
      <c r="O4" s="515" t="str">
        <f>'MD-ratings-year'!D10</f>
        <v>ROS – Return on Sales</v>
      </c>
      <c r="P4" s="516" t="str">
        <f>'MD-ratings-year'!C11</f>
        <v>Profitability total</v>
      </c>
      <c r="Q4" s="512"/>
      <c r="R4" s="515" t="str">
        <f>'MD-ratings-year'!D12</f>
        <v>Total Debt to Total Assets</v>
      </c>
      <c r="S4" s="515" t="str">
        <f>'MD-ratings-year'!D13</f>
        <v>Debt-to-EBITDA Ratio</v>
      </c>
      <c r="T4" s="516" t="str">
        <f>'MD-ratings-year'!C14</f>
        <v>Leverage total</v>
      </c>
      <c r="U4" s="512"/>
      <c r="V4" s="515" t="str">
        <f>'MD-ratings-year'!D15</f>
        <v>Working capital turnover ratio</v>
      </c>
      <c r="W4" s="515" t="str">
        <f>'MD-ratings-year'!D16</f>
        <v>Accounts receivable turnover ratio</v>
      </c>
      <c r="X4" s="516" t="str">
        <f>'MD-ratings-year'!C17</f>
        <v>Activity total</v>
      </c>
      <c r="Y4" s="512"/>
      <c r="Z4" s="547"/>
      <c r="AA4" s="477" t="str">
        <f>H4</f>
        <v>Current Ratio</v>
      </c>
      <c r="AB4" s="477" t="str">
        <f t="shared" ref="AB4:AC4" si="0">I4</f>
        <v>Quick Asset Ratio</v>
      </c>
      <c r="AC4" s="477" t="str">
        <f t="shared" si="0"/>
        <v>Cash Position Ratio</v>
      </c>
      <c r="AD4" s="512"/>
      <c r="AE4" s="477" t="str">
        <f>M4</f>
        <v>ROA - Return on Assets</v>
      </c>
      <c r="AF4" s="477" t="str">
        <f t="shared" ref="AF4:AG4" si="1">N4</f>
        <v>ROE - Return on Equity</v>
      </c>
      <c r="AG4" s="477" t="str">
        <f t="shared" si="1"/>
        <v>ROS – Return on Sales</v>
      </c>
      <c r="AH4" s="512"/>
      <c r="AI4" s="477" t="str">
        <f>R4</f>
        <v>Total Debt to Total Assets</v>
      </c>
      <c r="AJ4" s="477" t="str">
        <f>S4</f>
        <v>Debt-to-EBITDA Ratio</v>
      </c>
      <c r="AK4" s="512"/>
      <c r="AL4" s="477" t="str">
        <f>V4</f>
        <v>Working capital turnover ratio</v>
      </c>
      <c r="AM4" s="477" t="str">
        <f>W4</f>
        <v>Accounts receivable turnover ratio</v>
      </c>
    </row>
    <row r="5" spans="1:39" s="159" customFormat="1" x14ac:dyDescent="0.25">
      <c r="A5" s="512">
        <v>0</v>
      </c>
      <c r="B5" s="527"/>
      <c r="C5" s="512" t="s">
        <v>1459</v>
      </c>
      <c r="D5" s="512"/>
      <c r="E5" s="512"/>
      <c r="F5" s="524">
        <f>QUARTILE(F$12:F$61,$A5)</f>
        <v>2.4354775353868634</v>
      </c>
      <c r="G5" s="512"/>
      <c r="H5" s="528">
        <f t="shared" ref="H5:K9" ca="1" si="2">QUARTILE(H$12:H$61,$A5)</f>
        <v>0.82465885020458951</v>
      </c>
      <c r="I5" s="528">
        <f t="shared" ca="1" si="2"/>
        <v>2.3658806001549414E-2</v>
      </c>
      <c r="J5" s="528">
        <f t="shared" ca="1" si="2"/>
        <v>2.0172535668360673E-3</v>
      </c>
      <c r="K5" s="524">
        <f t="shared" ca="1" si="2"/>
        <v>0.37250801642571069</v>
      </c>
      <c r="L5" s="512"/>
      <c r="M5" s="528">
        <f t="shared" ref="M5:P9" ca="1" si="3">QUARTILE(M$12:M$61,$A5)</f>
        <v>0</v>
      </c>
      <c r="N5" s="528">
        <f t="shared" ca="1" si="3"/>
        <v>1.2385917395186448E-2</v>
      </c>
      <c r="O5" s="528">
        <f t="shared" ca="1" si="3"/>
        <v>0</v>
      </c>
      <c r="P5" s="524">
        <f t="shared" ca="1" si="3"/>
        <v>2.4771834790372899E-3</v>
      </c>
      <c r="Q5" s="512"/>
      <c r="R5" s="528">
        <f t="shared" ref="R5:T9" ca="1" si="4">QUARTILE(R$12:R$61,$A5)</f>
        <v>0</v>
      </c>
      <c r="S5" s="528">
        <f t="shared" ca="1" si="4"/>
        <v>0</v>
      </c>
      <c r="T5" s="524">
        <f t="shared" ca="1" si="4"/>
        <v>0.21810599307290651</v>
      </c>
      <c r="U5" s="512"/>
      <c r="V5" s="528">
        <f t="shared" ref="V5:X9" ca="1" si="5">QUARTILE(V$12:V$61,$A5)</f>
        <v>0.59205624785738864</v>
      </c>
      <c r="W5" s="528">
        <f t="shared" ca="1" si="5"/>
        <v>0</v>
      </c>
      <c r="X5" s="524">
        <f t="shared" ca="1" si="5"/>
        <v>0.89358170013309146</v>
      </c>
      <c r="Y5" s="512"/>
      <c r="Z5" s="547"/>
      <c r="AA5" s="532">
        <f t="shared" ref="AA5:AM9" ca="1" si="6">QUARTILE(AA$12:AA$61,$A5)</f>
        <v>7.4950707842259059E-2</v>
      </c>
      <c r="AB5" s="532">
        <f t="shared" ca="1" si="6"/>
        <v>5.6688240591371725E-5</v>
      </c>
      <c r="AC5" s="532">
        <f t="shared" ca="1" si="6"/>
        <v>5.4277053647186454E-5</v>
      </c>
      <c r="AD5" s="533"/>
      <c r="AE5" s="532">
        <f t="shared" ca="1" si="6"/>
        <v>-0.26759065179916736</v>
      </c>
      <c r="AF5" s="532">
        <f t="shared" ca="1" si="6"/>
        <v>-2.1145280053527689</v>
      </c>
      <c r="AG5" s="532">
        <f t="shared" ca="1" si="6"/>
        <v>-0.83606935217516687</v>
      </c>
      <c r="AH5" s="533"/>
      <c r="AI5" s="532">
        <f t="shared" ca="1" si="6"/>
        <v>0</v>
      </c>
      <c r="AJ5" s="532">
        <f t="shared" ca="1" si="6"/>
        <v>-54.854616930281431</v>
      </c>
      <c r="AK5" s="533"/>
      <c r="AL5" s="532">
        <f t="shared" ca="1" si="6"/>
        <v>-33.694794266696924</v>
      </c>
      <c r="AM5" s="532">
        <f t="shared" ca="1" si="6"/>
        <v>0</v>
      </c>
    </row>
    <row r="6" spans="1:39" s="159" customFormat="1" x14ac:dyDescent="0.25">
      <c r="A6" s="512">
        <v>1</v>
      </c>
      <c r="B6" s="527"/>
      <c r="C6" s="512" t="s">
        <v>1460</v>
      </c>
      <c r="D6" s="512"/>
      <c r="E6" s="512"/>
      <c r="F6" s="524">
        <f>QUARTILE(F$12:F$61,$A6)</f>
        <v>4.4584338982357012</v>
      </c>
      <c r="G6" s="512"/>
      <c r="H6" s="528">
        <f t="shared" ca="1" si="2"/>
        <v>3.9156087810100049</v>
      </c>
      <c r="I6" s="528">
        <f t="shared" ca="1" si="2"/>
        <v>2.3360161811435702</v>
      </c>
      <c r="J6" s="528">
        <f t="shared" ca="1" si="2"/>
        <v>0.96606719189597423</v>
      </c>
      <c r="K6" s="524">
        <f t="shared" ca="1" si="2"/>
        <v>2.1313050620162772</v>
      </c>
      <c r="L6" s="512"/>
      <c r="M6" s="528">
        <f t="shared" ca="1" si="3"/>
        <v>4.2151929205265004</v>
      </c>
      <c r="N6" s="528">
        <f t="shared" ca="1" si="3"/>
        <v>4.543817916891987</v>
      </c>
      <c r="O6" s="528">
        <f t="shared" ca="1" si="3"/>
        <v>4.2635578283772473</v>
      </c>
      <c r="P6" s="524">
        <f t="shared" ca="1" si="3"/>
        <v>4.2858476486478985</v>
      </c>
      <c r="Q6" s="512"/>
      <c r="R6" s="528">
        <f t="shared" ca="1" si="4"/>
        <v>3.533581482393922</v>
      </c>
      <c r="S6" s="528">
        <f t="shared" ca="1" si="4"/>
        <v>4.2773515931276789</v>
      </c>
      <c r="T6" s="524">
        <f t="shared" ca="1" si="4"/>
        <v>4.0022001243274028</v>
      </c>
      <c r="U6" s="512"/>
      <c r="V6" s="528">
        <f t="shared" ca="1" si="5"/>
        <v>3.3570280844082649</v>
      </c>
      <c r="W6" s="528">
        <f t="shared" ca="1" si="5"/>
        <v>2.3650495185427909</v>
      </c>
      <c r="X6" s="524">
        <f t="shared" ca="1" si="5"/>
        <v>3.2618686124328562</v>
      </c>
      <c r="Y6" s="512"/>
      <c r="Z6" s="547"/>
      <c r="AA6" s="532">
        <f t="shared" ca="1" si="6"/>
        <v>0.99893845564338968</v>
      </c>
      <c r="AB6" s="532">
        <f t="shared" ca="1" si="6"/>
        <v>0.32836189691915063</v>
      </c>
      <c r="AC6" s="532">
        <f t="shared" ca="1" si="6"/>
        <v>6.4310458684855257E-2</v>
      </c>
      <c r="AD6" s="533"/>
      <c r="AE6" s="532">
        <f t="shared" ca="1" si="6"/>
        <v>6.0320513544371538E-4</v>
      </c>
      <c r="AF6" s="532">
        <f t="shared" ca="1" si="6"/>
        <v>-3.6704162053238631E-3</v>
      </c>
      <c r="AG6" s="532">
        <f t="shared" ca="1" si="6"/>
        <v>3.7883769410263645E-3</v>
      </c>
      <c r="AH6" s="533"/>
      <c r="AI6" s="532">
        <f t="shared" ca="1" si="6"/>
        <v>2.6592771387177888E-3</v>
      </c>
      <c r="AJ6" s="532">
        <f t="shared" ca="1" si="6"/>
        <v>-6.1906366216163689E-3</v>
      </c>
      <c r="AK6" s="533"/>
      <c r="AL6" s="532">
        <f t="shared" ca="1" si="6"/>
        <v>-0.31193993372348994</v>
      </c>
      <c r="AM6" s="532">
        <f t="shared" ca="1" si="6"/>
        <v>4.2940877572595326</v>
      </c>
    </row>
    <row r="7" spans="1:39" s="538" customFormat="1" x14ac:dyDescent="0.25">
      <c r="A7" s="534">
        <v>2</v>
      </c>
      <c r="B7" s="535"/>
      <c r="C7" s="534" t="s">
        <v>1461</v>
      </c>
      <c r="D7" s="534"/>
      <c r="E7" s="534"/>
      <c r="F7" s="536">
        <f>QUARTILE(F$12:F$61,$A7)</f>
        <v>5.6741418095901173</v>
      </c>
      <c r="G7" s="534"/>
      <c r="H7" s="537">
        <f t="shared" ca="1" si="2"/>
        <v>5.1876873397814087</v>
      </c>
      <c r="I7" s="537">
        <f t="shared" ca="1" si="2"/>
        <v>4.2934233305535718</v>
      </c>
      <c r="J7" s="537">
        <f t="shared" ca="1" si="2"/>
        <v>3.4971303784774594</v>
      </c>
      <c r="K7" s="536">
        <f t="shared" ca="1" si="2"/>
        <v>4.5947332519581048</v>
      </c>
      <c r="L7" s="534"/>
      <c r="M7" s="537">
        <f t="shared" ca="1" si="3"/>
        <v>7.1849792071416356</v>
      </c>
      <c r="N7" s="537">
        <f t="shared" ca="1" si="3"/>
        <v>6.7621076136375624</v>
      </c>
      <c r="O7" s="537">
        <f t="shared" ca="1" si="3"/>
        <v>6.4540667326764698</v>
      </c>
      <c r="P7" s="536">
        <f t="shared" ca="1" si="3"/>
        <v>7.0265229595760168</v>
      </c>
      <c r="Q7" s="534"/>
      <c r="R7" s="537">
        <f t="shared" ca="1" si="4"/>
        <v>7.2260661420593433</v>
      </c>
      <c r="S7" s="537">
        <f t="shared" ca="1" si="4"/>
        <v>7.0548872769155686</v>
      </c>
      <c r="T7" s="536">
        <f t="shared" ca="1" si="4"/>
        <v>6.9827121998773327</v>
      </c>
      <c r="U7" s="534"/>
      <c r="V7" s="537">
        <f t="shared" ca="1" si="5"/>
        <v>4.6592629488492117</v>
      </c>
      <c r="W7" s="537">
        <f t="shared" ca="1" si="5"/>
        <v>4.5567183657069936</v>
      </c>
      <c r="X7" s="536">
        <f t="shared" ca="1" si="5"/>
        <v>4.8011414785388471</v>
      </c>
      <c r="Y7" s="534"/>
      <c r="Z7" s="548"/>
      <c r="AA7" s="539">
        <f t="shared" ca="1" si="6"/>
        <v>1.9229713965396571</v>
      </c>
      <c r="AB7" s="539">
        <f t="shared" ca="1" si="6"/>
        <v>1.2132572801322747</v>
      </c>
      <c r="AC7" s="539">
        <f t="shared" ca="1" si="6"/>
        <v>0.5450961190967416</v>
      </c>
      <c r="AD7" s="540"/>
      <c r="AE7" s="539">
        <f t="shared" ca="1" si="6"/>
        <v>1.8191319773804976E-2</v>
      </c>
      <c r="AF7" s="539">
        <f t="shared" ca="1" si="6"/>
        <v>2.3039543900841911E-2</v>
      </c>
      <c r="AG7" s="539">
        <f t="shared" ca="1" si="6"/>
        <v>1.9219754688179116E-2</v>
      </c>
      <c r="AH7" s="540"/>
      <c r="AI7" s="539">
        <f t="shared" ca="1" si="6"/>
        <v>9.5004357420602186E-3</v>
      </c>
      <c r="AJ7" s="539">
        <f t="shared" ca="1" si="6"/>
        <v>3.6137903336849353E-2</v>
      </c>
      <c r="AK7" s="540"/>
      <c r="AL7" s="539">
        <f t="shared" ca="1" si="6"/>
        <v>2.0293007720254219</v>
      </c>
      <c r="AM7" s="539">
        <f t="shared" ca="1" si="6"/>
        <v>15.379473905148243</v>
      </c>
    </row>
    <row r="8" spans="1:39" s="159" customFormat="1" x14ac:dyDescent="0.25">
      <c r="A8" s="512">
        <v>3</v>
      </c>
      <c r="B8" s="527"/>
      <c r="C8" s="512" t="s">
        <v>1462</v>
      </c>
      <c r="D8" s="512"/>
      <c r="E8" s="512"/>
      <c r="F8" s="524">
        <f>QUARTILE(F$12:F$61,$A8)</f>
        <v>6.8594792819530959</v>
      </c>
      <c r="G8" s="512"/>
      <c r="H8" s="528">
        <f t="shared" ca="1" si="2"/>
        <v>7.8488508825081507</v>
      </c>
      <c r="I8" s="528">
        <f t="shared" ca="1" si="2"/>
        <v>7.0588393083878893</v>
      </c>
      <c r="J8" s="528">
        <f t="shared" ca="1" si="2"/>
        <v>5.8804154099612003</v>
      </c>
      <c r="K8" s="524">
        <f t="shared" ca="1" si="2"/>
        <v>6.8095167897605293</v>
      </c>
      <c r="L8" s="512"/>
      <c r="M8" s="528">
        <f t="shared" ca="1" si="3"/>
        <v>7.9145957198293093</v>
      </c>
      <c r="N8" s="528">
        <f t="shared" ca="1" si="3"/>
        <v>8.3349734894528922</v>
      </c>
      <c r="O8" s="528">
        <f t="shared" ca="1" si="3"/>
        <v>7.940008256222276</v>
      </c>
      <c r="P8" s="524">
        <f t="shared" ca="1" si="3"/>
        <v>7.9942622742524376</v>
      </c>
      <c r="Q8" s="512"/>
      <c r="R8" s="528">
        <f t="shared" ca="1" si="4"/>
        <v>9.1047270175900401</v>
      </c>
      <c r="S8" s="528">
        <f t="shared" ca="1" si="4"/>
        <v>9.6057966738569434</v>
      </c>
      <c r="T8" s="524">
        <f t="shared" ca="1" si="4"/>
        <v>9.0550079264328112</v>
      </c>
      <c r="U8" s="512"/>
      <c r="V8" s="528">
        <f t="shared" ca="1" si="5"/>
        <v>6.5595061035950266</v>
      </c>
      <c r="W8" s="528">
        <f t="shared" ca="1" si="5"/>
        <v>6.7711493976113601</v>
      </c>
      <c r="X8" s="524">
        <f t="shared" ca="1" si="5"/>
        <v>6.3615636214984894</v>
      </c>
      <c r="Y8" s="512"/>
      <c r="Z8" s="547"/>
      <c r="AA8" s="532">
        <f t="shared" ca="1" si="6"/>
        <v>8.0492890642323704</v>
      </c>
      <c r="AB8" s="532">
        <f t="shared" ca="1" si="6"/>
        <v>3.3968570141032184</v>
      </c>
      <c r="AC8" s="532">
        <f t="shared" ca="1" si="6"/>
        <v>2.0489814342924837</v>
      </c>
      <c r="AD8" s="533"/>
      <c r="AE8" s="532">
        <f t="shared" ca="1" si="6"/>
        <v>4.4940175295498708E-2</v>
      </c>
      <c r="AF8" s="532">
        <f t="shared" ca="1" si="6"/>
        <v>9.3553615931782602E-2</v>
      </c>
      <c r="AG8" s="532">
        <f t="shared" ca="1" si="6"/>
        <v>5.8313122343901846E-2</v>
      </c>
      <c r="AH8" s="533"/>
      <c r="AI8" s="532">
        <f t="shared" ca="1" si="6"/>
        <v>0.12494823992889335</v>
      </c>
      <c r="AJ8" s="532">
        <f t="shared" ca="1" si="6"/>
        <v>0.83945289022766034</v>
      </c>
      <c r="AK8" s="533"/>
      <c r="AL8" s="532">
        <f t="shared" ca="1" si="6"/>
        <v>4.5376279887553714</v>
      </c>
      <c r="AM8" s="532">
        <f t="shared" ca="1" si="6"/>
        <v>32.777076806366843</v>
      </c>
    </row>
    <row r="9" spans="1:39" s="159" customFormat="1" x14ac:dyDescent="0.25">
      <c r="A9" s="512">
        <v>4</v>
      </c>
      <c r="B9" s="527"/>
      <c r="C9" s="512" t="s">
        <v>1463</v>
      </c>
      <c r="D9" s="512"/>
      <c r="E9" s="512"/>
      <c r="F9" s="524">
        <f>QUARTILE(F$12:F$61,$A9)</f>
        <v>8.7572010042402866</v>
      </c>
      <c r="G9" s="512"/>
      <c r="H9" s="528">
        <f t="shared" ca="1" si="2"/>
        <v>10</v>
      </c>
      <c r="I9" s="528">
        <f t="shared" ca="1" si="2"/>
        <v>10</v>
      </c>
      <c r="J9" s="528">
        <f t="shared" ca="1" si="2"/>
        <v>10</v>
      </c>
      <c r="K9" s="524">
        <f t="shared" ca="1" si="2"/>
        <v>10</v>
      </c>
      <c r="L9" s="512"/>
      <c r="M9" s="528">
        <f t="shared" ca="1" si="3"/>
        <v>10</v>
      </c>
      <c r="N9" s="528">
        <f t="shared" ca="1" si="3"/>
        <v>9.6206361886904919</v>
      </c>
      <c r="O9" s="528">
        <f t="shared" ca="1" si="3"/>
        <v>10</v>
      </c>
      <c r="P9" s="524">
        <f t="shared" ca="1" si="3"/>
        <v>9.9142857130915019</v>
      </c>
      <c r="Q9" s="512"/>
      <c r="R9" s="528">
        <f t="shared" ca="1" si="4"/>
        <v>10</v>
      </c>
      <c r="S9" s="528">
        <f t="shared" ca="1" si="4"/>
        <v>10</v>
      </c>
      <c r="T9" s="524">
        <f t="shared" ca="1" si="4"/>
        <v>10</v>
      </c>
      <c r="U9" s="512"/>
      <c r="V9" s="528">
        <f t="shared" ca="1" si="5"/>
        <v>10</v>
      </c>
      <c r="W9" s="528">
        <f t="shared" ca="1" si="5"/>
        <v>10</v>
      </c>
      <c r="X9" s="524">
        <f t="shared" ca="1" si="5"/>
        <v>8.7346502565015296</v>
      </c>
      <c r="Y9" s="512"/>
      <c r="Z9" s="547"/>
      <c r="AA9" s="532">
        <f t="shared" ca="1" si="6"/>
        <v>242.5513009340354</v>
      </c>
      <c r="AB9" s="532">
        <f t="shared" ca="1" si="6"/>
        <v>83.383782115685733</v>
      </c>
      <c r="AC9" s="532">
        <f t="shared" ca="1" si="6"/>
        <v>25.30894443655415</v>
      </c>
      <c r="AD9" s="533"/>
      <c r="AE9" s="532">
        <f t="shared" ca="1" si="6"/>
        <v>0.24868462829932142</v>
      </c>
      <c r="AF9" s="532">
        <f t="shared" ca="1" si="6"/>
        <v>0.55633546568983738</v>
      </c>
      <c r="AG9" s="532">
        <f t="shared" ca="1" si="6"/>
        <v>0.5306586834821434</v>
      </c>
      <c r="AH9" s="533"/>
      <c r="AI9" s="532">
        <f t="shared" ca="1" si="6"/>
        <v>0.83858745707941851</v>
      </c>
      <c r="AJ9" s="532">
        <f t="shared" ca="1" si="6"/>
        <v>1304.1966462656806</v>
      </c>
      <c r="AK9" s="533"/>
      <c r="AL9" s="532">
        <f t="shared" ca="1" si="6"/>
        <v>97.766074004113364</v>
      </c>
      <c r="AM9" s="532">
        <f t="shared" ca="1" si="6"/>
        <v>3872.6608017262843</v>
      </c>
    </row>
    <row r="10" spans="1:39" s="159" customFormat="1" x14ac:dyDescent="0.25">
      <c r="A10" s="549" t="s">
        <v>1471</v>
      </c>
      <c r="B10" s="527"/>
      <c r="C10" s="512" t="s">
        <v>1470</v>
      </c>
      <c r="D10" s="512"/>
      <c r="E10" s="512"/>
      <c r="F10" s="513"/>
      <c r="G10" s="512"/>
      <c r="H10" s="528"/>
      <c r="I10" s="528"/>
      <c r="J10" s="528"/>
      <c r="K10" s="524"/>
      <c r="L10" s="512"/>
      <c r="M10" s="528"/>
      <c r="N10" s="528"/>
      <c r="O10" s="528"/>
      <c r="P10" s="524"/>
      <c r="Q10" s="512"/>
      <c r="R10" s="528"/>
      <c r="S10" s="528"/>
      <c r="T10" s="524"/>
      <c r="U10" s="512"/>
      <c r="V10" s="528"/>
      <c r="W10" s="528"/>
      <c r="X10" s="524"/>
      <c r="Y10" s="512"/>
      <c r="Z10" s="547"/>
      <c r="AA10" s="532"/>
      <c r="AB10" s="532"/>
      <c r="AC10" s="532"/>
      <c r="AD10" s="533"/>
      <c r="AE10" s="532"/>
      <c r="AF10" s="532"/>
      <c r="AG10" s="532"/>
      <c r="AH10" s="533"/>
      <c r="AI10" s="532">
        <f t="array" aca="1" ref="AI10" ca="1">MIN(IF(AI12:AI61&gt;=0,AI12:AI61))</f>
        <v>0</v>
      </c>
      <c r="AJ10" s="532">
        <f t="array" aca="1" ref="AJ10" ca="1">MIN(IF(AJ12:AJ61&gt;=0,AJ12:AJ61))</f>
        <v>0</v>
      </c>
      <c r="AK10" s="533"/>
      <c r="AL10" s="532">
        <f t="array" aca="1" ref="AL10" ca="1">MIN(IF(AL12:AL61&gt;=0,AL12:AL61))</f>
        <v>0.1984819482404149</v>
      </c>
      <c r="AM10" s="532"/>
    </row>
    <row r="11" spans="1:39" s="159" customFormat="1" x14ac:dyDescent="0.25">
      <c r="A11" s="512"/>
      <c r="B11" s="527"/>
      <c r="C11" s="512"/>
      <c r="D11" s="512"/>
      <c r="E11" s="512"/>
      <c r="F11" s="513"/>
      <c r="G11" s="512"/>
      <c r="H11" s="528"/>
      <c r="I11" s="528"/>
      <c r="J11" s="528"/>
      <c r="K11" s="524"/>
      <c r="L11" s="512"/>
      <c r="M11" s="528"/>
      <c r="N11" s="528"/>
      <c r="O11" s="528"/>
      <c r="P11" s="524"/>
      <c r="Q11" s="512"/>
      <c r="R11" s="528"/>
      <c r="S11" s="528"/>
      <c r="T11" s="524"/>
      <c r="U11" s="512"/>
      <c r="V11" s="528"/>
      <c r="W11" s="528"/>
      <c r="X11" s="524"/>
      <c r="Y11" s="512"/>
      <c r="Z11" s="547"/>
      <c r="AA11" s="532"/>
      <c r="AB11" s="532"/>
      <c r="AC11" s="532"/>
      <c r="AD11" s="533"/>
      <c r="AE11" s="532"/>
      <c r="AF11" s="532"/>
      <c r="AG11" s="532"/>
      <c r="AH11" s="533"/>
      <c r="AI11" s="532"/>
      <c r="AJ11" s="532"/>
      <c r="AK11" s="533"/>
      <c r="AL11" s="532"/>
      <c r="AM11" s="532"/>
    </row>
    <row r="12" spans="1:39" x14ac:dyDescent="0.25">
      <c r="A12">
        <v>1</v>
      </c>
      <c r="B12" s="525">
        <f>MATCH(C12,'MD-ratings-final'!I$1:BG$1,0)</f>
        <v>31</v>
      </c>
      <c r="C12" s="307" t="str">
        <f>INDEX('MD-ratings-final'!$I$1:$BG$1,MATCH('MD-ranking'!F12,'MD-ratings-final'!$I$34:$BF$34,0))</f>
        <v>CS Omologarea FITO</v>
      </c>
      <c r="F12" s="523">
        <f>LARGE('MD-ratings-final'!$I$34:$BF$34,'MD-ranking'!A12)</f>
        <v>8.7572010042402866</v>
      </c>
      <c r="H12" s="528">
        <f ca="1">INDEX(OFFSET('MD-ratings-final'!$I$19,'MD-ranking'!H$1-19,0,1,50),1,$B12)</f>
        <v>9.0525857848101499</v>
      </c>
      <c r="I12" s="528">
        <f ca="1">INDEX(OFFSET('MD-ratings-final'!$I$19,'MD-ranking'!I$1-19,0,1,50),1,$B12)</f>
        <v>7.9374746732616659</v>
      </c>
      <c r="J12" s="528">
        <f ca="1">INDEX(OFFSET('MD-ratings-final'!$I$19,'MD-ranking'!J$1-19,0,1,50),1,$B12)</f>
        <v>8.4951538505209374</v>
      </c>
      <c r="K12" s="523">
        <f ca="1">INDEX(OFFSET('MD-ratings-final'!$I$19,'MD-ranking'!K$1-19,0,1,50),1,$B12)</f>
        <v>8.4950714361975841</v>
      </c>
      <c r="M12" s="528">
        <f ca="1">INDEX(OFFSET('MD-ratings-final'!$I$19,'MD-ranking'!M$1-19,0,1,50),1,$B12)</f>
        <v>10</v>
      </c>
      <c r="N12" s="528">
        <f ca="1">INDEX(OFFSET('MD-ratings-final'!$I$19,'MD-ranking'!N$1-19,0,1,50),1,$B12)</f>
        <v>9.213421409660226</v>
      </c>
      <c r="O12" s="528">
        <f ca="1">INDEX(OFFSET('MD-ratings-final'!$I$19,'MD-ranking'!O$1-19,0,1,50),1,$B12)</f>
        <v>8.8518081256478514</v>
      </c>
      <c r="P12" s="523">
        <f ca="1">INDEX(OFFSET('MD-ratings-final'!$I$19,'MD-ranking'!P$1-19,0,1,50),1,$B12)</f>
        <v>9.3834075321911854</v>
      </c>
      <c r="R12" s="528">
        <f ca="1">INDEX(OFFSET('MD-ratings-final'!$I$19,'MD-ranking'!R$1-19,0,1,50),1,$B12)</f>
        <v>8.5675193573959678</v>
      </c>
      <c r="S12" s="528">
        <f ca="1">INDEX(OFFSET('MD-ratings-final'!$I$19,'MD-ranking'!S$1-19,0,1,50),1,$B12)</f>
        <v>9.8465421244389368</v>
      </c>
      <c r="T12" s="523">
        <f ca="1">INDEX(OFFSET('MD-ratings-final'!$I$19,'MD-ranking'!T$1-19,0,1,50),1,$B12)</f>
        <v>9.2070307409174532</v>
      </c>
      <c r="V12" s="528">
        <f ca="1">INDEX(OFFSET('MD-ratings-final'!$I$19,'MD-ranking'!V$1-19,0,1,50),1,$B12)</f>
        <v>5.2547203986785798</v>
      </c>
      <c r="W12" s="528">
        <f ca="1">INDEX(OFFSET('MD-ratings-final'!$I$19,'MD-ranking'!W$1-19,0,1,50),1,$B12)</f>
        <v>10</v>
      </c>
      <c r="X12" s="523">
        <f ca="1">INDEX(OFFSET('MD-ratings-final'!$I$19,'MD-ranking'!X$1-19,0,1,50),1,$B12)</f>
        <v>7.6273601993392903</v>
      </c>
      <c r="Y12" s="512"/>
      <c r="Z12" s="547"/>
      <c r="AA12" s="532">
        <f ca="1">INDEX(OFFSET('MD-ratios'!$AF$23,'MD-ranking'!AA$1-19,0,1,50),1,$B12)</f>
        <v>10.277288497464639</v>
      </c>
      <c r="AB12" s="532">
        <f ca="1">INDEX(OFFSET('MD-ratios'!$AF$23,'MD-ranking'!AB$1-19,0,1,50),1,$B12)</f>
        <v>5.7182931530409515</v>
      </c>
      <c r="AC12" s="532">
        <f ca="1">INDEX(OFFSET('MD-ratios'!$AF$23,'MD-ranking'!AC$1-19,0,1,50),1,$B12)</f>
        <v>5.6482815882335498</v>
      </c>
      <c r="AD12" s="456"/>
      <c r="AE12" s="456">
        <f ca="1">INDEX(OFFSET('MD-ratios'!$AF$23,'MD-ranking'!AE$1-19,0,1,50),1,$B12)</f>
        <v>0.14280952476926823</v>
      </c>
      <c r="AF12" s="456">
        <f ca="1">INDEX(OFFSET('MD-ratios'!$AF$23,'MD-ranking'!AF$1-19,0,1,50),1,$B12)</f>
        <v>0.15099665595698641</v>
      </c>
      <c r="AG12" s="456">
        <f ca="1">INDEX(OFFSET('MD-ratios'!$AF$23,'MD-ranking'!AG$1-19,0,1,50),1,$B12)</f>
        <v>6.271429232809636E-2</v>
      </c>
      <c r="AI12" s="456">
        <f ca="1">INDEX(OFFSET('MD-ratios'!$AF$23,'MD-ranking'!AI$1-19,0,1,50),1,$B12)</f>
        <v>6.8773807659690579E-3</v>
      </c>
      <c r="AJ12" s="456">
        <f ca="1">INDEX(OFFSET('MD-ratios'!$AF$23,'MD-ranking'!AJ$1-19,0,1,50),1,$B12)</f>
        <v>4.1640070589118762E-2</v>
      </c>
      <c r="AL12" s="456">
        <f ca="1">INDEX(OFFSET('MD-ratios'!$AF$23,'MD-ranking'!AL$1-19,0,1,50),1,$B12)</f>
        <v>4.6947433020731451</v>
      </c>
      <c r="AM12" s="456">
        <f ca="1">INDEX(OFFSET('MD-ratios'!$AF$23,'MD-ranking'!AM$1-19,0,1,50),1,$B12)</f>
        <v>622.10419313850059</v>
      </c>
    </row>
    <row r="13" spans="1:39" x14ac:dyDescent="0.25">
      <c r="A13">
        <v>2</v>
      </c>
      <c r="B13" s="525">
        <f>MATCH(C13,'MD-ratings-final'!I$1:BG$1,0)</f>
        <v>22</v>
      </c>
      <c r="C13" s="307" t="str">
        <f>INDEX('MD-ratings-final'!$I$1:$BG$1,MATCH('MD-ranking'!F13,'MD-ratings-final'!$I$34:$BF$34,0))</f>
        <v>S.A Metalferos</v>
      </c>
      <c r="F13" s="523">
        <f>LARGE('MD-ratings-final'!$I$34:$BF$34,'MD-ranking'!A13)</f>
        <v>8.623327696580608</v>
      </c>
      <c r="H13" s="528">
        <f ca="1">INDEX(OFFSET('MD-ratings-final'!$I$19,'MD-ranking'!H$1-19,0,1,50),1,$B13)</f>
        <v>10</v>
      </c>
      <c r="I13" s="528">
        <f ca="1">INDEX(OFFSET('MD-ratings-final'!$I$19,'MD-ranking'!I$1-19,0,1,50),1,$B13)</f>
        <v>10</v>
      </c>
      <c r="J13" s="528">
        <f ca="1">INDEX(OFFSET('MD-ratings-final'!$I$19,'MD-ranking'!J$1-19,0,1,50),1,$B13)</f>
        <v>9.4188891328909854</v>
      </c>
      <c r="K13" s="523">
        <f ca="1">INDEX(OFFSET('MD-ratings-final'!$I$19,'MD-ranking'!K$1-19,0,1,50),1,$B13)</f>
        <v>9.8062963776303285</v>
      </c>
      <c r="M13" s="528">
        <f ca="1">INDEX(OFFSET('MD-ratings-final'!$I$19,'MD-ranking'!M$1-19,0,1,50),1,$B13)</f>
        <v>9.9423026477960565</v>
      </c>
      <c r="N13" s="528">
        <f ca="1">INDEX(OFFSET('MD-ratings-final'!$I$19,'MD-ranking'!N$1-19,0,1,50),1,$B13)</f>
        <v>9.0582931473687331</v>
      </c>
      <c r="O13" s="528">
        <f ca="1">INDEX(OFFSET('MD-ratings-final'!$I$19,'MD-ranking'!O$1-19,0,1,50),1,$B13)</f>
        <v>7.9988006469132342</v>
      </c>
      <c r="P13" s="523">
        <f ca="1">INDEX(OFFSET('MD-ratings-final'!$I$19,'MD-ranking'!P$1-19,0,1,50),1,$B13)</f>
        <v>8.9880999473574636</v>
      </c>
      <c r="R13" s="528">
        <f ca="1">INDEX(OFFSET('MD-ratings-final'!$I$19,'MD-ranking'!R$1-19,0,1,50),1,$B13)</f>
        <v>9.5163896831908659</v>
      </c>
      <c r="S13" s="528">
        <f ca="1">INDEX(OFFSET('MD-ratings-final'!$I$19,'MD-ranking'!S$1-19,0,1,50),1,$B13)</f>
        <v>9.9546343450873476</v>
      </c>
      <c r="T13" s="523">
        <f ca="1">INDEX(OFFSET('MD-ratings-final'!$I$19,'MD-ranking'!T$1-19,0,1,50),1,$B13)</f>
        <v>9.7355120141391076</v>
      </c>
      <c r="V13" s="528">
        <f ca="1">INDEX(OFFSET('MD-ratings-final'!$I$19,'MD-ranking'!V$1-19,0,1,50),1,$B13)</f>
        <v>5.1290365079493592</v>
      </c>
      <c r="W13" s="528">
        <f ca="1">INDEX(OFFSET('MD-ratings-final'!$I$19,'MD-ranking'!W$1-19,0,1,50),1,$B13)</f>
        <v>4.9117136029699209</v>
      </c>
      <c r="X13" s="523">
        <f ca="1">INDEX(OFFSET('MD-ratings-final'!$I$19,'MD-ranking'!X$1-19,0,1,50),1,$B13)</f>
        <v>5.02037505545964</v>
      </c>
      <c r="AA13" s="532">
        <f ca="1">INDEX(OFFSET('MD-ratios'!$AF$23,'MD-ranking'!AA$1-19,0,1,50),1,$B13)</f>
        <v>242.5513009340354</v>
      </c>
      <c r="AB13" s="532">
        <f ca="1">INDEX(OFFSET('MD-ratios'!$AF$23,'MD-ranking'!AB$1-19,0,1,50),1,$B13)</f>
        <v>83.383782115685733</v>
      </c>
      <c r="AC13" s="532">
        <f ca="1">INDEX(OFFSET('MD-ratios'!$AF$23,'MD-ranking'!AC$1-19,0,1,50),1,$B13)</f>
        <v>25.30894443655415</v>
      </c>
      <c r="AD13" s="456"/>
      <c r="AE13" s="456">
        <f ca="1">INDEX(OFFSET('MD-ratios'!$AF$23,'MD-ranking'!AE$1-19,0,1,50),1,$B13)</f>
        <v>0.12452459437891689</v>
      </c>
      <c r="AF13" s="456">
        <f ca="1">INDEX(OFFSET('MD-ratios'!$AF$23,'MD-ranking'!AF$1-19,0,1,50),1,$B13)</f>
        <v>0.12495394414720999</v>
      </c>
      <c r="AG13" s="456">
        <f ca="1">INDEX(OFFSET('MD-ratios'!$AF$23,'MD-ranking'!AG$1-19,0,1,50),1,$B13)</f>
        <v>3.8523396004147274E-2</v>
      </c>
      <c r="AI13" s="456">
        <f ca="1">INDEX(OFFSET('MD-ratios'!$AF$23,'MD-ranking'!AI$1-19,0,1,50),1,$B13)</f>
        <v>1.127819566991849E-3</v>
      </c>
      <c r="AJ13" s="456">
        <f ca="1">INDEX(OFFSET('MD-ratios'!$AF$23,'MD-ranking'!AJ$1-19,0,1,50),1,$B13)</f>
        <v>4.3387559303433767E-3</v>
      </c>
      <c r="AL13" s="456">
        <f ca="1">INDEX(OFFSET('MD-ratios'!$AF$23,'MD-ranking'!AL$1-19,0,1,50),1,$B13)</f>
        <v>3.8943874959164564</v>
      </c>
      <c r="AM13" s="456">
        <f ca="1">INDEX(OFFSET('MD-ratios'!$AF$23,'MD-ranking'!AM$1-19,0,1,50),1,$B13)</f>
        <v>16.1979680628171</v>
      </c>
    </row>
    <row r="14" spans="1:39" x14ac:dyDescent="0.25">
      <c r="A14" s="307">
        <v>3</v>
      </c>
      <c r="B14" s="525">
        <f>MATCH(C14,'MD-ratings-final'!I$1:BG$1,0)</f>
        <v>34</v>
      </c>
      <c r="C14" s="307" t="str">
        <f>INDEX('MD-ratings-final'!$I$1:$BG$1,MATCH('MD-ranking'!F14,'MD-ratings-final'!$I$34:$BF$34,0))</f>
        <v>I.S Fintehinform</v>
      </c>
      <c r="F14" s="523">
        <f>LARGE('MD-ratings-final'!$I$34:$BF$34,'MD-ranking'!A14)</f>
        <v>8.5329401258935249</v>
      </c>
      <c r="H14" s="528">
        <f ca="1">INDEX(OFFSET('MD-ratings-final'!$I$19,'MD-ranking'!H$1-19,0,1,50),1,$B14)</f>
        <v>7.434291482486576</v>
      </c>
      <c r="I14" s="528">
        <f ca="1">INDEX(OFFSET('MD-ratings-final'!$I$19,'MD-ranking'!I$1-19,0,1,50),1,$B14)</f>
        <v>7.5108857163106091</v>
      </c>
      <c r="J14" s="528">
        <f ca="1">INDEX(OFFSET('MD-ratings-final'!$I$19,'MD-ranking'!J$1-19,0,1,50),1,$B14)</f>
        <v>7.9797427148341038</v>
      </c>
      <c r="K14" s="523">
        <f ca="1">INDEX(OFFSET('MD-ratings-final'!$I$19,'MD-ranking'!K$1-19,0,1,50),1,$B14)</f>
        <v>7.641639971210429</v>
      </c>
      <c r="M14" s="528">
        <f ca="1">INDEX(OFFSET('MD-ratings-final'!$I$19,'MD-ranking'!M$1-19,0,1,50),1,$B14)</f>
        <v>9.7246231377802825</v>
      </c>
      <c r="N14" s="528">
        <f ca="1">INDEX(OFFSET('MD-ratings-final'!$I$19,'MD-ranking'!N$1-19,0,1,50),1,$B14)</f>
        <v>8.8434238836137524</v>
      </c>
      <c r="O14" s="528">
        <f ca="1">INDEX(OFFSET('MD-ratings-final'!$I$19,'MD-ranking'!O$1-19,0,1,50),1,$B14)</f>
        <v>7.5080693514868022</v>
      </c>
      <c r="P14" s="523">
        <f ca="1">INDEX(OFFSET('MD-ratings-final'!$I$19,'MD-ranking'!P$1-19,0,1,50),1,$B14)</f>
        <v>8.6617617724295837</v>
      </c>
      <c r="R14" s="528">
        <f ca="1">INDEX(OFFSET('MD-ratings-final'!$I$19,'MD-ranking'!R$1-19,0,1,50),1,$B14)</f>
        <v>9.9926099267543798</v>
      </c>
      <c r="S14" s="528">
        <f ca="1">INDEX(OFFSET('MD-ratings-final'!$I$19,'MD-ranking'!S$1-19,0,1,50),1,$B14)</f>
        <v>9.9993197855950733</v>
      </c>
      <c r="T14" s="523">
        <f ca="1">INDEX(OFFSET('MD-ratings-final'!$I$19,'MD-ranking'!T$1-19,0,1,50),1,$B14)</f>
        <v>9.9959648561747265</v>
      </c>
      <c r="V14" s="528">
        <f ca="1">INDEX(OFFSET('MD-ratings-final'!$I$19,'MD-ranking'!V$1-19,0,1,50),1,$B14)</f>
        <v>5.7316520589751319</v>
      </c>
      <c r="W14" s="528">
        <f ca="1">INDEX(OFFSET('MD-ratings-final'!$I$19,'MD-ranking'!W$1-19,0,1,50),1,$B14)</f>
        <v>8.8513502723358943</v>
      </c>
      <c r="X14" s="523">
        <f ca="1">INDEX(OFFSET('MD-ratings-final'!$I$19,'MD-ranking'!X$1-19,0,1,50),1,$B14)</f>
        <v>7.2915011656555135</v>
      </c>
      <c r="AA14" s="532">
        <f ca="1">INDEX(OFFSET('MD-ratios'!$AF$23,'MD-ranking'!AA$1-19,0,1,50),1,$B14)</f>
        <v>5.8096359202892458</v>
      </c>
      <c r="AB14" s="532">
        <f ca="1">INDEX(OFFSET('MD-ratios'!$AF$23,'MD-ranking'!AB$1-19,0,1,50),1,$B14)</f>
        <v>5.6273017741528628</v>
      </c>
      <c r="AC14" s="532">
        <f ca="1">INDEX(OFFSET('MD-ratios'!$AF$23,'MD-ranking'!AC$1-19,0,1,50),1,$B14)</f>
        <v>5.211531993609686</v>
      </c>
      <c r="AD14" s="456"/>
      <c r="AE14" s="456">
        <f ca="1">INDEX(OFFSET('MD-ratios'!$AF$23,'MD-ranking'!AE$1-19,0,1,50),1,$B14)</f>
        <v>0.13366108371375787</v>
      </c>
      <c r="AF14" s="456">
        <f ca="1">INDEX(OFFSET('MD-ratios'!$AF$23,'MD-ranking'!AF$1-19,0,1,50),1,$B14)</f>
        <v>0.1563771600461572</v>
      </c>
      <c r="AG14" s="456">
        <f ca="1">INDEX(OFFSET('MD-ratios'!$AF$23,'MD-ranking'!AG$1-19,0,1,50),1,$B14)</f>
        <v>3.234081539166285E-2</v>
      </c>
      <c r="AI14" s="456">
        <f ca="1">INDEX(OFFSET('MD-ratios'!$AF$23,'MD-ranking'!AI$1-19,0,1,50),1,$B14)</f>
        <v>9.1607249186985661E-6</v>
      </c>
      <c r="AJ14" s="456">
        <f ca="1">INDEX(OFFSET('MD-ratios'!$AF$23,'MD-ranking'!AJ$1-19,0,1,50),1,$B14)</f>
        <v>4.9672986174352183E-5</v>
      </c>
      <c r="AL14" s="456">
        <f ca="1">INDEX(OFFSET('MD-ratios'!$AF$23,'MD-ranking'!AL$1-19,0,1,50),1,$B14)</f>
        <v>5.9153686124368452</v>
      </c>
      <c r="AM14" s="456">
        <f ca="1">INDEX(OFFSET('MD-ratios'!$AF$23,'MD-ranking'!AM$1-19,0,1,50),1,$B14)</f>
        <v>68.429142019313417</v>
      </c>
    </row>
    <row r="15" spans="1:39" x14ac:dyDescent="0.25">
      <c r="A15" s="307">
        <v>4</v>
      </c>
      <c r="B15" s="525">
        <f>MATCH(C15,'MD-ratings-final'!I$1:BG$1,0)</f>
        <v>37</v>
      </c>
      <c r="C15" s="307" t="str">
        <f>INDEX('MD-ratings-final'!$I$1:$BG$1,MATCH('MD-ranking'!F15,'MD-ratings-final'!$I$34:$BF$34,0))</f>
        <v>I.S. Frencvente Radio</v>
      </c>
      <c r="F15" s="523">
        <f>LARGE('MD-ratings-final'!$I$34:$BF$34,'MD-ranking'!A15)</f>
        <v>8.5028264609655331</v>
      </c>
      <c r="H15" s="528">
        <f ca="1">INDEX(OFFSET('MD-ratings-final'!$I$19,'MD-ranking'!H$1-19,0,1,50),1,$B15)</f>
        <v>10</v>
      </c>
      <c r="I15" s="528">
        <f ca="1">INDEX(OFFSET('MD-ratings-final'!$I$19,'MD-ranking'!I$1-19,0,1,50),1,$B15)</f>
        <v>8.1440161105978621</v>
      </c>
      <c r="J15" s="528">
        <f ca="1">INDEX(OFFSET('MD-ratings-final'!$I$19,'MD-ranking'!J$1-19,0,1,50),1,$B15)</f>
        <v>8.1456330057777624</v>
      </c>
      <c r="K15" s="523">
        <f ca="1">INDEX(OFFSET('MD-ratings-final'!$I$19,'MD-ranking'!K$1-19,0,1,50),1,$B15)</f>
        <v>8.763216372125207</v>
      </c>
      <c r="M15" s="528">
        <f ca="1">INDEX(OFFSET('MD-ratings-final'!$I$19,'MD-ranking'!M$1-19,0,1,50),1,$B15)</f>
        <v>10</v>
      </c>
      <c r="N15" s="528">
        <f ca="1">INDEX(OFFSET('MD-ratings-final'!$I$19,'MD-ranking'!N$1-19,0,1,50),1,$B15)</f>
        <v>9.5714285654575111</v>
      </c>
      <c r="O15" s="528">
        <f ca="1">INDEX(OFFSET('MD-ratings-final'!$I$19,'MD-ranking'!O$1-19,0,1,50),1,$B15)</f>
        <v>10</v>
      </c>
      <c r="P15" s="523">
        <f ca="1">INDEX(OFFSET('MD-ratings-final'!$I$19,'MD-ranking'!P$1-19,0,1,50),1,$B15)</f>
        <v>9.9142857130915019</v>
      </c>
      <c r="R15" s="528">
        <f ca="1">INDEX(OFFSET('MD-ratings-final'!$I$19,'MD-ranking'!R$1-19,0,1,50),1,$B15)</f>
        <v>9.9879243156323998</v>
      </c>
      <c r="S15" s="528">
        <f ca="1">INDEX(OFFSET('MD-ratings-final'!$I$19,'MD-ranking'!S$1-19,0,1,50),1,$B15)</f>
        <v>9.9993769660834371</v>
      </c>
      <c r="T15" s="523">
        <f ca="1">INDEX(OFFSET('MD-ratings-final'!$I$19,'MD-ranking'!T$1-19,0,1,50),1,$B15)</f>
        <v>9.9936506408579184</v>
      </c>
      <c r="V15" s="528">
        <f ca="1">INDEX(OFFSET('MD-ratings-final'!$I$19,'MD-ranking'!V$1-19,0,1,50),1,$B15)</f>
        <v>1.6633021938357173</v>
      </c>
      <c r="W15" s="528">
        <f ca="1">INDEX(OFFSET('MD-ratings-final'!$I$19,'MD-ranking'!W$1-19,0,1,50),1,$B15)</f>
        <v>6.6902552802040791</v>
      </c>
      <c r="X15" s="523">
        <f ca="1">INDEX(OFFSET('MD-ratings-final'!$I$19,'MD-ranking'!X$1-19,0,1,50),1,$B15)</f>
        <v>4.1767787370198981</v>
      </c>
      <c r="AA15" s="532">
        <f ca="1">INDEX(OFFSET('MD-ratios'!$AF$23,'MD-ranking'!AA$1-19,0,1,50),1,$B15)</f>
        <v>38.075620662918226</v>
      </c>
      <c r="AB15" s="532">
        <f ca="1">INDEX(OFFSET('MD-ratios'!$AF$23,'MD-ranking'!AB$1-19,0,1,50),1,$B15)</f>
        <v>15.01046507658622</v>
      </c>
      <c r="AC15" s="532">
        <f ca="1">INDEX(OFFSET('MD-ratios'!$AF$23,'MD-ranking'!AC$1-19,0,1,50),1,$B15)</f>
        <v>14.315956559691411</v>
      </c>
      <c r="AD15" s="456"/>
      <c r="AE15" s="456">
        <f ca="1">INDEX(OFFSET('MD-ratios'!$AF$23,'MD-ranking'!AE$1-19,0,1,50),1,$B15)</f>
        <v>0.24868462829932142</v>
      </c>
      <c r="AF15" s="456">
        <f ca="1">INDEX(OFFSET('MD-ratios'!$AF$23,'MD-ranking'!AF$1-19,0,1,50),1,$B15)</f>
        <v>0.25347236891691155</v>
      </c>
      <c r="AG15" s="456">
        <f ca="1">INDEX(OFFSET('MD-ratios'!$AF$23,'MD-ranking'!AG$1-19,0,1,50),1,$B15)</f>
        <v>0.5306586834821434</v>
      </c>
      <c r="AI15" s="456">
        <f ca="1">INDEX(OFFSET('MD-ratios'!$AF$23,'MD-ranking'!AI$1-19,0,1,50),1,$B15)</f>
        <v>1.3540353985382128E-5</v>
      </c>
      <c r="AJ15" s="456">
        <f ca="1">INDEX(OFFSET('MD-ratios'!$AF$23,'MD-ranking'!AJ$1-19,0,1,50),1,$B15)</f>
        <v>4.7716102821384994E-5</v>
      </c>
      <c r="AL15" s="456">
        <f ca="1">INDEX(OFFSET('MD-ratios'!$AF$23,'MD-ranking'!AL$1-19,0,1,50),1,$B15)</f>
        <v>0.66905858049323164</v>
      </c>
      <c r="AM15" s="456">
        <f ca="1">INDEX(OFFSET('MD-ratios'!$AF$23,'MD-ranking'!AM$1-19,0,1,50),1,$B15)</f>
        <v>35.717002064345799</v>
      </c>
    </row>
    <row r="16" spans="1:39" x14ac:dyDescent="0.25">
      <c r="A16" s="307">
        <v>5</v>
      </c>
      <c r="B16" s="525">
        <f>MATCH(C16,'MD-ratings-final'!I$1:BG$1,0)</f>
        <v>41</v>
      </c>
      <c r="C16" s="307" t="str">
        <f>INDEX('MD-ratings-final'!$I$1:$BG$1,MATCH('MD-ranking'!F16,'MD-ratings-final'!$I$34:$BF$34,0))</f>
        <v>I.S. CSECPC</v>
      </c>
      <c r="F16" s="523">
        <f>LARGE('MD-ratings-final'!$I$34:$BF$34,'MD-ranking'!A16)</f>
        <v>7.922403654008173</v>
      </c>
      <c r="H16" s="528">
        <f ca="1">INDEX(OFFSET('MD-ratings-final'!$I$19,'MD-ranking'!H$1-19,0,1,50),1,$B16)</f>
        <v>10</v>
      </c>
      <c r="I16" s="528">
        <f ca="1">INDEX(OFFSET('MD-ratings-final'!$I$19,'MD-ranking'!I$1-19,0,1,50),1,$B16)</f>
        <v>10</v>
      </c>
      <c r="J16" s="528">
        <f ca="1">INDEX(OFFSET('MD-ratings-final'!$I$19,'MD-ranking'!J$1-19,0,1,50),1,$B16)</f>
        <v>10</v>
      </c>
      <c r="K16" s="523">
        <f ca="1">INDEX(OFFSET('MD-ratings-final'!$I$19,'MD-ranking'!K$1-19,0,1,50),1,$B16)</f>
        <v>10</v>
      </c>
      <c r="M16" s="528">
        <f ca="1">INDEX(OFFSET('MD-ratings-final'!$I$19,'MD-ranking'!M$1-19,0,1,50),1,$B16)</f>
        <v>5.0755170293468881</v>
      </c>
      <c r="N16" s="528">
        <f ca="1">INDEX(OFFSET('MD-ratings-final'!$I$19,'MD-ranking'!N$1-19,0,1,50),1,$B16)</f>
        <v>5.0786728884871382</v>
      </c>
      <c r="O16" s="528">
        <f ca="1">INDEX(OFFSET('MD-ratings-final'!$I$19,'MD-ranking'!O$1-19,0,1,50),1,$B16)</f>
        <v>5.1670633744184915</v>
      </c>
      <c r="P16" s="523">
        <f ca="1">INDEX(OFFSET('MD-ratings-final'!$I$19,'MD-ranking'!P$1-19,0,1,50),1,$B16)</f>
        <v>5.1127667392035789</v>
      </c>
      <c r="R16" s="528">
        <f ca="1">INDEX(OFFSET('MD-ratings-final'!$I$19,'MD-ranking'!R$1-19,0,1,50),1,$B16)</f>
        <v>10</v>
      </c>
      <c r="S16" s="528">
        <f ca="1">INDEX(OFFSET('MD-ratings-final'!$I$19,'MD-ranking'!S$1-19,0,1,50),1,$B16)</f>
        <v>10</v>
      </c>
      <c r="T16" s="523">
        <f ca="1">INDEX(OFFSET('MD-ratings-final'!$I$19,'MD-ranking'!T$1-19,0,1,50),1,$B16)</f>
        <v>10</v>
      </c>
      <c r="V16" s="528">
        <f ca="1">INDEX(OFFSET('MD-ratings-final'!$I$19,'MD-ranking'!V$1-19,0,1,50),1,$B16)</f>
        <v>2.8167053681110681</v>
      </c>
      <c r="W16" s="528">
        <f ca="1">INDEX(OFFSET('MD-ratings-final'!$I$19,'MD-ranking'!W$1-19,0,1,50),1,$B16)</f>
        <v>8.6254143239617136</v>
      </c>
      <c r="X16" s="523">
        <f ca="1">INDEX(OFFSET('MD-ratings-final'!$I$19,'MD-ranking'!X$1-19,0,1,50),1,$B16)</f>
        <v>5.7210598460363915</v>
      </c>
      <c r="AA16" s="532">
        <f ca="1">INDEX(OFFSET('MD-ratios'!$AF$23,'MD-ranking'!AA$1-19,0,1,50),1,$B16)</f>
        <v>26.458668499722116</v>
      </c>
      <c r="AB16" s="532">
        <f ca="1">INDEX(OFFSET('MD-ratios'!$AF$23,'MD-ranking'!AB$1-19,0,1,50),1,$B16)</f>
        <v>11.334864129639922</v>
      </c>
      <c r="AC16" s="532">
        <f ca="1">INDEX(OFFSET('MD-ratios'!$AF$23,'MD-ranking'!AC$1-19,0,1,50),1,$B16)</f>
        <v>11.099101997835435</v>
      </c>
      <c r="AD16" s="456"/>
      <c r="AE16" s="456">
        <f ca="1">INDEX(OFFSET('MD-ratios'!$AF$23,'MD-ranking'!AE$1-19,0,1,50),1,$B16)</f>
        <v>-5.2655757825813353E-2</v>
      </c>
      <c r="AF16" s="456">
        <f ca="1">INDEX(OFFSET('MD-ratios'!$AF$23,'MD-ranking'!AF$1-19,0,1,50),1,$B16)</f>
        <v>-5.4263752852848832E-2</v>
      </c>
      <c r="AG16" s="456">
        <f ca="1">INDEX(OFFSET('MD-ratios'!$AF$23,'MD-ranking'!AG$1-19,0,1,50),1,$B16)</f>
        <v>-5.0931532771013935E-2</v>
      </c>
      <c r="AI16" s="456">
        <f ca="1">INDEX(OFFSET('MD-ratios'!$AF$23,'MD-ranking'!AI$1-19,0,1,50),1,$B16)</f>
        <v>0</v>
      </c>
      <c r="AJ16" s="456">
        <f ca="1">INDEX(OFFSET('MD-ratios'!$AF$23,'MD-ranking'!AJ$1-19,0,1,50),1,$B16)</f>
        <v>0</v>
      </c>
      <c r="AL16" s="456">
        <f ca="1">INDEX(OFFSET('MD-ratios'!$AF$23,'MD-ranking'!AL$1-19,0,1,50),1,$B16)</f>
        <v>1.3704032432724329</v>
      </c>
      <c r="AM16" s="456">
        <f ca="1">INDEX(OFFSET('MD-ratios'!$AF$23,'MD-ranking'!AM$1-19,0,1,50),1,$B16)</f>
        <v>147.98238213399503</v>
      </c>
    </row>
    <row r="17" spans="1:39" x14ac:dyDescent="0.25">
      <c r="A17" s="307">
        <v>6</v>
      </c>
      <c r="B17" s="525">
        <f>MATCH(C17,'MD-ratings-final'!I$1:BG$1,0)</f>
        <v>13</v>
      </c>
      <c r="C17" s="307" t="str">
        <f>INDEX('MD-ratings-final'!$I$1:$BG$1,MATCH('MD-ranking'!F17,'MD-ratings-final'!$I$34:$BF$34,0))</f>
        <v>I.S. CTSIC</v>
      </c>
      <c r="F17" s="523">
        <f>LARGE('MD-ratings-final'!$I$34:$BF$34,'MD-ranking'!A17)</f>
        <v>7.8654112409999701</v>
      </c>
      <c r="H17" s="528">
        <f ca="1">INDEX(OFFSET('MD-ratings-final'!$I$19,'MD-ranking'!H$1-19,0,1,50),1,$B17)</f>
        <v>7.0237507191597279</v>
      </c>
      <c r="I17" s="528">
        <f ca="1">INDEX(OFFSET('MD-ratings-final'!$I$19,'MD-ranking'!I$1-19,0,1,50),1,$B17)</f>
        <v>6.6413825632034547</v>
      </c>
      <c r="J17" s="528">
        <f ca="1">INDEX(OFFSET('MD-ratings-final'!$I$19,'MD-ranking'!J$1-19,0,1,50),1,$B17)</f>
        <v>6.9672327333251713</v>
      </c>
      <c r="K17" s="523">
        <f ca="1">INDEX(OFFSET('MD-ratings-final'!$I$19,'MD-ranking'!K$1-19,0,1,50),1,$B17)</f>
        <v>6.8774553385627843</v>
      </c>
      <c r="M17" s="528">
        <f ca="1">INDEX(OFFSET('MD-ratings-final'!$I$19,'MD-ranking'!M$1-19,0,1,50),1,$B17)</f>
        <v>9.732609407326029</v>
      </c>
      <c r="N17" s="528">
        <f ca="1">INDEX(OFFSET('MD-ratings-final'!$I$19,'MD-ranking'!N$1-19,0,1,50),1,$B17)</f>
        <v>8.711723614634673</v>
      </c>
      <c r="O17" s="528">
        <f ca="1">INDEX(OFFSET('MD-ratings-final'!$I$19,'MD-ranking'!O$1-19,0,1,50),1,$B17)</f>
        <v>9.9803211777699801</v>
      </c>
      <c r="P17" s="523">
        <f ca="1">INDEX(OFFSET('MD-ratings-final'!$I$19,'MD-ranking'!P$1-19,0,1,50),1,$B17)</f>
        <v>9.6275169569653389</v>
      </c>
      <c r="R17" s="528">
        <f ca="1">INDEX(OFFSET('MD-ratings-final'!$I$19,'MD-ranking'!R$1-19,0,1,50),1,$B17)</f>
        <v>9.1136267538319213</v>
      </c>
      <c r="S17" s="528">
        <f ca="1">INDEX(OFFSET('MD-ratings-final'!$I$19,'MD-ranking'!S$1-19,0,1,50),1,$B17)</f>
        <v>9.8956698745099896</v>
      </c>
      <c r="T17" s="523">
        <f ca="1">INDEX(OFFSET('MD-ratings-final'!$I$19,'MD-ranking'!T$1-19,0,1,50),1,$B17)</f>
        <v>9.5046483141709555</v>
      </c>
      <c r="V17" s="528">
        <f ca="1">INDEX(OFFSET('MD-ratings-final'!$I$19,'MD-ranking'!V$1-19,0,1,50),1,$B17)</f>
        <v>4.0491948390473409</v>
      </c>
      <c r="W17" s="528">
        <f ca="1">INDEX(OFFSET('MD-ratings-final'!$I$19,'MD-ranking'!W$1-19,0,1,50),1,$B17)</f>
        <v>4.8285418896191841</v>
      </c>
      <c r="X17" s="523">
        <f ca="1">INDEX(OFFSET('MD-ratings-final'!$I$19,'MD-ranking'!X$1-19,0,1,50),1,$B17)</f>
        <v>4.4388683643332625</v>
      </c>
      <c r="AA17" s="532">
        <f ca="1">INDEX(OFFSET('MD-ratios'!$AF$23,'MD-ranking'!AA$1-19,0,1,50),1,$B17)</f>
        <v>3.8604624595568917</v>
      </c>
      <c r="AB17" s="532">
        <f ca="1">INDEX(OFFSET('MD-ratios'!$AF$23,'MD-ranking'!AB$1-19,0,1,50),1,$B17)</f>
        <v>2.7941804639297638</v>
      </c>
      <c r="AC17" s="532">
        <f ca="1">INDEX(OFFSET('MD-ratios'!$AF$23,'MD-ranking'!AC$1-19,0,1,50),1,$B17)</f>
        <v>2.224756397635351</v>
      </c>
      <c r="AD17" s="456"/>
      <c r="AE17" s="456">
        <f ca="1">INDEX(OFFSET('MD-ratios'!$AF$23,'MD-ranking'!AE$1-19,0,1,50),1,$B17)</f>
        <v>9.7812120805033834E-2</v>
      </c>
      <c r="AF17" s="456">
        <f ca="1">INDEX(OFFSET('MD-ratios'!$AF$23,'MD-ranking'!AF$1-19,0,1,50),1,$B17)</f>
        <v>0.10658502624935877</v>
      </c>
      <c r="AG17" s="456">
        <f ca="1">INDEX(OFFSET('MD-ratios'!$AF$23,'MD-ranking'!AG$1-19,0,1,50),1,$B17)</f>
        <v>0.16000919445093351</v>
      </c>
      <c r="AI17" s="456">
        <f ca="1">INDEX(OFFSET('MD-ratios'!$AF$23,'MD-ranking'!AI$1-19,0,1,50),1,$B17)</f>
        <v>2.7922526803070597E-3</v>
      </c>
      <c r="AJ17" s="456">
        <f ca="1">INDEX(OFFSET('MD-ratios'!$AF$23,'MD-ranking'!AJ$1-19,0,1,50),1,$B17)</f>
        <v>2.3368714867805951E-2</v>
      </c>
      <c r="AL17" s="456">
        <f ca="1">INDEX(OFFSET('MD-ratios'!$AF$23,'MD-ranking'!AL$1-19,0,1,50),1,$B17)</f>
        <v>2.581399269877299</v>
      </c>
      <c r="AM17" s="456">
        <f ca="1">INDEX(OFFSET('MD-ratios'!$AF$23,'MD-ranking'!AM$1-19,0,1,50),1,$B17)</f>
        <v>12.967480901648067</v>
      </c>
    </row>
    <row r="18" spans="1:39" x14ac:dyDescent="0.25">
      <c r="A18" s="307">
        <v>7</v>
      </c>
      <c r="B18" s="525">
        <f>MATCH(C18,'MD-ratings-final'!I$1:BG$1,0)</f>
        <v>8</v>
      </c>
      <c r="C18" s="307" t="str">
        <f>INDEX('MD-ratings-final'!$I$1:$BG$1,MATCH('MD-ranking'!F18,'MD-ratings-final'!$I$34:$BF$34,0))</f>
        <v>I.S. CNVCPA</v>
      </c>
      <c r="F18" s="523">
        <f>LARGE('MD-ratings-final'!$I$34:$BF$34,'MD-ranking'!A18)</f>
        <v>7.5798124752628642</v>
      </c>
      <c r="H18" s="528">
        <f ca="1">INDEX(OFFSET('MD-ratings-final'!$I$19,'MD-ranking'!H$1-19,0,1,50),1,$B18)</f>
        <v>10</v>
      </c>
      <c r="I18" s="528">
        <f ca="1">INDEX(OFFSET('MD-ratings-final'!$I$19,'MD-ranking'!I$1-19,0,1,50),1,$B18)</f>
        <v>7.3821165124845152</v>
      </c>
      <c r="J18" s="528">
        <f ca="1">INDEX(OFFSET('MD-ratings-final'!$I$19,'MD-ranking'!J$1-19,0,1,50),1,$B18)</f>
        <v>5.3388570549729106</v>
      </c>
      <c r="K18" s="523">
        <f ca="1">INDEX(OFFSET('MD-ratings-final'!$I$19,'MD-ranking'!K$1-19,0,1,50),1,$B18)</f>
        <v>7.5736578558191416</v>
      </c>
      <c r="M18" s="528">
        <f ca="1">INDEX(OFFSET('MD-ratings-final'!$I$19,'MD-ranking'!M$1-19,0,1,50),1,$B18)</f>
        <v>8.2449890249087296</v>
      </c>
      <c r="N18" s="528">
        <f ca="1">INDEX(OFFSET('MD-ratings-final'!$I$19,'MD-ranking'!N$1-19,0,1,50),1,$B18)</f>
        <v>7.2249698985734074</v>
      </c>
      <c r="O18" s="528">
        <f ca="1">INDEX(OFFSET('MD-ratings-final'!$I$19,'MD-ranking'!O$1-19,0,1,50),1,$B18)</f>
        <v>9.3069915637534191</v>
      </c>
      <c r="P18" s="523">
        <f ca="1">INDEX(OFFSET('MD-ratings-final'!$I$19,'MD-ranking'!P$1-19,0,1,50),1,$B18)</f>
        <v>8.4657862151795413</v>
      </c>
      <c r="R18" s="528">
        <f ca="1">INDEX(OFFSET('MD-ratings-final'!$I$19,'MD-ranking'!R$1-19,0,1,50),1,$B18)</f>
        <v>9.5674636008261675</v>
      </c>
      <c r="S18" s="528">
        <f ca="1">INDEX(OFFSET('MD-ratings-final'!$I$19,'MD-ranking'!S$1-19,0,1,50),1,$B18)</f>
        <v>9.8553003364809566</v>
      </c>
      <c r="T18" s="523">
        <f ca="1">INDEX(OFFSET('MD-ratings-final'!$I$19,'MD-ranking'!T$1-19,0,1,50),1,$B18)</f>
        <v>9.7113819686535621</v>
      </c>
      <c r="V18" s="528">
        <f ca="1">INDEX(OFFSET('MD-ratings-final'!$I$19,'MD-ranking'!V$1-19,0,1,50),1,$B18)</f>
        <v>1.9926168877700685</v>
      </c>
      <c r="W18" s="528">
        <f ca="1">INDEX(OFFSET('MD-ratings-final'!$I$19,'MD-ranking'!W$1-19,0,1,50),1,$B18)</f>
        <v>4.5727517814011742</v>
      </c>
      <c r="X18" s="523">
        <f ca="1">INDEX(OFFSET('MD-ratings-final'!$I$19,'MD-ranking'!X$1-19,0,1,50),1,$B18)</f>
        <v>3.2826843345856216</v>
      </c>
      <c r="AA18" s="532">
        <f ca="1">INDEX(OFFSET('MD-ratios'!$AF$23,'MD-ranking'!AA$1-19,0,1,50),1,$B18)</f>
        <v>30.559707875974439</v>
      </c>
      <c r="AB18" s="532">
        <f ca="1">INDEX(OFFSET('MD-ratios'!$AF$23,'MD-ranking'!AB$1-19,0,1,50),1,$B18)</f>
        <v>3.6056071352610992</v>
      </c>
      <c r="AC18" s="532">
        <f ca="1">INDEX(OFFSET('MD-ratios'!$AF$23,'MD-ranking'!AC$1-19,0,1,50),1,$B18)</f>
        <v>2.0192645576526509</v>
      </c>
      <c r="AD18" s="456"/>
      <c r="AE18" s="456">
        <f ca="1">INDEX(OFFSET('MD-ratios'!$AF$23,'MD-ranking'!AE$1-19,0,1,50),1,$B18)</f>
        <v>4.866322859646724E-2</v>
      </c>
      <c r="AF18" s="456">
        <f ca="1">INDEX(OFFSET('MD-ratios'!$AF$23,'MD-ranking'!AF$1-19,0,1,50),1,$B18)</f>
        <v>4.9286182451301994E-2</v>
      </c>
      <c r="AG18" s="456">
        <f ca="1">INDEX(OFFSET('MD-ratios'!$AF$23,'MD-ranking'!AG$1-19,0,1,50),1,$B18)</f>
        <v>0.15402843470395314</v>
      </c>
      <c r="AI18" s="456">
        <f ca="1">INDEX(OFFSET('MD-ratios'!$AF$23,'MD-ranking'!AI$1-19,0,1,50),1,$B18)</f>
        <v>0</v>
      </c>
      <c r="AJ18" s="456">
        <f ca="1">INDEX(OFFSET('MD-ratios'!$AF$23,'MD-ranking'!AJ$1-19,0,1,50),1,$B18)</f>
        <v>0</v>
      </c>
      <c r="AL18" s="456">
        <f ca="1">INDEX(OFFSET('MD-ratios'!$AF$23,'MD-ranking'!AL$1-19,0,1,50),1,$B18)</f>
        <v>0.77383542872570166</v>
      </c>
      <c r="AM18" s="456">
        <f ca="1">INDEX(OFFSET('MD-ratios'!$AF$23,'MD-ranking'!AM$1-19,0,1,50),1,$B18)</f>
        <v>14.419551955603616</v>
      </c>
    </row>
    <row r="19" spans="1:39" x14ac:dyDescent="0.25">
      <c r="A19" s="307">
        <v>8</v>
      </c>
      <c r="B19" s="525">
        <f>MATCH(C19,'MD-ratings-final'!I$1:BG$1,0)</f>
        <v>20</v>
      </c>
      <c r="C19" s="307" t="str">
        <f>INDEX('MD-ratings-final'!$I$1:$BG$1,MATCH('MD-ranking'!F19,'MD-ratings-final'!$I$34:$BF$34,0))</f>
        <v>I.S CIS</v>
      </c>
      <c r="F19" s="523">
        <f>LARGE('MD-ratings-final'!$I$34:$BF$34,'MD-ranking'!A19)</f>
        <v>7.5657581302879038</v>
      </c>
      <c r="H19" s="528">
        <f ca="1">INDEX(OFFSET('MD-ratings-final'!$I$19,'MD-ranking'!H$1-19,0,1,50),1,$B19)</f>
        <v>4.9115927095772705</v>
      </c>
      <c r="I19" s="528">
        <f ca="1">INDEX(OFFSET('MD-ratings-final'!$I$19,'MD-ranking'!I$1-19,0,1,50),1,$B19)</f>
        <v>4.1249816249138211</v>
      </c>
      <c r="J19" s="528">
        <f ca="1">INDEX(OFFSET('MD-ratings-final'!$I$19,'MD-ranking'!J$1-19,0,1,50),1,$B19)</f>
        <v>5.11479571865158</v>
      </c>
      <c r="K19" s="523">
        <f ca="1">INDEX(OFFSET('MD-ratings-final'!$I$19,'MD-ranking'!K$1-19,0,1,50),1,$B19)</f>
        <v>4.7171233510475572</v>
      </c>
      <c r="M19" s="528">
        <f ca="1">INDEX(OFFSET('MD-ratings-final'!$I$19,'MD-ranking'!M$1-19,0,1,50),1,$B19)</f>
        <v>7.7854554138620546</v>
      </c>
      <c r="N19" s="528">
        <f ca="1">INDEX(OFFSET('MD-ratings-final'!$I$19,'MD-ranking'!N$1-19,0,1,50),1,$B19)</f>
        <v>7.3070241323112928</v>
      </c>
      <c r="O19" s="528">
        <f ca="1">INDEX(OFFSET('MD-ratings-final'!$I$19,'MD-ranking'!O$1-19,0,1,50),1,$B19)</f>
        <v>6.8957687068792053</v>
      </c>
      <c r="P19" s="523">
        <f ca="1">INDEX(OFFSET('MD-ratings-final'!$I$19,'MD-ranking'!P$1-19,0,1,50),1,$B19)</f>
        <v>7.3338944747587629</v>
      </c>
      <c r="R19" s="528">
        <f ca="1">INDEX(OFFSET('MD-ratings-final'!$I$19,'MD-ranking'!R$1-19,0,1,50),1,$B19)</f>
        <v>9.0310823430373919</v>
      </c>
      <c r="S19" s="528">
        <f ca="1">INDEX(OFFSET('MD-ratings-final'!$I$19,'MD-ranking'!S$1-19,0,1,50),1,$B19)</f>
        <v>9.6760751405360619</v>
      </c>
      <c r="T19" s="523">
        <f ca="1">INDEX(OFFSET('MD-ratings-final'!$I$19,'MD-ranking'!T$1-19,0,1,50),1,$B19)</f>
        <v>9.3535787417867269</v>
      </c>
      <c r="V19" s="528">
        <f ca="1">INDEX(OFFSET('MD-ratings-final'!$I$19,'MD-ranking'!V$1-19,0,1,50),1,$B19)</f>
        <v>7.469300513003061</v>
      </c>
      <c r="W19" s="528">
        <f ca="1">INDEX(OFFSET('MD-ratings-final'!$I$19,'MD-ranking'!W$1-19,0,1,50),1,$B19)</f>
        <v>10</v>
      </c>
      <c r="X19" s="523">
        <f ca="1">INDEX(OFFSET('MD-ratings-final'!$I$19,'MD-ranking'!X$1-19,0,1,50),1,$B19)</f>
        <v>8.7346502565015296</v>
      </c>
      <c r="AA19" s="532">
        <f ca="1">INDEX(OFFSET('MD-ratios'!$AF$23,'MD-ranking'!AA$1-19,0,1,50),1,$B19)</f>
        <v>1.5696425661729037</v>
      </c>
      <c r="AB19" s="532">
        <f ca="1">INDEX(OFFSET('MD-ratios'!$AF$23,'MD-ranking'!AB$1-19,0,1,50),1,$B19)</f>
        <v>1.3492255063494145</v>
      </c>
      <c r="AC19" s="532">
        <f ca="1">INDEX(OFFSET('MD-ratios'!$AF$23,'MD-ranking'!AC$1-19,0,1,50),1,$B19)</f>
        <v>1.3419593613187846</v>
      </c>
      <c r="AD19" s="456"/>
      <c r="AE19" s="456">
        <f ca="1">INDEX(OFFSET('MD-ratios'!$AF$23,'MD-ranking'!AE$1-19,0,1,50),1,$B19)</f>
        <v>8.8016573823722383E-2</v>
      </c>
      <c r="AF19" s="456">
        <f ca="1">INDEX(OFFSET('MD-ratios'!$AF$23,'MD-ranking'!AF$1-19,0,1,50),1,$B19)</f>
        <v>0.12219616446303842</v>
      </c>
      <c r="AG19" s="456">
        <f ca="1">INDEX(OFFSET('MD-ratios'!$AF$23,'MD-ranking'!AG$1-19,0,1,50),1,$B19)</f>
        <v>4.6495760836053904E-2</v>
      </c>
      <c r="AI19" s="456">
        <f ca="1">INDEX(OFFSET('MD-ratios'!$AF$23,'MD-ranking'!AI$1-19,0,1,50),1,$B19)</f>
        <v>1.9332340477991416E-3</v>
      </c>
      <c r="AJ19" s="456">
        <f ca="1">INDEX(OFFSET('MD-ratios'!$AF$23,'MD-ranking'!AJ$1-19,0,1,50),1,$B19)</f>
        <v>1.7144246888273155E-2</v>
      </c>
      <c r="AL19" s="456">
        <f ca="1">INDEX(OFFSET('MD-ratios'!$AF$23,'MD-ranking'!AL$1-19,0,1,50),1,$B19)</f>
        <v>11.741902950562233</v>
      </c>
      <c r="AM19" s="456">
        <f ca="1">INDEX(OFFSET('MD-ratios'!$AF$23,'MD-ranking'!AM$1-19,0,1,50),1,$B19)</f>
        <v>920.52769388935292</v>
      </c>
    </row>
    <row r="20" spans="1:39" x14ac:dyDescent="0.25">
      <c r="A20" s="307">
        <v>9</v>
      </c>
      <c r="B20" s="525">
        <f>MATCH(C20,'MD-ratings-final'!I$1:BG$1,0)</f>
        <v>9</v>
      </c>
      <c r="C20" s="307" t="str">
        <f>INDEX('MD-ratings-final'!$I$1:$BG$1,MATCH('MD-ranking'!F20,'MD-ratings-final'!$I$34:$BF$34,0))</f>
        <v>I.S.Centrul Informational Agricol</v>
      </c>
      <c r="F20" s="523">
        <f>LARGE('MD-ratings-final'!$I$34:$BF$34,'MD-ranking'!A20)</f>
        <v>7.5643070098734961</v>
      </c>
      <c r="H20" s="528">
        <f ca="1">INDEX(OFFSET('MD-ratings-final'!$I$19,'MD-ranking'!H$1-19,0,1,50),1,$B20)</f>
        <v>10</v>
      </c>
      <c r="I20" s="528">
        <f ca="1">INDEX(OFFSET('MD-ratings-final'!$I$19,'MD-ranking'!I$1-19,0,1,50),1,$B20)</f>
        <v>9.145334440443099</v>
      </c>
      <c r="J20" s="528">
        <f ca="1">INDEX(OFFSET('MD-ratings-final'!$I$19,'MD-ranking'!J$1-19,0,1,50),1,$B20)</f>
        <v>9.5046559909146744</v>
      </c>
      <c r="K20" s="523">
        <f ca="1">INDEX(OFFSET('MD-ratings-final'!$I$19,'MD-ranking'!K$1-19,0,1,50),1,$B20)</f>
        <v>9.5499968104525905</v>
      </c>
      <c r="M20" s="528">
        <f ca="1">INDEX(OFFSET('MD-ratings-final'!$I$19,'MD-ranking'!M$1-19,0,1,50),1,$B20)</f>
        <v>7.1524271002402022</v>
      </c>
      <c r="N20" s="528">
        <f ca="1">INDEX(OFFSET('MD-ratings-final'!$I$19,'MD-ranking'!N$1-19,0,1,50),1,$B20)</f>
        <v>6.3397121072166902</v>
      </c>
      <c r="O20" s="528">
        <f ca="1">INDEX(OFFSET('MD-ratings-final'!$I$19,'MD-ranking'!O$1-19,0,1,50),1,$B20)</f>
        <v>6.3790011352125529</v>
      </c>
      <c r="P20" s="523">
        <f ca="1">INDEX(OFFSET('MD-ratings-final'!$I$19,'MD-ranking'!P$1-19,0,1,50),1,$B20)</f>
        <v>6.680513715624441</v>
      </c>
      <c r="R20" s="528">
        <f ca="1">INDEX(OFFSET('MD-ratings-final'!$I$19,'MD-ranking'!R$1-19,0,1,50),1,$B20)</f>
        <v>8.8215130873813585</v>
      </c>
      <c r="S20" s="528">
        <f ca="1">INDEX(OFFSET('MD-ratings-final'!$I$19,'MD-ranking'!S$1-19,0,1,50),1,$B20)</f>
        <v>9.1643486130344787</v>
      </c>
      <c r="T20" s="523">
        <f ca="1">INDEX(OFFSET('MD-ratings-final'!$I$19,'MD-ranking'!T$1-19,0,1,50),1,$B20)</f>
        <v>8.9929308502079195</v>
      </c>
      <c r="V20" s="528">
        <f ca="1">INDEX(OFFSET('MD-ratings-final'!$I$19,'MD-ranking'!V$1-19,0,1,50),1,$B20)</f>
        <v>0.74975650231794255</v>
      </c>
      <c r="W20" s="528">
        <f ca="1">INDEX(OFFSET('MD-ratings-final'!$I$19,'MD-ranking'!W$1-19,0,1,50),1,$B20)</f>
        <v>7.3382447306006853</v>
      </c>
      <c r="X20" s="523">
        <f ca="1">INDEX(OFFSET('MD-ratings-final'!$I$19,'MD-ranking'!X$1-19,0,1,50),1,$B20)</f>
        <v>4.0440006164593143</v>
      </c>
      <c r="AA20" s="532">
        <f ca="1">INDEX(OFFSET('MD-ratios'!$AF$23,'MD-ranking'!AA$1-19,0,1,50),1,$B20)</f>
        <v>23.419394956547517</v>
      </c>
      <c r="AB20" s="532">
        <f ca="1">INDEX(OFFSET('MD-ratios'!$AF$23,'MD-ranking'!AB$1-19,0,1,50),1,$B20)</f>
        <v>7.3281585644978531</v>
      </c>
      <c r="AC20" s="532">
        <f ca="1">INDEX(OFFSET('MD-ratios'!$AF$23,'MD-ranking'!AC$1-19,0,1,50),1,$B20)</f>
        <v>7.0650191824049484</v>
      </c>
      <c r="AD20" s="456"/>
      <c r="AE20" s="456">
        <f ca="1">INDEX(OFFSET('MD-ratios'!$AF$23,'MD-ranking'!AE$1-19,0,1,50),1,$B20)</f>
        <v>1.7086596804428564E-2</v>
      </c>
      <c r="AF20" s="456">
        <f ca="1">INDEX(OFFSET('MD-ratios'!$AF$23,'MD-ranking'!AF$1-19,0,1,50),1,$B20)</f>
        <v>1.7387216113292865E-2</v>
      </c>
      <c r="AG20" s="456">
        <f ca="1">INDEX(OFFSET('MD-ratios'!$AF$23,'MD-ranking'!AG$1-19,0,1,50),1,$B20)</f>
        <v>3.4514233438187416E-3</v>
      </c>
      <c r="AI20" s="456">
        <f ca="1">INDEX(OFFSET('MD-ratios'!$AF$23,'MD-ranking'!AI$1-19,0,1,50),1,$B20)</f>
        <v>3.4108382469472953E-3</v>
      </c>
      <c r="AJ20" s="456">
        <f ca="1">INDEX(OFFSET('MD-ratios'!$AF$23,'MD-ranking'!AJ$1-19,0,1,50),1,$B20)</f>
        <v>0.17351374166075545</v>
      </c>
      <c r="AL20" s="456">
        <f ca="1">INDEX(OFFSET('MD-ratios'!$AF$23,'MD-ranking'!AL$1-19,0,1,50),1,$B20)</f>
        <v>0.25200736491400688</v>
      </c>
      <c r="AM20" s="456">
        <f ca="1">INDEX(OFFSET('MD-ratios'!$AF$23,'MD-ranking'!AM$1-19,0,1,50),1,$B20)</f>
        <v>21.470950494104169</v>
      </c>
    </row>
    <row r="21" spans="1:39" x14ac:dyDescent="0.25">
      <c r="A21" s="307">
        <v>10</v>
      </c>
      <c r="B21" s="525">
        <f>MATCH(C21,'MD-ratings-final'!I$1:BG$1,0)</f>
        <v>36</v>
      </c>
      <c r="C21" s="307" t="str">
        <f>INDEX('MD-ratings-final'!$I$1:$BG$1,MATCH('MD-ranking'!F21,'MD-ratings-final'!$I$34:$BF$34,0))</f>
        <v>I.S. Combinatul Polligrafic</v>
      </c>
      <c r="F21" s="523">
        <f>LARGE('MD-ratings-final'!$I$34:$BF$34,'MD-ranking'!A21)</f>
        <v>7.2768266275834801</v>
      </c>
      <c r="H21" s="528">
        <f ca="1">INDEX(OFFSET('MD-ratings-final'!$I$19,'MD-ranking'!H$1-19,0,1,50),1,$B21)</f>
        <v>9.4325442701869981</v>
      </c>
      <c r="I21" s="528">
        <f ca="1">INDEX(OFFSET('MD-ratings-final'!$I$19,'MD-ranking'!I$1-19,0,1,50),1,$B21)</f>
        <v>8.345036499529245</v>
      </c>
      <c r="J21" s="528">
        <f ca="1">INDEX(OFFSET('MD-ratings-final'!$I$19,'MD-ranking'!J$1-19,0,1,50),1,$B21)</f>
        <v>7.0838136424163105</v>
      </c>
      <c r="K21" s="523">
        <f ca="1">INDEX(OFFSET('MD-ratings-final'!$I$19,'MD-ranking'!K$1-19,0,1,50),1,$B21)</f>
        <v>8.2871314707108503</v>
      </c>
      <c r="M21" s="528">
        <f ca="1">INDEX(OFFSET('MD-ratings-final'!$I$19,'MD-ranking'!M$1-19,0,1,50),1,$B21)</f>
        <v>7.3597092789209695</v>
      </c>
      <c r="N21" s="528">
        <f ca="1">INDEX(OFFSET('MD-ratings-final'!$I$19,'MD-ranking'!N$1-19,0,1,50),1,$B21)</f>
        <v>6.5455955408379527</v>
      </c>
      <c r="O21" s="528">
        <f ca="1">INDEX(OFFSET('MD-ratings-final'!$I$19,'MD-ranking'!O$1-19,0,1,50),1,$B21)</f>
        <v>7.0890803303944887</v>
      </c>
      <c r="P21" s="523">
        <f ca="1">INDEX(OFFSET('MD-ratings-final'!$I$19,'MD-ranking'!P$1-19,0,1,50),1,$B21)</f>
        <v>7.0886349518937735</v>
      </c>
      <c r="R21" s="528">
        <f ca="1">INDEX(OFFSET('MD-ratings-final'!$I$19,'MD-ranking'!R$1-19,0,1,50),1,$B21)</f>
        <v>9.4489192216440596</v>
      </c>
      <c r="S21" s="528">
        <f ca="1">INDEX(OFFSET('MD-ratings-final'!$I$19,'MD-ranking'!S$1-19,0,1,50),1,$B21)</f>
        <v>9.6820740119930999</v>
      </c>
      <c r="T21" s="523">
        <f ca="1">INDEX(OFFSET('MD-ratings-final'!$I$19,'MD-ranking'!T$1-19,0,1,50),1,$B21)</f>
        <v>9.5654966168185798</v>
      </c>
      <c r="V21" s="528">
        <f ca="1">INDEX(OFFSET('MD-ratings-final'!$I$19,'MD-ranking'!V$1-19,0,1,50),1,$B21)</f>
        <v>3.0486472868758687</v>
      </c>
      <c r="W21" s="528">
        <f ca="1">INDEX(OFFSET('MD-ratings-final'!$I$19,'MD-ranking'!W$1-19,0,1,50),1,$B21)</f>
        <v>2.5837130819916347</v>
      </c>
      <c r="X21" s="523">
        <f ca="1">INDEX(OFFSET('MD-ratings-final'!$I$19,'MD-ranking'!X$1-19,0,1,50),1,$B21)</f>
        <v>2.816180184433752</v>
      </c>
      <c r="AA21" s="532">
        <f ca="1">INDEX(OFFSET('MD-ratios'!$AF$23,'MD-ranking'!AA$1-19,0,1,50),1,$B21)</f>
        <v>8.4312987519500773</v>
      </c>
      <c r="AB21" s="532">
        <f ca="1">INDEX(OFFSET('MD-ratios'!$AF$23,'MD-ranking'!AB$1-19,0,1,50),1,$B21)</f>
        <v>5.113406786271451</v>
      </c>
      <c r="AC21" s="532">
        <f ca="1">INDEX(OFFSET('MD-ratios'!$AF$23,'MD-ranking'!AC$1-19,0,1,50),1,$B21)</f>
        <v>2.5202125585023403</v>
      </c>
      <c r="AD21" s="456"/>
      <c r="AE21" s="456">
        <f ca="1">INDEX(OFFSET('MD-ratios'!$AF$23,'MD-ranking'!AE$1-19,0,1,50),1,$B21)</f>
        <v>1.8321454386900724E-2</v>
      </c>
      <c r="AF21" s="456">
        <f ca="1">INDEX(OFFSET('MD-ratios'!$AF$23,'MD-ranking'!AF$1-19,0,1,50),1,$B21)</f>
        <v>1.9836219347153912E-2</v>
      </c>
      <c r="AG21" s="456">
        <f ca="1">INDEX(OFFSET('MD-ratios'!$AF$23,'MD-ranking'!AG$1-19,0,1,50),1,$B21)</f>
        <v>2.0114862662146887E-2</v>
      </c>
      <c r="AI21" s="456">
        <f ca="1">INDEX(OFFSET('MD-ratios'!$AF$23,'MD-ranking'!AI$1-19,0,1,50),1,$B21)</f>
        <v>2.7981121156914375E-3</v>
      </c>
      <c r="AJ21" s="456">
        <f ca="1">INDEX(OFFSET('MD-ratios'!$AF$23,'MD-ranking'!AJ$1-19,0,1,50),1,$B21)</f>
        <v>0.10403920157249245</v>
      </c>
      <c r="AL21" s="456">
        <f ca="1">INDEX(OFFSET('MD-ratios'!$AF$23,'MD-ranking'!AL$1-19,0,1,50),1,$B21)</f>
        <v>1.5929945916442083</v>
      </c>
      <c r="AM21" s="456">
        <f ca="1">INDEX(OFFSET('MD-ratios'!$AF$23,'MD-ranking'!AM$1-19,0,1,50),1,$B21)</f>
        <v>4.5650335767301602</v>
      </c>
    </row>
    <row r="22" spans="1:39" x14ac:dyDescent="0.25">
      <c r="A22" s="307">
        <v>11</v>
      </c>
      <c r="B22" s="525">
        <f>MATCH(C22,'MD-ratings-final'!I$1:BG$1,0)</f>
        <v>15</v>
      </c>
      <c r="C22" s="307" t="str">
        <f>INDEX('MD-ratings-final'!$I$1:$BG$1,MATCH('MD-ranking'!F22,'MD-ratings-final'!$I$34:$BF$34,0))</f>
        <v>I.S. Fiscservinform</v>
      </c>
      <c r="F22" s="523">
        <f>LARGE('MD-ratings-final'!$I$34:$BF$34,'MD-ranking'!A22)</f>
        <v>7.2424579740098345</v>
      </c>
      <c r="H22" s="528">
        <f ca="1">INDEX(OFFSET('MD-ratings-final'!$I$19,'MD-ranking'!H$1-19,0,1,50),1,$B22)</f>
        <v>3.4314302599136317</v>
      </c>
      <c r="I22" s="528">
        <f ca="1">INDEX(OFFSET('MD-ratings-final'!$I$19,'MD-ranking'!I$1-19,0,1,50),1,$B22)</f>
        <v>2.6805813744878457</v>
      </c>
      <c r="J22" s="528">
        <f ca="1">INDEX(OFFSET('MD-ratings-final'!$I$19,'MD-ranking'!J$1-19,0,1,50),1,$B22)</f>
        <v>3.0888005625682529</v>
      </c>
      <c r="K22" s="523">
        <f ca="1">INDEX(OFFSET('MD-ratings-final'!$I$19,'MD-ranking'!K$1-19,0,1,50),1,$B22)</f>
        <v>3.0669373989899098</v>
      </c>
      <c r="M22" s="528">
        <f ca="1">INDEX(OFFSET('MD-ratings-final'!$I$19,'MD-ranking'!M$1-19,0,1,50),1,$B22)</f>
        <v>8.5937863952819296</v>
      </c>
      <c r="N22" s="528">
        <f ca="1">INDEX(OFFSET('MD-ratings-final'!$I$19,'MD-ranking'!N$1-19,0,1,50),1,$B22)</f>
        <v>8.9805145827094783</v>
      </c>
      <c r="O22" s="528">
        <f ca="1">INDEX(OFFSET('MD-ratings-final'!$I$19,'MD-ranking'!O$1-19,0,1,50),1,$B22)</f>
        <v>6.6156600901210334</v>
      </c>
      <c r="P22" s="523">
        <f ca="1">INDEX(OFFSET('MD-ratings-final'!$I$19,'MD-ranking'!P$1-19,0,1,50),1,$B22)</f>
        <v>7.8798815107030817</v>
      </c>
      <c r="R22" s="528">
        <f ca="1">INDEX(OFFSET('MD-ratings-final'!$I$19,'MD-ranking'!R$1-19,0,1,50),1,$B22)</f>
        <v>9.1019414855386422</v>
      </c>
      <c r="S22" s="528">
        <f ca="1">INDEX(OFFSET('MD-ratings-final'!$I$19,'MD-ranking'!S$1-19,0,1,50),1,$B22)</f>
        <v>9.8759922063986902</v>
      </c>
      <c r="T22" s="523">
        <f ca="1">INDEX(OFFSET('MD-ratings-final'!$I$19,'MD-ranking'!T$1-19,0,1,50),1,$B22)</f>
        <v>9.4889668459686654</v>
      </c>
      <c r="V22" s="528">
        <f ca="1">INDEX(OFFSET('MD-ratings-final'!$I$19,'MD-ranking'!V$1-19,0,1,50),1,$B22)</f>
        <v>9.1613352839057232</v>
      </c>
      <c r="W22" s="528">
        <f ca="1">INDEX(OFFSET('MD-ratings-final'!$I$19,'MD-ranking'!W$1-19,0,1,50),1,$B22)</f>
        <v>7.4292966440541459</v>
      </c>
      <c r="X22" s="523">
        <f ca="1">INDEX(OFFSET('MD-ratings-final'!$I$19,'MD-ranking'!X$1-19,0,1,50),1,$B22)</f>
        <v>8.2953159639799345</v>
      </c>
      <c r="AA22" s="532">
        <f ca="1">INDEX(OFFSET('MD-ratios'!$AF$23,'MD-ranking'!AA$1-19,0,1,50),1,$B22)</f>
        <v>0.84090861137339046</v>
      </c>
      <c r="AB22" s="532">
        <f ca="1">INDEX(OFFSET('MD-ratios'!$AF$23,'MD-ranking'!AB$1-19,0,1,50),1,$B22)</f>
        <v>0.4434812598331635</v>
      </c>
      <c r="AC22" s="532">
        <f ca="1">INDEX(OFFSET('MD-ratios'!$AF$23,'MD-ranking'!AC$1-19,0,1,50),1,$B22)</f>
        <v>0.29321199044189444</v>
      </c>
      <c r="AD22" s="456"/>
      <c r="AE22" s="456">
        <f ca="1">INDEX(OFFSET('MD-ratios'!$AF$23,'MD-ranking'!AE$1-19,0,1,50),1,$B22)</f>
        <v>5.551506091614726E-2</v>
      </c>
      <c r="AF22" s="456">
        <f ca="1">INDEX(OFFSET('MD-ratios'!$AF$23,'MD-ranking'!AF$1-19,0,1,50),1,$B22)</f>
        <v>0.1564519658397501</v>
      </c>
      <c r="AG22" s="456">
        <f ca="1">INDEX(OFFSET('MD-ratios'!$AF$23,'MD-ranking'!AG$1-19,0,1,50),1,$B22)</f>
        <v>1.6897698182494165E-2</v>
      </c>
      <c r="AI22" s="456">
        <f ca="1">INDEX(OFFSET('MD-ratios'!$AF$23,'MD-ranking'!AI$1-19,0,1,50),1,$B22)</f>
        <v>3.2272272283029855E-3</v>
      </c>
      <c r="AJ22" s="456">
        <f ca="1">INDEX(OFFSET('MD-ratios'!$AF$23,'MD-ranking'!AJ$1-19,0,1,50),1,$B22)</f>
        <v>3.0851017380264013E-2</v>
      </c>
      <c r="AL22" s="456">
        <f ca="1">INDEX(OFFSET('MD-ratios'!$AF$23,'MD-ranking'!AL$1-19,0,1,50),1,$B22)</f>
        <v>-31.799362961457032</v>
      </c>
      <c r="AM22" s="456">
        <f ca="1">INDEX(OFFSET('MD-ratios'!$AF$23,'MD-ranking'!AM$1-19,0,1,50),1,$B22)</f>
        <v>33.666263444771303</v>
      </c>
    </row>
    <row r="23" spans="1:39" x14ac:dyDescent="0.25">
      <c r="A23" s="307">
        <v>12</v>
      </c>
      <c r="B23" s="525">
        <f>MATCH(C23,'MD-ratings-final'!I$1:BG$1,0)</f>
        <v>26</v>
      </c>
      <c r="C23" s="307" t="str">
        <f>INDEX('MD-ratings-final'!$I$1:$BG$1,MATCH('MD-ranking'!F23,'MD-ratings-final'!$I$34:$BF$34,0))</f>
        <v>S.A Energocom</v>
      </c>
      <c r="F23" s="523">
        <f>LARGE('MD-ratings-final'!$I$34:$BF$34,'MD-ranking'!A23)</f>
        <v>7.190514574402437</v>
      </c>
      <c r="H23" s="528">
        <f ca="1">INDEX(OFFSET('MD-ratings-final'!$I$19,'MD-ranking'!H$1-19,0,1,50),1,$B23)</f>
        <v>4.0285203970727386</v>
      </c>
      <c r="I23" s="528">
        <f ca="1">INDEX(OFFSET('MD-ratings-final'!$I$19,'MD-ranking'!I$1-19,0,1,50),1,$B23)</f>
        <v>4.272072472549941</v>
      </c>
      <c r="J23" s="528">
        <f ca="1">INDEX(OFFSET('MD-ratings-final'!$I$19,'MD-ranking'!J$1-19,0,1,50),1,$B23)</f>
        <v>2.9097096485350309</v>
      </c>
      <c r="K23" s="523">
        <f ca="1">INDEX(OFFSET('MD-ratings-final'!$I$19,'MD-ranking'!K$1-19,0,1,50),1,$B23)</f>
        <v>3.73676750605257</v>
      </c>
      <c r="M23" s="528">
        <f ca="1">INDEX(OFFSET('MD-ratings-final'!$I$19,'MD-ranking'!M$1-19,0,1,50),1,$B23)</f>
        <v>7.4834333645719084</v>
      </c>
      <c r="N23" s="528">
        <f ca="1">INDEX(OFFSET('MD-ratings-final'!$I$19,'MD-ranking'!N$1-19,0,1,50),1,$B23)</f>
        <v>9.5828648471764666</v>
      </c>
      <c r="O23" s="528">
        <f ca="1">INDEX(OFFSET('MD-ratings-final'!$I$19,'MD-ranking'!O$1-19,0,1,50),1,$B23)</f>
        <v>5.546315846764001</v>
      </c>
      <c r="P23" s="523">
        <f ca="1">INDEX(OFFSET('MD-ratings-final'!$I$19,'MD-ranking'!P$1-19,0,1,50),1,$B23)</f>
        <v>7.1284726539696575</v>
      </c>
      <c r="R23" s="528">
        <f ca="1">INDEX(OFFSET('MD-ratings-final'!$I$19,'MD-ranking'!R$1-19,0,1,50),1,$B23)</f>
        <v>9.9961128449274437</v>
      </c>
      <c r="S23" s="528">
        <f ca="1">INDEX(OFFSET('MD-ratings-final'!$I$19,'MD-ranking'!S$1-19,0,1,50),1,$B23)</f>
        <v>9.9941000993484064</v>
      </c>
      <c r="T23" s="523">
        <f ca="1">INDEX(OFFSET('MD-ratings-final'!$I$19,'MD-ranking'!T$1-19,0,1,50),1,$B23)</f>
        <v>9.995106472137925</v>
      </c>
      <c r="V23" s="528">
        <f ca="1">INDEX(OFFSET('MD-ratings-final'!$I$19,'MD-ranking'!V$1-19,0,1,50),1,$B23)</f>
        <v>10</v>
      </c>
      <c r="W23" s="528">
        <f ca="1">INDEX(OFFSET('MD-ratings-final'!$I$19,'MD-ranking'!W$1-19,0,1,50),1,$B23)</f>
        <v>4.7567259275550242</v>
      </c>
      <c r="X23" s="523">
        <f ca="1">INDEX(OFFSET('MD-ratings-final'!$I$19,'MD-ranking'!X$1-19,0,1,50),1,$B23)</f>
        <v>7.3783629637775112</v>
      </c>
      <c r="AA23" s="532">
        <f ca="1">INDEX(OFFSET('MD-ratios'!$AF$23,'MD-ranking'!AA$1-19,0,1,50),1,$B23)</f>
        <v>1.0875487207760308</v>
      </c>
      <c r="AB23" s="532">
        <f ca="1">INDEX(OFFSET('MD-ratios'!$AF$23,'MD-ranking'!AB$1-19,0,1,50),1,$B23)</f>
        <v>1.077289053915135</v>
      </c>
      <c r="AC23" s="532">
        <f ca="1">INDEX(OFFSET('MD-ratios'!$AF$23,'MD-ranking'!AC$1-19,0,1,50),1,$B23)</f>
        <v>0.55710495586587894</v>
      </c>
      <c r="AD23" s="456"/>
      <c r="AE23" s="456">
        <f ca="1">INDEX(OFFSET('MD-ratios'!$AF$23,'MD-ranking'!AE$1-19,0,1,50),1,$B23)</f>
        <v>4.5310957117084501E-2</v>
      </c>
      <c r="AF23" s="456">
        <f ca="1">INDEX(OFFSET('MD-ratios'!$AF$23,'MD-ranking'!AF$1-19,0,1,50),1,$B23)</f>
        <v>0.55633546568983738</v>
      </c>
      <c r="AG23" s="456">
        <f ca="1">INDEX(OFFSET('MD-ratios'!$AF$23,'MD-ranking'!AG$1-19,0,1,50),1,$B23)</f>
        <v>5.7497382059858715E-3</v>
      </c>
      <c r="AI23" s="456">
        <f ca="1">INDEX(OFFSET('MD-ratios'!$AF$23,'MD-ranking'!AI$1-19,0,1,50),1,$B23)</f>
        <v>0</v>
      </c>
      <c r="AJ23" s="456">
        <f ca="1">INDEX(OFFSET('MD-ratios'!$AF$23,'MD-ranking'!AJ$1-19,0,1,50),1,$B23)</f>
        <v>0</v>
      </c>
      <c r="AL23" s="456">
        <f ca="1">INDEX(OFFSET('MD-ratios'!$AF$23,'MD-ranking'!AL$1-19,0,1,50),1,$B23)</f>
        <v>97.766074004113364</v>
      </c>
      <c r="AM23" s="456">
        <f ca="1">INDEX(OFFSET('MD-ratios'!$AF$23,'MD-ranking'!AM$1-19,0,1,50),1,$B23)</f>
        <v>16.454356729575412</v>
      </c>
    </row>
    <row r="24" spans="1:39" x14ac:dyDescent="0.25">
      <c r="A24" s="307">
        <v>13</v>
      </c>
      <c r="B24" s="525">
        <f>MATCH(C24,'MD-ratings-final'!I$1:BG$1,0)</f>
        <v>1</v>
      </c>
      <c r="C24" s="307" t="str">
        <f>INDEX('MD-ratings-final'!$I$1:$BG$1,MATCH('MD-ranking'!F24,'MD-ratings-final'!$I$34:$BF$34,0))</f>
        <v>S.A. Tutun-CTC</v>
      </c>
      <c r="F24" s="523">
        <f>LARGE('MD-ratings-final'!$I$34:$BF$34,'MD-ranking'!A24)</f>
        <v>6.883897822415177</v>
      </c>
      <c r="H24" s="528">
        <f ca="1">INDEX(OFFSET('MD-ratings-final'!$I$19,'MD-ranking'!H$1-19,0,1,50),1,$B24)</f>
        <v>9.6805497408148788</v>
      </c>
      <c r="I24" s="528">
        <f ca="1">INDEX(OFFSET('MD-ratings-final'!$I$19,'MD-ranking'!I$1-19,0,1,50),1,$B24)</f>
        <v>7.0646080560206945</v>
      </c>
      <c r="J24" s="528">
        <f ca="1">INDEX(OFFSET('MD-ratings-final'!$I$19,'MD-ranking'!J$1-19,0,1,50),1,$B24)</f>
        <v>1.7745919231610647</v>
      </c>
      <c r="K24" s="523">
        <f ca="1">INDEX(OFFSET('MD-ratings-final'!$I$19,'MD-ranking'!K$1-19,0,1,50),1,$B24)</f>
        <v>6.1732499066655455</v>
      </c>
      <c r="M24" s="528">
        <f ca="1">INDEX(OFFSET('MD-ratings-final'!$I$19,'MD-ranking'!M$1-19,0,1,50),1,$B24)</f>
        <v>8.3239100448017407</v>
      </c>
      <c r="N24" s="528">
        <f ca="1">INDEX(OFFSET('MD-ratings-final'!$I$19,'MD-ranking'!N$1-19,0,1,50),1,$B24)</f>
        <v>7.3396227893814556</v>
      </c>
      <c r="O24" s="528">
        <f ca="1">INDEX(OFFSET('MD-ratings-final'!$I$19,'MD-ranking'!O$1-19,0,1,50),1,$B24)</f>
        <v>9.3969835794085039</v>
      </c>
      <c r="P24" s="523">
        <f ca="1">INDEX(OFFSET('MD-ratings-final'!$I$19,'MD-ranking'!P$1-19,0,1,50),1,$B24)</f>
        <v>8.5562820075603891</v>
      </c>
      <c r="R24" s="528">
        <f ca="1">INDEX(OFFSET('MD-ratings-final'!$I$19,'MD-ranking'!R$1-19,0,1,50),1,$B24)</f>
        <v>9.5353127664116304</v>
      </c>
      <c r="S24" s="528">
        <f ca="1">INDEX(OFFSET('MD-ratings-final'!$I$19,'MD-ranking'!S$1-19,0,1,50),1,$B24)</f>
        <v>9.8369558478117352</v>
      </c>
      <c r="T24" s="523">
        <f ca="1">INDEX(OFFSET('MD-ratings-final'!$I$19,'MD-ranking'!T$1-19,0,1,50),1,$B24)</f>
        <v>9.6861343071116828</v>
      </c>
      <c r="V24" s="528">
        <f ca="1">INDEX(OFFSET('MD-ratings-final'!$I$19,'MD-ranking'!V$1-19,0,1,50),1,$B24)</f>
        <v>1.5456579097569907</v>
      </c>
      <c r="W24" s="528">
        <f ca="1">INDEX(OFFSET('MD-ratings-final'!$I$19,'MD-ranking'!W$1-19,0,1,50),1,$B24)</f>
        <v>1.4110876074948879</v>
      </c>
      <c r="X24" s="523">
        <f ca="1">INDEX(OFFSET('MD-ratings-final'!$I$19,'MD-ranking'!X$1-19,0,1,50),1,$B24)</f>
        <v>1.4783727586259392</v>
      </c>
      <c r="AA24" s="532">
        <f ca="1">INDEX(OFFSET('MD-ratios'!$AF$23,'MD-ranking'!AA$1-19,0,1,50),1,$B24)</f>
        <v>9.1884616232563907</v>
      </c>
      <c r="AB24" s="532">
        <f ca="1">INDEX(OFFSET('MD-ratios'!$AF$23,'MD-ranking'!AB$1-19,0,1,50),1,$B24)</f>
        <v>3.306265494690118</v>
      </c>
      <c r="AC24" s="532">
        <f ca="1">INDEX(OFFSET('MD-ratios'!$AF$23,'MD-ranking'!AC$1-19,0,1,50),1,$B24)</f>
        <v>0.13948200069923219</v>
      </c>
      <c r="AD24" s="456"/>
      <c r="AE24" s="456">
        <f ca="1">INDEX(OFFSET('MD-ratios'!$AF$23,'MD-ranking'!AE$1-19,0,1,50),1,$B24)</f>
        <v>3.694660142326716E-2</v>
      </c>
      <c r="AF24" s="456">
        <f ca="1">INDEX(OFFSET('MD-ratios'!$AF$23,'MD-ranking'!AF$1-19,0,1,50),1,$B24)</f>
        <v>3.9919390477756805E-2</v>
      </c>
      <c r="AG24" s="456">
        <f ca="1">INDEX(OFFSET('MD-ratios'!$AF$23,'MD-ranking'!AG$1-19,0,1,50),1,$B24)</f>
        <v>0.10549250024554359</v>
      </c>
      <c r="AI24" s="456">
        <f ca="1">INDEX(OFFSET('MD-ratios'!$AF$23,'MD-ranking'!AI$1-19,0,1,50),1,$B24)</f>
        <v>2.0021655728381214E-4</v>
      </c>
      <c r="AJ24" s="456">
        <f ca="1">INDEX(OFFSET('MD-ratios'!$AF$23,'MD-ranking'!AJ$1-19,0,1,50),1,$B24)</f>
        <v>1.508877110760041E-2</v>
      </c>
      <c r="AL24" s="456">
        <f ca="1">INDEX(OFFSET('MD-ratios'!$AF$23,'MD-ranking'!AL$1-19,0,1,50),1,$B24)</f>
        <v>0.57098640333040018</v>
      </c>
      <c r="AM24" s="456">
        <f ca="1">INDEX(OFFSET('MD-ratios'!$AF$23,'MD-ranking'!AM$1-19,0,1,50),1,$B24)</f>
        <v>1.4764192941968244</v>
      </c>
    </row>
    <row r="25" spans="1:39" x14ac:dyDescent="0.25">
      <c r="A25" s="307">
        <v>14</v>
      </c>
      <c r="B25" s="525">
        <f>MATCH(C25,'MD-ratings-final'!I$1:BG$1,0)</f>
        <v>27</v>
      </c>
      <c r="C25" s="307" t="str">
        <f>INDEX('MD-ratings-final'!$I$1:$BG$1,MATCH('MD-ranking'!F25,'MD-ratings-final'!$I$34:$BF$34,0))</f>
        <v>I.S. Garile si statiile auto</v>
      </c>
      <c r="F25" s="523">
        <f>LARGE('MD-ratings-final'!$I$34:$BF$34,'MD-ranking'!A25)</f>
        <v>6.7862236605668524</v>
      </c>
      <c r="H25" s="528">
        <f ca="1">INDEX(OFFSET('MD-ratings-final'!$I$19,'MD-ranking'!H$1-19,0,1,50),1,$B25)</f>
        <v>5.4636690589401633</v>
      </c>
      <c r="I25" s="528">
        <f ca="1">INDEX(OFFSET('MD-ratings-final'!$I$19,'MD-ranking'!I$1-19,0,1,50),1,$B25)</f>
        <v>4.3147741885572026</v>
      </c>
      <c r="J25" s="528">
        <f ca="1">INDEX(OFFSET('MD-ratings-final'!$I$19,'MD-ranking'!J$1-19,0,1,50),1,$B25)</f>
        <v>5.3044458804527048</v>
      </c>
      <c r="K25" s="523">
        <f ca="1">INDEX(OFFSET('MD-ratings-final'!$I$19,'MD-ranking'!K$1-19,0,1,50),1,$B25)</f>
        <v>5.02762970931669</v>
      </c>
      <c r="M25" s="528">
        <f ca="1">INDEX(OFFSET('MD-ratings-final'!$I$19,'MD-ranking'!M$1-19,0,1,50),1,$B25)</f>
        <v>9.9960045277022118</v>
      </c>
      <c r="N25" s="528">
        <f ca="1">INDEX(OFFSET('MD-ratings-final'!$I$19,'MD-ranking'!N$1-19,0,1,50),1,$B25)</f>
        <v>9.1529713152889087</v>
      </c>
      <c r="O25" s="528">
        <f ca="1">INDEX(OFFSET('MD-ratings-final'!$I$19,'MD-ranking'!O$1-19,0,1,50),1,$B25)</f>
        <v>9.264236784451553</v>
      </c>
      <c r="P25" s="523">
        <f ca="1">INDEX(OFFSET('MD-ratings-final'!$I$19,'MD-ranking'!P$1-19,0,1,50),1,$B25)</f>
        <v>9.5346907879192884</v>
      </c>
      <c r="R25" s="528">
        <f ca="1">INDEX(OFFSET('MD-ratings-final'!$I$19,'MD-ranking'!R$1-19,0,1,50),1,$B25)</f>
        <v>2.5746909808910621</v>
      </c>
      <c r="S25" s="528">
        <f ca="1">INDEX(OFFSET('MD-ratings-final'!$I$19,'MD-ranking'!S$1-19,0,1,50),1,$B25)</f>
        <v>8.0152091649731609</v>
      </c>
      <c r="T25" s="523">
        <f ca="1">INDEX(OFFSET('MD-ratings-final'!$I$19,'MD-ranking'!T$1-19,0,1,50),1,$B25)</f>
        <v>5.294950072932112</v>
      </c>
      <c r="V25" s="528">
        <f ca="1">INDEX(OFFSET('MD-ratings-final'!$I$19,'MD-ranking'!V$1-19,0,1,50),1,$B25)</f>
        <v>5.5715851437822437</v>
      </c>
      <c r="W25" s="528">
        <f ca="1">INDEX(OFFSET('MD-ratings-final'!$I$19,'MD-ranking'!W$1-19,0,1,50),1,$B25)</f>
        <v>10</v>
      </c>
      <c r="X25" s="523">
        <f ca="1">INDEX(OFFSET('MD-ratings-final'!$I$19,'MD-ranking'!X$1-19,0,1,50),1,$B25)</f>
        <v>7.785792571891121</v>
      </c>
      <c r="AA25" s="532">
        <f ca="1">INDEX(OFFSET('MD-ratios'!$AF$23,'MD-ranking'!AA$1-19,0,1,50),1,$B25)</f>
        <v>2.0042946722788701</v>
      </c>
      <c r="AB25" s="532">
        <f ca="1">INDEX(OFFSET('MD-ratios'!$AF$23,'MD-ranking'!AB$1-19,0,1,50),1,$B25)</f>
        <v>1.0243327750170399</v>
      </c>
      <c r="AC25" s="532">
        <f ca="1">INDEX(OFFSET('MD-ratios'!$AF$23,'MD-ranking'!AC$1-19,0,1,50),1,$B25)</f>
        <v>1.0230463485089454</v>
      </c>
      <c r="AD25" s="456"/>
      <c r="AE25" s="456">
        <f ca="1">INDEX(OFFSET('MD-ratios'!$AF$23,'MD-ranking'!AE$1-19,0,1,50),1,$B25)</f>
        <v>0.13240588360989702</v>
      </c>
      <c r="AF25" s="456">
        <f ca="1">INDEX(OFFSET('MD-ratios'!$AF$23,'MD-ranking'!AF$1-19,0,1,50),1,$B25)</f>
        <v>0.16833224685882067</v>
      </c>
      <c r="AG25" s="456">
        <f ca="1">INDEX(OFFSET('MD-ratios'!$AF$23,'MD-ranking'!AG$1-19,0,1,50),1,$B25)</f>
        <v>0.10659526959541463</v>
      </c>
      <c r="AI25" s="456">
        <f ca="1">INDEX(OFFSET('MD-ratios'!$AF$23,'MD-ranking'!AI$1-19,0,1,50),1,$B25)</f>
        <v>0.13786867744381817</v>
      </c>
      <c r="AJ25" s="456">
        <f ca="1">INDEX(OFFSET('MD-ratios'!$AF$23,'MD-ranking'!AJ$1-19,0,1,50),1,$B25)</f>
        <v>0.87045987698294658</v>
      </c>
      <c r="AL25" s="456">
        <f ca="1">INDEX(OFFSET('MD-ratios'!$AF$23,'MD-ranking'!AL$1-19,0,1,50),1,$B25)</f>
        <v>4.9605894063890634</v>
      </c>
      <c r="AM25" s="456">
        <f ca="1">INDEX(OFFSET('MD-ratios'!$AF$23,'MD-ranking'!AM$1-19,0,1,50),1,$B25)</f>
        <v>3872.6608017262843</v>
      </c>
    </row>
    <row r="26" spans="1:39" x14ac:dyDescent="0.25">
      <c r="A26" s="307">
        <v>15</v>
      </c>
      <c r="B26" s="525">
        <f>MATCH(C26,'MD-ratings-final'!I$1:BG$1,0)</f>
        <v>30</v>
      </c>
      <c r="C26" s="307" t="str">
        <f>INDEX('MD-ratings-final'!$I$1:$BG$1,MATCH('MD-ranking'!F26,'MD-ratings-final'!$I$34:$BF$34,0))</f>
        <v>I.S. Cadastru</v>
      </c>
      <c r="F26" s="523">
        <f>LARGE('MD-ratings-final'!$I$34:$BF$34,'MD-ranking'!A26)</f>
        <v>6.7090116598932426</v>
      </c>
      <c r="H26" s="528">
        <f ca="1">INDEX(OFFSET('MD-ratings-final'!$I$19,'MD-ranking'!H$1-19,0,1,50),1,$B26)</f>
        <v>6.0499135623460534</v>
      </c>
      <c r="I26" s="528">
        <f ca="1">INDEX(OFFSET('MD-ratings-final'!$I$19,'MD-ranking'!I$1-19,0,1,50),1,$B26)</f>
        <v>5.0601300923532984</v>
      </c>
      <c r="J26" s="528">
        <f ca="1">INDEX(OFFSET('MD-ratings-final'!$I$19,'MD-ranking'!J$1-19,0,1,50),1,$B26)</f>
        <v>5.9347902353177266</v>
      </c>
      <c r="K26" s="523">
        <f ca="1">INDEX(OFFSET('MD-ratings-final'!$I$19,'MD-ranking'!K$1-19,0,1,50),1,$B26)</f>
        <v>5.6816112966723589</v>
      </c>
      <c r="M26" s="528">
        <f ca="1">INDEX(OFFSET('MD-ratings-final'!$I$19,'MD-ranking'!M$1-19,0,1,50),1,$B26)</f>
        <v>6.5870679100728031</v>
      </c>
      <c r="N26" s="528">
        <f ca="1">INDEX(OFFSET('MD-ratings-final'!$I$19,'MD-ranking'!N$1-19,0,1,50),1,$B26)</f>
        <v>6.0366707314482673</v>
      </c>
      <c r="O26" s="528">
        <f ca="1">INDEX(OFFSET('MD-ratings-final'!$I$19,'MD-ranking'!O$1-19,0,1,50),1,$B26)</f>
        <v>6.2422248311130408</v>
      </c>
      <c r="P26" s="523">
        <f ca="1">INDEX(OFFSET('MD-ratings-final'!$I$19,'MD-ranking'!P$1-19,0,1,50),1,$B26)</f>
        <v>6.3390512427639916</v>
      </c>
      <c r="R26" s="528">
        <f ca="1">INDEX(OFFSET('MD-ratings-final'!$I$19,'MD-ranking'!R$1-19,0,1,50),1,$B26)</f>
        <v>7.091100798155682</v>
      </c>
      <c r="S26" s="528">
        <f ca="1">INDEX(OFFSET('MD-ratings-final'!$I$19,'MD-ranking'!S$1-19,0,1,50),1,$B26)</f>
        <v>7.6642651649317601</v>
      </c>
      <c r="T26" s="523">
        <f ca="1">INDEX(OFFSET('MD-ratings-final'!$I$19,'MD-ranking'!T$1-19,0,1,50),1,$B26)</f>
        <v>7.3776829815437202</v>
      </c>
      <c r="V26" s="528">
        <f ca="1">INDEX(OFFSET('MD-ratings-final'!$I$19,'MD-ranking'!V$1-19,0,1,50),1,$B26)</f>
        <v>4.9754364964527058</v>
      </c>
      <c r="W26" s="528">
        <f ca="1">INDEX(OFFSET('MD-ratings-final'!$I$19,'MD-ranking'!W$1-19,0,1,50),1,$B26)</f>
        <v>9.9299748092576863</v>
      </c>
      <c r="X26" s="523">
        <f ca="1">INDEX(OFFSET('MD-ratings-final'!$I$19,'MD-ranking'!X$1-19,0,1,50),1,$B26)</f>
        <v>7.4527056528551956</v>
      </c>
      <c r="AA26" s="532">
        <f ca="1">INDEX(OFFSET('MD-ratios'!$AF$23,'MD-ranking'!AA$1-19,0,1,50),1,$B26)</f>
        <v>2.4251503365568432</v>
      </c>
      <c r="AB26" s="532">
        <f ca="1">INDEX(OFFSET('MD-ratios'!$AF$23,'MD-ranking'!AB$1-19,0,1,50),1,$B26)</f>
        <v>1.3663990903429382</v>
      </c>
      <c r="AC26" s="532">
        <f ca="1">INDEX(OFFSET('MD-ratios'!$AF$23,'MD-ranking'!AC$1-19,0,1,50),1,$B26)</f>
        <v>1.3244747824153456</v>
      </c>
      <c r="AD26" s="456"/>
      <c r="AE26" s="456">
        <f ca="1">INDEX(OFFSET('MD-ratios'!$AF$23,'MD-ranking'!AE$1-19,0,1,50),1,$B26)</f>
        <v>8.9373575955791033E-3</v>
      </c>
      <c r="AF26" s="456">
        <f ca="1">INDEX(OFFSET('MD-ratios'!$AF$23,'MD-ranking'!AF$1-19,0,1,50),1,$B26)</f>
        <v>1.0697421240977049E-2</v>
      </c>
      <c r="AG26" s="456">
        <f ca="1">INDEX(OFFSET('MD-ratios'!$AF$23,'MD-ranking'!AG$1-19,0,1,50),1,$B26)</f>
        <v>9.3672299546859062E-3</v>
      </c>
      <c r="AI26" s="456">
        <f ca="1">INDEX(OFFSET('MD-ratios'!$AF$23,'MD-ranking'!AI$1-19,0,1,50),1,$B26)</f>
        <v>1.3886164502880396E-2</v>
      </c>
      <c r="AJ26" s="456">
        <f ca="1">INDEX(OFFSET('MD-ratios'!$AF$23,'MD-ranking'!AJ$1-19,0,1,50),1,$B26)</f>
        <v>1.1506417168312806</v>
      </c>
      <c r="AL26" s="456">
        <f ca="1">INDEX(OFFSET('MD-ratios'!$AF$23,'MD-ranking'!AL$1-19,0,1,50),1,$B26)</f>
        <v>4.0662820488020515</v>
      </c>
      <c r="AM26" s="456">
        <f ca="1">INDEX(OFFSET('MD-ratios'!$AF$23,'MD-ranking'!AM$1-19,0,1,50),1,$B26)</f>
        <v>138.22680723540952</v>
      </c>
    </row>
    <row r="27" spans="1:39" x14ac:dyDescent="0.25">
      <c r="A27" s="307">
        <v>16</v>
      </c>
      <c r="B27" s="525">
        <f>MATCH(C27,'MD-ratings-final'!I$1:BG$1,0)</f>
        <v>17</v>
      </c>
      <c r="C27" s="307" t="str">
        <f>INDEX('MD-ratings-final'!$I$1:$BG$1,MATCH('MD-ranking'!F27,'MD-ratings-final'!$I$34:$BF$34,0))</f>
        <v>I.S. Servicii Paza</v>
      </c>
      <c r="F27" s="523">
        <f>LARGE('MD-ratings-final'!$I$34:$BF$34,'MD-ranking'!A27)</f>
        <v>6.5581949118197596</v>
      </c>
      <c r="H27" s="528">
        <f ca="1">INDEX(OFFSET('MD-ratings-final'!$I$19,'MD-ranking'!H$1-19,0,1,50),1,$B27)</f>
        <v>6.7708517909015047</v>
      </c>
      <c r="I27" s="528">
        <f ca="1">INDEX(OFFSET('MD-ratings-final'!$I$19,'MD-ranking'!I$1-19,0,1,50),1,$B27)</f>
        <v>5.9485618942515499</v>
      </c>
      <c r="J27" s="528">
        <f ca="1">INDEX(OFFSET('MD-ratings-final'!$I$19,'MD-ranking'!J$1-19,0,1,50),1,$B27)</f>
        <v>4.9059163051776542</v>
      </c>
      <c r="K27" s="523">
        <f ca="1">INDEX(OFFSET('MD-ratings-final'!$I$19,'MD-ranking'!K$1-19,0,1,50),1,$B27)</f>
        <v>5.875109996776902</v>
      </c>
      <c r="M27" s="528">
        <f ca="1">INDEX(OFFSET('MD-ratings-final'!$I$19,'MD-ranking'!M$1-19,0,1,50),1,$B27)</f>
        <v>7.6237333858824883</v>
      </c>
      <c r="N27" s="528">
        <f ca="1">INDEX(OFFSET('MD-ratings-final'!$I$19,'MD-ranking'!N$1-19,0,1,50),1,$B27)</f>
        <v>6.8956710071435321</v>
      </c>
      <c r="O27" s="528">
        <f ca="1">INDEX(OFFSET('MD-ratings-final'!$I$19,'MD-ranking'!O$1-19,0,1,50),1,$B27)</f>
        <v>6.6882028697718612</v>
      </c>
      <c r="P27" s="523">
        <f ca="1">INDEX(OFFSET('MD-ratings-final'!$I$19,'MD-ranking'!P$1-19,0,1,50),1,$B27)</f>
        <v>7.1039087036904469</v>
      </c>
      <c r="R27" s="528">
        <f ca="1">INDEX(OFFSET('MD-ratings-final'!$I$19,'MD-ranking'!R$1-19,0,1,50),1,$B27)</f>
        <v>7.8476161644421536</v>
      </c>
      <c r="S27" s="528">
        <f ca="1">INDEX(OFFSET('MD-ratings-final'!$I$19,'MD-ranking'!S$1-19,0,1,50),1,$B27)</f>
        <v>8.927669601377179</v>
      </c>
      <c r="T27" s="523">
        <f ca="1">INDEX(OFFSET('MD-ratings-final'!$I$19,'MD-ranking'!T$1-19,0,1,50),1,$B27)</f>
        <v>8.387642882909665</v>
      </c>
      <c r="V27" s="528">
        <f ca="1">INDEX(OFFSET('MD-ratings-final'!$I$19,'MD-ranking'!V$1-19,0,1,50),1,$B27)</f>
        <v>4.7053638053518716</v>
      </c>
      <c r="W27" s="528">
        <f ca="1">INDEX(OFFSET('MD-ratings-final'!$I$19,'MD-ranking'!W$1-19,0,1,50),1,$B27)</f>
        <v>3.2661099129483575</v>
      </c>
      <c r="X27" s="523">
        <f ca="1">INDEX(OFFSET('MD-ratings-final'!$I$19,'MD-ranking'!X$1-19,0,1,50),1,$B27)</f>
        <v>3.9857368591501152</v>
      </c>
      <c r="AA27" s="532">
        <f ca="1">INDEX(OFFSET('MD-ratios'!$AF$23,'MD-ranking'!AA$1-19,0,1,50),1,$B27)</f>
        <v>3.4068058032043282</v>
      </c>
      <c r="AB27" s="532">
        <f ca="1">INDEX(OFFSET('MD-ratios'!$AF$23,'MD-ranking'!AB$1-19,0,1,50),1,$B27)</f>
        <v>2.0957015218099686</v>
      </c>
      <c r="AC27" s="532">
        <f ca="1">INDEX(OFFSET('MD-ratios'!$AF$23,'MD-ranking'!AC$1-19,0,1,50),1,$B27)</f>
        <v>0.87788648364851751</v>
      </c>
      <c r="AD27" s="456"/>
      <c r="AE27" s="456">
        <f ca="1">INDEX(OFFSET('MD-ratios'!$AF$23,'MD-ranking'!AE$1-19,0,1,50),1,$B27)</f>
        <v>1.8061185160709231E-2</v>
      </c>
      <c r="AF27" s="456">
        <f ca="1">INDEX(OFFSET('MD-ratios'!$AF$23,'MD-ranking'!AF$1-19,0,1,50),1,$B27)</f>
        <v>2.1878772569855653E-2</v>
      </c>
      <c r="AG27" s="456">
        <f ca="1">INDEX(OFFSET('MD-ratios'!$AF$23,'MD-ranking'!AG$1-19,0,1,50),1,$B27)</f>
        <v>1.1824893195764472E-2</v>
      </c>
      <c r="AI27" s="456">
        <f ca="1">INDEX(OFFSET('MD-ratios'!$AF$23,'MD-ranking'!AI$1-19,0,1,50),1,$B27)</f>
        <v>9.5974566669840694E-3</v>
      </c>
      <c r="AJ27" s="456">
        <f ca="1">INDEX(OFFSET('MD-ratios'!$AF$23,'MD-ranking'!AJ$1-19,0,1,50),1,$B27)</f>
        <v>0.37640257318274206</v>
      </c>
      <c r="AL27" s="456">
        <f ca="1">INDEX(OFFSET('MD-ratios'!$AF$23,'MD-ranking'!AL$1-19,0,1,50),1,$B27)</f>
        <v>3.5944285098776807</v>
      </c>
      <c r="AM27" s="456">
        <f ca="1">INDEX(OFFSET('MD-ratios'!$AF$23,'MD-ranking'!AM$1-19,0,1,50),1,$B27)</f>
        <v>7.103781055157059</v>
      </c>
    </row>
    <row r="28" spans="1:39" x14ac:dyDescent="0.25">
      <c r="A28" s="307">
        <v>17</v>
      </c>
      <c r="B28" s="525">
        <f>MATCH(C28,'MD-ratings-final'!I$1:BG$1,0)</f>
        <v>38</v>
      </c>
      <c r="C28" s="307" t="str">
        <f>INDEX('MD-ratings-final'!$I$1:$BG$1,MATCH('MD-ranking'!F28,'MD-ratings-final'!$I$34:$BF$34,0))</f>
        <v>I.S. Palatul Republicii</v>
      </c>
      <c r="F28" s="523">
        <f>LARGE('MD-ratings-final'!$I$34:$BF$34,'MD-ranking'!A28)</f>
        <v>6.4745863669649291</v>
      </c>
      <c r="H28" s="528">
        <f ca="1">INDEX(OFFSET('MD-ratings-final'!$I$19,'MD-ranking'!H$1-19,0,1,50),1,$B28)</f>
        <v>9.6381052074613187</v>
      </c>
      <c r="I28" s="528">
        <f ca="1">INDEX(OFFSET('MD-ratings-final'!$I$19,'MD-ranking'!I$1-19,0,1,50),1,$B28)</f>
        <v>9.8669728172695574</v>
      </c>
      <c r="J28" s="528">
        <f ca="1">INDEX(OFFSET('MD-ratings-final'!$I$19,'MD-ranking'!J$1-19,0,1,50),1,$B28)</f>
        <v>9.8462168802474732</v>
      </c>
      <c r="K28" s="523">
        <f ca="1">INDEX(OFFSET('MD-ratings-final'!$I$19,'MD-ranking'!K$1-19,0,1,50),1,$B28)</f>
        <v>9.7837649683261159</v>
      </c>
      <c r="M28" s="528">
        <f ca="1">INDEX(OFFSET('MD-ratings-final'!$I$19,'MD-ranking'!M$1-19,0,1,50),1,$B28)</f>
        <v>4.0667525097359185</v>
      </c>
      <c r="N28" s="528">
        <f ca="1">INDEX(OFFSET('MD-ratings-final'!$I$19,'MD-ranking'!N$1-19,0,1,50),1,$B28)</f>
        <v>4.5034663706762634</v>
      </c>
      <c r="O28" s="528">
        <f ca="1">INDEX(OFFSET('MD-ratings-final'!$I$19,'MD-ranking'!O$1-19,0,1,50),1,$B28)</f>
        <v>0.92057531819225624</v>
      </c>
      <c r="P28" s="523">
        <f ca="1">INDEX(OFFSET('MD-ratings-final'!$I$19,'MD-ranking'!P$1-19,0,1,50),1,$B28)</f>
        <v>2.8956244053065223</v>
      </c>
      <c r="R28" s="528">
        <f ca="1">INDEX(OFFSET('MD-ratings-final'!$I$19,'MD-ranking'!R$1-19,0,1,50),1,$B28)</f>
        <v>9.9845901427614567</v>
      </c>
      <c r="S28" s="528">
        <f ca="1">INDEX(OFFSET('MD-ratings-final'!$I$19,'MD-ranking'!S$1-19,0,1,50),1,$B28)</f>
        <v>4.9773038513812793</v>
      </c>
      <c r="T28" s="523">
        <f ca="1">INDEX(OFFSET('MD-ratings-final'!$I$19,'MD-ranking'!T$1-19,0,1,50),1,$B28)</f>
        <v>7.4809469970713671</v>
      </c>
      <c r="V28" s="528">
        <f ca="1">INDEX(OFFSET('MD-ratings-final'!$I$19,'MD-ranking'!V$1-19,0,1,50),1,$B28)</f>
        <v>4.1397890962823514</v>
      </c>
      <c r="W28" s="528">
        <f ca="1">INDEX(OFFSET('MD-ratings-final'!$I$19,'MD-ranking'!W$1-19,0,1,50),1,$B28)</f>
        <v>6.4647601480712416</v>
      </c>
      <c r="X28" s="523">
        <f ca="1">INDEX(OFFSET('MD-ratings-final'!$I$19,'MD-ranking'!X$1-19,0,1,50),1,$B28)</f>
        <v>5.3022746221767969</v>
      </c>
      <c r="AA28" s="532">
        <f ca="1">INDEX(OFFSET('MD-ratios'!$AF$23,'MD-ranking'!AA$1-19,0,1,50),1,$B28)</f>
        <v>14.930996504333669</v>
      </c>
      <c r="AB28" s="532">
        <f ca="1">INDEX(OFFSET('MD-ratios'!$AF$23,'MD-ranking'!AB$1-19,0,1,50),1,$B28)</f>
        <v>13.167983527270986</v>
      </c>
      <c r="AC28" s="532">
        <f ca="1">INDEX(OFFSET('MD-ratios'!$AF$23,'MD-ranking'!AC$1-19,0,1,50),1,$B28)</f>
        <v>11.973088157831729</v>
      </c>
      <c r="AD28" s="456"/>
      <c r="AE28" s="456">
        <f ca="1">INDEX(OFFSET('MD-ratios'!$AF$23,'MD-ranking'!AE$1-19,0,1,50),1,$B28)</f>
        <v>-4.9315221158059393E-3</v>
      </c>
      <c r="AF28" s="456">
        <f ca="1">INDEX(OFFSET('MD-ratios'!$AF$23,'MD-ranking'!AF$1-19,0,1,50),1,$B28)</f>
        <v>-4.9381118730323029E-3</v>
      </c>
      <c r="AG28" s="456">
        <f ca="1">INDEX(OFFSET('MD-ratios'!$AF$23,'MD-ranking'!AG$1-19,0,1,50),1,$B28)</f>
        <v>-9.7956163242924887E-2</v>
      </c>
      <c r="AI28" s="456">
        <f ca="1">INDEX(OFFSET('MD-ratios'!$AF$23,'MD-ranking'!AI$1-19,0,1,50),1,$B28)</f>
        <v>4.0705681880559047E-5</v>
      </c>
      <c r="AJ28" s="456">
        <f ca="1">INDEX(OFFSET('MD-ratios'!$AF$23,'MD-ranking'!AJ$1-19,0,1,50),1,$B28)</f>
        <v>-8.2541821621551579E-3</v>
      </c>
      <c r="AL28" s="456">
        <f ca="1">INDEX(OFFSET('MD-ratios'!$AF$23,'MD-ranking'!AL$1-19,0,1,50),1,$B28)</f>
        <v>2.7080616387266647</v>
      </c>
      <c r="AM28" s="456">
        <f ca="1">INDEX(OFFSET('MD-ratios'!$AF$23,'MD-ranking'!AM$1-19,0,1,50),1,$B28)</f>
        <v>31.572636556726646</v>
      </c>
    </row>
    <row r="29" spans="1:39" x14ac:dyDescent="0.25">
      <c r="A29" s="307">
        <v>18</v>
      </c>
      <c r="B29" s="525">
        <f>MATCH(C29,'MD-ratings-final'!I$1:BG$1,0)</f>
        <v>16</v>
      </c>
      <c r="C29" s="307" t="str">
        <f>INDEX('MD-ratings-final'!$I$1:$BG$1,MATCH('MD-ranking'!F29,'MD-ratings-final'!$I$34:$BF$34,0))</f>
        <v>I.S. Vamservinform</v>
      </c>
      <c r="F29" s="523">
        <f>LARGE('MD-ratings-final'!$I$34:$BF$34,'MD-ranking'!A29)</f>
        <v>6.4330698077532826</v>
      </c>
      <c r="H29" s="528">
        <f ca="1">INDEX(OFFSET('MD-ratings-final'!$I$19,'MD-ranking'!H$1-19,0,1,50),1,$B29)</f>
        <v>6.16124493273312</v>
      </c>
      <c r="I29" s="528">
        <f ca="1">INDEX(OFFSET('MD-ratings-final'!$I$19,'MD-ranking'!I$1-19,0,1,50),1,$B29)</f>
        <v>5.6552430983483912</v>
      </c>
      <c r="J29" s="528">
        <f ca="1">INDEX(OFFSET('MD-ratings-final'!$I$19,'MD-ranking'!J$1-19,0,1,50),1,$B29)</f>
        <v>4.8248244053330307</v>
      </c>
      <c r="K29" s="523">
        <f ca="1">INDEX(OFFSET('MD-ratings-final'!$I$19,'MD-ranking'!K$1-19,0,1,50),1,$B29)</f>
        <v>5.5471041454715131</v>
      </c>
      <c r="M29" s="528">
        <f ca="1">INDEX(OFFSET('MD-ratings-final'!$I$19,'MD-ranking'!M$1-19,0,1,50),1,$B29)</f>
        <v>5.6199022708467483</v>
      </c>
      <c r="N29" s="528">
        <f ca="1">INDEX(OFFSET('MD-ratings-final'!$I$19,'MD-ranking'!N$1-19,0,1,50),1,$B29)</f>
        <v>5.534198040239338</v>
      </c>
      <c r="O29" s="528">
        <f ca="1">INDEX(OFFSET('MD-ratings-final'!$I$19,'MD-ranking'!O$1-19,0,1,50),1,$B29)</f>
        <v>5.7951680522586013</v>
      </c>
      <c r="P29" s="523">
        <f ca="1">INDEX(OFFSET('MD-ratings-final'!$I$19,'MD-ranking'!P$1-19,0,1,50),1,$B29)</f>
        <v>5.6728677372900078</v>
      </c>
      <c r="R29" s="528">
        <f ca="1">INDEX(OFFSET('MD-ratings-final'!$I$19,'MD-ranking'!R$1-19,0,1,50),1,$B29)</f>
        <v>9.2891056700284107</v>
      </c>
      <c r="S29" s="528">
        <f ca="1">INDEX(OFFSET('MD-ratings-final'!$I$19,'MD-ranking'!S$1-19,0,1,50),1,$B29)</f>
        <v>7.6358233435853764</v>
      </c>
      <c r="T29" s="523">
        <f ca="1">INDEX(OFFSET('MD-ratings-final'!$I$19,'MD-ranking'!T$1-19,0,1,50),1,$B29)</f>
        <v>8.462464506806894</v>
      </c>
      <c r="V29" s="528">
        <f ca="1">INDEX(OFFSET('MD-ratings-final'!$I$19,'MD-ranking'!V$1-19,0,1,50),1,$B29)</f>
        <v>6.4288914521531053</v>
      </c>
      <c r="W29" s="528">
        <f ca="1">INDEX(OFFSET('MD-ratings-final'!$I$19,'MD-ranking'!W$1-19,0,1,50),1,$B29)</f>
        <v>4.4644833980552381</v>
      </c>
      <c r="X29" s="523">
        <f ca="1">INDEX(OFFSET('MD-ratings-final'!$I$19,'MD-ranking'!X$1-19,0,1,50),1,$B29)</f>
        <v>5.4466874251041713</v>
      </c>
      <c r="AA29" s="532">
        <f ca="1">INDEX(OFFSET('MD-ratios'!$AF$23,'MD-ranking'!AA$1-19,0,1,50),1,$B29)</f>
        <v>3.3452382716336841</v>
      </c>
      <c r="AB29" s="532">
        <f ca="1">INDEX(OFFSET('MD-ratios'!$AF$23,'MD-ranking'!AB$1-19,0,1,50),1,$B29)</f>
        <v>2.3718263787608422</v>
      </c>
      <c r="AC29" s="532">
        <f ca="1">INDEX(OFFSET('MD-ratios'!$AF$23,'MD-ranking'!AC$1-19,0,1,50),1,$B29)</f>
        <v>1.4902894228265771</v>
      </c>
      <c r="AD29" s="456"/>
      <c r="AE29" s="456">
        <f ca="1">INDEX(OFFSET('MD-ratios'!$AF$23,'MD-ranking'!AE$1-19,0,1,50),1,$B29)</f>
        <v>4.0029460715823355E-2</v>
      </c>
      <c r="AF29" s="456">
        <f ca="1">INDEX(OFFSET('MD-ratios'!$AF$23,'MD-ranking'!AF$1-19,0,1,50),1,$B29)</f>
        <v>4.3844317528767447E-2</v>
      </c>
      <c r="AG29" s="456">
        <f ca="1">INDEX(OFFSET('MD-ratios'!$AF$23,'MD-ranking'!AG$1-19,0,1,50),1,$B29)</f>
        <v>6.3672432998853709E-2</v>
      </c>
      <c r="AI29" s="456">
        <f ca="1">INDEX(OFFSET('MD-ratios'!$AF$23,'MD-ranking'!AI$1-19,0,1,50),1,$B29)</f>
        <v>2.2885287448112476E-3</v>
      </c>
      <c r="AJ29" s="456">
        <f ca="1">INDEX(OFFSET('MD-ratios'!$AF$23,'MD-ranking'!AJ$1-19,0,1,50),1,$B29)</f>
        <v>4.1424789293434697E-2</v>
      </c>
      <c r="AL29" s="456">
        <f ca="1">INDEX(OFFSET('MD-ratios'!$AF$23,'MD-ranking'!AL$1-19,0,1,50),1,$B29)</f>
        <v>5.3334705243207878</v>
      </c>
      <c r="AM29" s="456">
        <f ca="1">INDEX(OFFSET('MD-ratios'!$AF$23,'MD-ranking'!AM$1-19,0,1,50),1,$B29)</f>
        <v>14.189148974487244</v>
      </c>
    </row>
    <row r="30" spans="1:39" x14ac:dyDescent="0.25">
      <c r="A30" s="307">
        <v>19</v>
      </c>
      <c r="B30" s="525">
        <f>MATCH(C30,'MD-ratings-final'!I$1:BG$1,0)</f>
        <v>12</v>
      </c>
      <c r="C30" s="307" t="str">
        <f>INDEX('MD-ratings-final'!$I$1:$BG$1,MATCH('MD-ranking'!F30,'MD-ratings-final'!$I$34:$BF$34,0))</f>
        <v>I.S. Moldatsa</v>
      </c>
      <c r="F30" s="523">
        <f>LARGE('MD-ratings-final'!$I$34:$BF$34,'MD-ranking'!A30)</f>
        <v>6.3623185156842554</v>
      </c>
      <c r="H30" s="528">
        <f ca="1">INDEX(OFFSET('MD-ratings-final'!$I$19,'MD-ranking'!H$1-19,0,1,50),1,$B30)</f>
        <v>7.7028299306838051</v>
      </c>
      <c r="I30" s="528">
        <f ca="1">INDEX(OFFSET('MD-ratings-final'!$I$19,'MD-ranking'!I$1-19,0,1,50),1,$B30)</f>
        <v>7.6076087041352451</v>
      </c>
      <c r="J30" s="528">
        <f ca="1">INDEX(OFFSET('MD-ratings-final'!$I$19,'MD-ranking'!J$1-19,0,1,50),1,$B30)</f>
        <v>4.5066647952422461</v>
      </c>
      <c r="K30" s="523">
        <f ca="1">INDEX(OFFSET('MD-ratings-final'!$I$19,'MD-ranking'!K$1-19,0,1,50),1,$B30)</f>
        <v>6.6057011433537642</v>
      </c>
      <c r="M30" s="528">
        <f ca="1">INDEX(OFFSET('MD-ratings-final'!$I$19,'MD-ranking'!M$1-19,0,1,50),1,$B30)</f>
        <v>7.3390676989560388</v>
      </c>
      <c r="N30" s="528">
        <f ca="1">INDEX(OFFSET('MD-ratings-final'!$I$19,'MD-ranking'!N$1-19,0,1,50),1,$B30)</f>
        <v>6.6285442201315918</v>
      </c>
      <c r="O30" s="528">
        <f ca="1">INDEX(OFFSET('MD-ratings-final'!$I$19,'MD-ranking'!O$1-19,0,1,50),1,$B30)</f>
        <v>7.5857050303706668</v>
      </c>
      <c r="P30" s="523">
        <f ca="1">INDEX(OFFSET('MD-ratings-final'!$I$19,'MD-ranking'!P$1-19,0,1,50),1,$B30)</f>
        <v>7.2956179357570008</v>
      </c>
      <c r="R30" s="528">
        <f ca="1">INDEX(OFFSET('MD-ratings-final'!$I$19,'MD-ranking'!R$1-19,0,1,50),1,$B30)</f>
        <v>7.2773464604282037</v>
      </c>
      <c r="S30" s="528">
        <f ca="1">INDEX(OFFSET('MD-ratings-final'!$I$19,'MD-ranking'!S$1-19,0,1,50),1,$B30)</f>
        <v>8.8016306065012735</v>
      </c>
      <c r="T30" s="523">
        <f ca="1">INDEX(OFFSET('MD-ratings-final'!$I$19,'MD-ranking'!T$1-19,0,1,50),1,$B30)</f>
        <v>8.0394885334647395</v>
      </c>
      <c r="V30" s="528">
        <f ca="1">INDEX(OFFSET('MD-ratings-final'!$I$19,'MD-ranking'!V$1-19,0,1,50),1,$B30)</f>
        <v>3.2531301751798236</v>
      </c>
      <c r="W30" s="528">
        <f ca="1">INDEX(OFFSET('MD-ratings-final'!$I$19,'MD-ranking'!W$1-19,0,1,50),1,$B30)</f>
        <v>1.4982916834916045</v>
      </c>
      <c r="X30" s="523">
        <f ca="1">INDEX(OFFSET('MD-ratings-final'!$I$19,'MD-ranking'!X$1-19,0,1,50),1,$B30)</f>
        <v>2.3757109293357139</v>
      </c>
      <c r="AA30" s="532">
        <f ca="1">INDEX(OFFSET('MD-ratios'!$AF$23,'MD-ranking'!AA$1-19,0,1,50),1,$B30)</f>
        <v>8.2119118306340528</v>
      </c>
      <c r="AB30" s="532">
        <f ca="1">INDEX(OFFSET('MD-ratios'!$AF$23,'MD-ranking'!AB$1-19,0,1,50),1,$B30)</f>
        <v>6.6396107220667089</v>
      </c>
      <c r="AC30" s="532">
        <f ca="1">INDEX(OFFSET('MD-ratios'!$AF$23,'MD-ranking'!AC$1-19,0,1,50),1,$B30)</f>
        <v>2.9432940913549834</v>
      </c>
      <c r="AD30" s="456"/>
      <c r="AE30" s="456">
        <f ca="1">INDEX(OFFSET('MD-ratios'!$AF$23,'MD-ranking'!AE$1-19,0,1,50),1,$B30)</f>
        <v>1.2415812108830932E-2</v>
      </c>
      <c r="AF30" s="456">
        <f ca="1">INDEX(OFFSET('MD-ratios'!$AF$23,'MD-ranking'!AF$1-19,0,1,50),1,$B30)</f>
        <v>1.3143801149593593E-2</v>
      </c>
      <c r="AG30" s="456">
        <f ca="1">INDEX(OFFSET('MD-ratios'!$AF$23,'MD-ranking'!AG$1-19,0,1,50),1,$B30)</f>
        <v>1.8324646714211346E-2</v>
      </c>
      <c r="AI30" s="456">
        <f ca="1">INDEX(OFFSET('MD-ratios'!$AF$23,'MD-ranking'!AI$1-19,0,1,50),1,$B30)</f>
        <v>8.3338225067833691E-8</v>
      </c>
      <c r="AJ30" s="456">
        <f ca="1">INDEX(OFFSET('MD-ratios'!$AF$23,'MD-ranking'!AJ$1-19,0,1,50),1,$B30)</f>
        <v>5.9177863741411422E-6</v>
      </c>
      <c r="AL30" s="456">
        <f ca="1">INDEX(OFFSET('MD-ratios'!$AF$23,'MD-ranking'!AL$1-19,0,1,50),1,$B30)</f>
        <v>1.65222773549268</v>
      </c>
      <c r="AM30" s="456">
        <f ca="1">INDEX(OFFSET('MD-ratios'!$AF$23,'MD-ranking'!AM$1-19,0,1,50),1,$B30)</f>
        <v>3.2236742527674092</v>
      </c>
    </row>
    <row r="31" spans="1:39" x14ac:dyDescent="0.25">
      <c r="A31" s="307">
        <v>20</v>
      </c>
      <c r="B31" s="525">
        <f>MATCH(C31,'MD-ratings-final'!I$1:BG$1,0)</f>
        <v>18</v>
      </c>
      <c r="C31" s="307" t="str">
        <f>INDEX('MD-ratings-final'!$I$1:$BG$1,MATCH('MD-ranking'!F31,'MD-ratings-final'!$I$34:$BF$34,0))</f>
        <v>I.S. MoldData</v>
      </c>
      <c r="F31" s="523">
        <f>LARGE('MD-ratings-final'!$I$34:$BF$34,'MD-ranking'!A31)</f>
        <v>6.2098624116502803</v>
      </c>
      <c r="H31" s="528">
        <f ca="1">INDEX(OFFSET('MD-ratings-final'!$I$19,'MD-ranking'!H$1-19,0,1,50),1,$B31)</f>
        <v>2.0290565247856591</v>
      </c>
      <c r="I31" s="528">
        <f ca="1">INDEX(OFFSET('MD-ratings-final'!$I$19,'MD-ranking'!I$1-19,0,1,50),1,$B31)</f>
        <v>1.4882686637127145</v>
      </c>
      <c r="J31" s="528">
        <f ca="1">INDEX(OFFSET('MD-ratings-final'!$I$19,'MD-ranking'!J$1-19,0,1,50),1,$B31)</f>
        <v>2.0903616664647018</v>
      </c>
      <c r="K31" s="523">
        <f ca="1">INDEX(OFFSET('MD-ratings-final'!$I$19,'MD-ranking'!K$1-19,0,1,50),1,$B31)</f>
        <v>1.8692289516543583</v>
      </c>
      <c r="M31" s="528">
        <f ca="1">INDEX(OFFSET('MD-ratings-final'!$I$19,'MD-ranking'!M$1-19,0,1,50),1,$B31)</f>
        <v>7.1417752321271113</v>
      </c>
      <c r="N31" s="528">
        <f ca="1">INDEX(OFFSET('MD-ratings-final'!$I$19,'MD-ranking'!N$1-19,0,1,50),1,$B31)</f>
        <v>8.780870930499205</v>
      </c>
      <c r="O31" s="528">
        <f ca="1">INDEX(OFFSET('MD-ratings-final'!$I$19,'MD-ranking'!O$1-19,0,1,50),1,$B31)</f>
        <v>6.3961749025701504</v>
      </c>
      <c r="P31" s="523">
        <f ca="1">INDEX(OFFSET('MD-ratings-final'!$I$19,'MD-ranking'!P$1-19,0,1,50),1,$B31)</f>
        <v>7.1713542399787462</v>
      </c>
      <c r="R31" s="528">
        <f ca="1">INDEX(OFFSET('MD-ratings-final'!$I$19,'MD-ranking'!R$1-19,0,1,50),1,$B31)</f>
        <v>8.7281874236344628</v>
      </c>
      <c r="S31" s="528">
        <f ca="1">INDEX(OFFSET('MD-ratings-final'!$I$19,'MD-ranking'!S$1-19,0,1,50),1,$B31)</f>
        <v>9.3949612738195896</v>
      </c>
      <c r="T31" s="523">
        <f ca="1">INDEX(OFFSET('MD-ratings-final'!$I$19,'MD-ranking'!T$1-19,0,1,50),1,$B31)</f>
        <v>9.0615743487270262</v>
      </c>
      <c r="V31" s="528">
        <f ca="1">INDEX(OFFSET('MD-ratings-final'!$I$19,'MD-ranking'!V$1-19,0,1,50),1,$B31)</f>
        <v>3.9668095510908836</v>
      </c>
      <c r="W31" s="528">
        <f ca="1">INDEX(OFFSET('MD-ratings-final'!$I$19,'MD-ranking'!W$1-19,0,1,50),1,$B31)</f>
        <v>8.3456335401480803</v>
      </c>
      <c r="X31" s="523">
        <f ca="1">INDEX(OFFSET('MD-ratings-final'!$I$19,'MD-ranking'!X$1-19,0,1,50),1,$B31)</f>
        <v>6.1562215456194824</v>
      </c>
      <c r="AA31" s="532">
        <f ca="1">INDEX(OFFSET('MD-ratios'!$AF$23,'MD-ranking'!AA$1-19,0,1,50),1,$B31)</f>
        <v>0.38162954335496352</v>
      </c>
      <c r="AB31" s="532">
        <f ca="1">INDEX(OFFSET('MD-ratios'!$AF$23,'MD-ranking'!AB$1-19,0,1,50),1,$B31)</f>
        <v>0.25279274371166682</v>
      </c>
      <c r="AC31" s="532">
        <f ca="1">INDEX(OFFSET('MD-ratios'!$AF$23,'MD-ranking'!AC$1-19,0,1,50),1,$B31)</f>
        <v>0.2133468245037122</v>
      </c>
      <c r="AD31" s="456"/>
      <c r="AE31" s="456">
        <f ca="1">INDEX(OFFSET('MD-ratios'!$AF$23,'MD-ranking'!AE$1-19,0,1,50),1,$B31)</f>
        <v>1.0516170177481982E-2</v>
      </c>
      <c r="AF31" s="456">
        <f ca="1">INDEX(OFFSET('MD-ratios'!$AF$23,'MD-ranking'!AF$1-19,0,1,50),1,$B31)</f>
        <v>9.0699006208577473E-2</v>
      </c>
      <c r="AG31" s="456">
        <f ca="1">INDEX(OFFSET('MD-ratios'!$AF$23,'MD-ranking'!AG$1-19,0,1,50),1,$B31)</f>
        <v>7.0533159671136722E-3</v>
      </c>
      <c r="AI31" s="456">
        <f ca="1">INDEX(OFFSET('MD-ratios'!$AF$23,'MD-ranking'!AI$1-19,0,1,50),1,$B31)</f>
        <v>1.8168129164491166E-3</v>
      </c>
      <c r="AJ31" s="456">
        <f ca="1">INDEX(OFFSET('MD-ratios'!$AF$23,'MD-ranking'!AJ$1-19,0,1,50),1,$B31)</f>
        <v>7.9887564440504794E-2</v>
      </c>
      <c r="AL31" s="456">
        <f ca="1">INDEX(OFFSET('MD-ratios'!$AF$23,'MD-ranking'!AL$1-19,0,1,50),1,$B31)</f>
        <v>-2.7230353510973351</v>
      </c>
      <c r="AM31" s="456">
        <f ca="1">INDEX(OFFSET('MD-ratios'!$AF$23,'MD-ranking'!AM$1-19,0,1,50),1,$B31)</f>
        <v>42.687422357724522</v>
      </c>
    </row>
    <row r="32" spans="1:39" x14ac:dyDescent="0.25">
      <c r="A32" s="307">
        <v>21</v>
      </c>
      <c r="B32" s="525">
        <f>MATCH(C32,'MD-ratings-final'!I$1:BG$1,0)</f>
        <v>24</v>
      </c>
      <c r="C32" s="307" t="str">
        <f>INDEX('MD-ratings-final'!$I$1:$BG$1,MATCH('MD-ranking'!F32,'MD-ratings-final'!$I$34:$BF$34,0))</f>
        <v>I.S. Posta Moldovei</v>
      </c>
      <c r="F32" s="523">
        <f>LARGE('MD-ratings-final'!$I$34:$BF$34,'MD-ranking'!A32)</f>
        <v>5.9625800911859823</v>
      </c>
      <c r="H32" s="528">
        <f ca="1">INDEX(OFFSET('MD-ratings-final'!$I$19,'MD-ranking'!H$1-19,0,1,50),1,$B32)</f>
        <v>3.7668961013536975</v>
      </c>
      <c r="I32" s="528">
        <f ca="1">INDEX(OFFSET('MD-ratings-final'!$I$19,'MD-ranking'!I$1-19,0,1,50),1,$B32)</f>
        <v>3.3451850819807327</v>
      </c>
      <c r="J32" s="528">
        <f ca="1">INDEX(OFFSET('MD-ratings-final'!$I$19,'MD-ranking'!J$1-19,0,1,50),1,$B32)</f>
        <v>3.7826871907028283</v>
      </c>
      <c r="K32" s="523">
        <f ca="1">INDEX(OFFSET('MD-ratings-final'!$I$19,'MD-ranking'!K$1-19,0,1,50),1,$B32)</f>
        <v>3.6315894580124191</v>
      </c>
      <c r="M32" s="528">
        <f ca="1">INDEX(OFFSET('MD-ratings-final'!$I$19,'MD-ranking'!M$1-19,0,1,50),1,$B32)</f>
        <v>7.6077803382244271</v>
      </c>
      <c r="N32" s="528">
        <f ca="1">INDEX(OFFSET('MD-ratings-final'!$I$19,'MD-ranking'!N$1-19,0,1,50),1,$B32)</f>
        <v>8.5607513535749753</v>
      </c>
      <c r="O32" s="528">
        <f ca="1">INDEX(OFFSET('MD-ratings-final'!$I$19,'MD-ranking'!O$1-19,0,1,50),1,$B32)</f>
        <v>6.9962628697016873</v>
      </c>
      <c r="P32" s="523">
        <f ca="1">INDEX(OFFSET('MD-ratings-final'!$I$19,'MD-ranking'!P$1-19,0,1,50),1,$B32)</f>
        <v>7.5537675538854412</v>
      </c>
      <c r="R32" s="528">
        <f ca="1">INDEX(OFFSET('MD-ratings-final'!$I$19,'MD-ranking'!R$1-19,0,1,50),1,$B32)</f>
        <v>4.9073973657727521</v>
      </c>
      <c r="S32" s="528">
        <f ca="1">INDEX(OFFSET('MD-ratings-final'!$I$19,'MD-ranking'!S$1-19,0,1,50),1,$B32)</f>
        <v>7.0818611238416542</v>
      </c>
      <c r="T32" s="523">
        <f ca="1">INDEX(OFFSET('MD-ratings-final'!$I$19,'MD-ranking'!T$1-19,0,1,50),1,$B32)</f>
        <v>5.9946292448072027</v>
      </c>
      <c r="V32" s="528">
        <f ca="1">INDEX(OFFSET('MD-ratings-final'!$I$19,'MD-ranking'!V$1-19,0,1,50),1,$B32)</f>
        <v>9.5731524633567968</v>
      </c>
      <c r="W32" s="528">
        <f ca="1">INDEX(OFFSET('MD-ratings-final'!$I$19,'MD-ranking'!W$1-19,0,1,50),1,$B32)</f>
        <v>4.1053681843367649</v>
      </c>
      <c r="X32" s="523">
        <f ca="1">INDEX(OFFSET('MD-ratings-final'!$I$19,'MD-ranking'!X$1-19,0,1,50),1,$B32)</f>
        <v>6.8392603238467808</v>
      </c>
      <c r="AA32" s="532">
        <f ca="1">INDEX(OFFSET('MD-ratios'!$AF$23,'MD-ranking'!AA$1-19,0,1,50),1,$B32)</f>
        <v>0.93320620094632956</v>
      </c>
      <c r="AB32" s="532">
        <f ca="1">INDEX(OFFSET('MD-ratios'!$AF$23,'MD-ranking'!AB$1-19,0,1,50),1,$B32)</f>
        <v>0.64278997786479375</v>
      </c>
      <c r="AC32" s="532">
        <f ca="1">INDEX(OFFSET('MD-ratios'!$AF$23,'MD-ranking'!AC$1-19,0,1,50),1,$B32)</f>
        <v>0.53308728232760416</v>
      </c>
      <c r="AD32" s="456"/>
      <c r="AE32" s="456">
        <f ca="1">INDEX(OFFSET('MD-ratios'!$AF$23,'MD-ranking'!AE$1-19,0,1,50),1,$B32)</f>
        <v>3.3359926137346188E-2</v>
      </c>
      <c r="AF32" s="456">
        <f ca="1">INDEX(OFFSET('MD-ratios'!$AF$23,'MD-ranking'!AF$1-19,0,1,50),1,$B32)</f>
        <v>0.14036232838134388</v>
      </c>
      <c r="AG32" s="456">
        <f ca="1">INDEX(OFFSET('MD-ratios'!$AF$23,'MD-ranking'!AG$1-19,0,1,50),1,$B32)</f>
        <v>2.701851846425507E-2</v>
      </c>
      <c r="AI32" s="456">
        <f ca="1">INDEX(OFFSET('MD-ratios'!$AF$23,'MD-ranking'!AI$1-19,0,1,50),1,$B32)</f>
        <v>4.9656951114459925E-2</v>
      </c>
      <c r="AJ32" s="456">
        <f ca="1">INDEX(OFFSET('MD-ratios'!$AF$23,'MD-ranking'!AJ$1-19,0,1,50),1,$B32)</f>
        <v>1.2536667084379083</v>
      </c>
      <c r="AL32" s="456">
        <f ca="1">INDEX(OFFSET('MD-ratios'!$AF$23,'MD-ranking'!AL$1-19,0,1,50),1,$B32)</f>
        <v>-25.505010657317438</v>
      </c>
      <c r="AM32" s="456">
        <f ca="1">INDEX(OFFSET('MD-ratios'!$AF$23,'MD-ranking'!AM$1-19,0,1,50),1,$B32)</f>
        <v>15.529030971978866</v>
      </c>
    </row>
    <row r="33" spans="1:39" x14ac:dyDescent="0.25">
      <c r="A33" s="307">
        <v>22</v>
      </c>
      <c r="B33" s="525">
        <f>MATCH(C33,'MD-ratings-final'!I$1:BG$1,0)</f>
        <v>39</v>
      </c>
      <c r="C33" s="307" t="str">
        <f>INDEX('MD-ratings-final'!$I$1:$BG$1,MATCH('MD-ranking'!F33,'MD-ratings-final'!$I$34:$BF$34,0))</f>
        <v>I.S Casa Presei</v>
      </c>
      <c r="F33" s="523">
        <f>LARGE('MD-ratings-final'!$I$34:$BF$34,'MD-ranking'!A33)</f>
        <v>5.9317355370538047</v>
      </c>
      <c r="H33" s="528">
        <f ca="1">INDEX(OFFSET('MD-ratings-final'!$I$19,'MD-ranking'!H$1-19,0,1,50),1,$B33)</f>
        <v>2.0791341024131325</v>
      </c>
      <c r="I33" s="528">
        <f ca="1">INDEX(OFFSET('MD-ratings-final'!$I$19,'MD-ranking'!I$1-19,0,1,50),1,$B33)</f>
        <v>0.73315627769469849</v>
      </c>
      <c r="J33" s="528">
        <f ca="1">INDEX(OFFSET('MD-ratings-final'!$I$19,'MD-ranking'!J$1-19,0,1,50),1,$B33)</f>
        <v>0.24790015219005396</v>
      </c>
      <c r="K33" s="523">
        <f ca="1">INDEX(OFFSET('MD-ratings-final'!$I$19,'MD-ranking'!K$1-19,0,1,50),1,$B33)</f>
        <v>1.0200635107659615</v>
      </c>
      <c r="M33" s="528">
        <f ca="1">INDEX(OFFSET('MD-ratings-final'!$I$19,'MD-ranking'!M$1-19,0,1,50),1,$B33)</f>
        <v>7.8907728088678324</v>
      </c>
      <c r="N33" s="528">
        <f ca="1">INDEX(OFFSET('MD-ratings-final'!$I$19,'MD-ranking'!N$1-19,0,1,50),1,$B33)</f>
        <v>7.0345100734303037</v>
      </c>
      <c r="O33" s="528">
        <f ca="1">INDEX(OFFSET('MD-ratings-final'!$I$19,'MD-ranking'!O$1-19,0,1,50),1,$B33)</f>
        <v>8.9654411533742557</v>
      </c>
      <c r="P33" s="523">
        <f ca="1">INDEX(OFFSET('MD-ratings-final'!$I$19,'MD-ranking'!P$1-19,0,1,50),1,$B33)</f>
        <v>8.1493875995828979</v>
      </c>
      <c r="R33" s="528">
        <f ca="1">INDEX(OFFSET('MD-ratings-final'!$I$19,'MD-ranking'!R$1-19,0,1,50),1,$B33)</f>
        <v>8.7752753584741416</v>
      </c>
      <c r="S33" s="528">
        <f ca="1">INDEX(OFFSET('MD-ratings-final'!$I$19,'MD-ranking'!S$1-19,0,1,50),1,$B33)</f>
        <v>9.2953419606261996</v>
      </c>
      <c r="T33" s="523">
        <f ca="1">INDEX(OFFSET('MD-ratings-final'!$I$19,'MD-ranking'!T$1-19,0,1,50),1,$B33)</f>
        <v>9.0353086595501697</v>
      </c>
      <c r="V33" s="528">
        <f ca="1">INDEX(OFFSET('MD-ratings-final'!$I$19,'MD-ranking'!V$1-19,0,1,50),1,$B33)</f>
        <v>5.8085387024867758</v>
      </c>
      <c r="W33" s="528">
        <f ca="1">INDEX(OFFSET('MD-ratings-final'!$I$19,'MD-ranking'!W$1-19,0,1,50),1,$B33)</f>
        <v>3.4792629135286108</v>
      </c>
      <c r="X33" s="523">
        <f ca="1">INDEX(OFFSET('MD-ratings-final'!$I$19,'MD-ranking'!X$1-19,0,1,50),1,$B33)</f>
        <v>4.6439008080076931</v>
      </c>
      <c r="AA33" s="532">
        <f ca="1">INDEX(OFFSET('MD-ratios'!$AF$23,'MD-ranking'!AA$1-19,0,1,50),1,$B33)</f>
        <v>0.26760023883825468</v>
      </c>
      <c r="AB33" s="532">
        <f ca="1">INDEX(OFFSET('MD-ratios'!$AF$23,'MD-ranking'!AB$1-19,0,1,50),1,$B33)</f>
        <v>0.18046370672464879</v>
      </c>
      <c r="AC33" s="532">
        <f ca="1">INDEX(OFFSET('MD-ratios'!$AF$23,'MD-ranking'!AC$1-19,0,1,50),1,$B33)</f>
        <v>7.9312326081813368E-3</v>
      </c>
      <c r="AD33" s="456"/>
      <c r="AE33" s="456">
        <f ca="1">INDEX(OFFSET('MD-ratios'!$AF$23,'MD-ranking'!AE$1-19,0,1,50),1,$B33)</f>
        <v>1.8848550177012129E-2</v>
      </c>
      <c r="AF33" s="456">
        <f ca="1">INDEX(OFFSET('MD-ratios'!$AF$23,'MD-ranking'!AF$1-19,0,1,50),1,$B33)</f>
        <v>2.0586274672487834E-2</v>
      </c>
      <c r="AG33" s="456">
        <f ca="1">INDEX(OFFSET('MD-ratios'!$AF$23,'MD-ranking'!AG$1-19,0,1,50),1,$B33)</f>
        <v>5.8353878093878743E-2</v>
      </c>
      <c r="AI33" s="456">
        <f ca="1">INDEX(OFFSET('MD-ratios'!$AF$23,'MD-ranking'!AI$1-19,0,1,50),1,$B33)</f>
        <v>8.799744686907477E-3</v>
      </c>
      <c r="AJ33" s="456">
        <f ca="1">INDEX(OFFSET('MD-ratios'!$AF$23,'MD-ranking'!AJ$1-19,0,1,50),1,$B33)</f>
        <v>0.30626633440709899</v>
      </c>
      <c r="AL33" s="456">
        <f ca="1">INDEX(OFFSET('MD-ratios'!$AF$23,'MD-ranking'!AL$1-19,0,1,50),1,$B33)</f>
        <v>-5.6801261344408553</v>
      </c>
      <c r="AM33" s="456">
        <f ca="1">INDEX(OFFSET('MD-ratios'!$AF$23,'MD-ranking'!AM$1-19,0,1,50),1,$B33)</f>
        <v>24.11211596852656</v>
      </c>
    </row>
    <row r="34" spans="1:39" x14ac:dyDescent="0.25">
      <c r="A34" s="307">
        <v>23</v>
      </c>
      <c r="B34" s="525">
        <f>MATCH(C34,'MD-ratings-final'!I$1:BG$1,0)</f>
        <v>19</v>
      </c>
      <c r="C34" s="307" t="str">
        <f>INDEX('MD-ratings-final'!$I$1:$BG$1,MATCH('MD-ranking'!F34,'MD-ratings-final'!$I$34:$BF$34,0))</f>
        <v>I.S. C.Telecomunicatii Speciale</v>
      </c>
      <c r="F34" s="523">
        <f>LARGE('MD-ratings-final'!$I$34:$BF$34,'MD-ranking'!A34)</f>
        <v>5.9224905976712936</v>
      </c>
      <c r="H34" s="528">
        <f ca="1">INDEX(OFFSET('MD-ratings-final'!$I$19,'MD-ranking'!H$1-19,0,1,50),1,$B34)</f>
        <v>6.9473224109228919</v>
      </c>
      <c r="I34" s="528">
        <f ca="1">INDEX(OFFSET('MD-ratings-final'!$I$19,'MD-ranking'!I$1-19,0,1,50),1,$B34)</f>
        <v>6.7691493862073759</v>
      </c>
      <c r="J34" s="528">
        <f ca="1">INDEX(OFFSET('MD-ratings-final'!$I$19,'MD-ranking'!J$1-19,0,1,50),1,$B34)</f>
        <v>4.7727660168172097</v>
      </c>
      <c r="K34" s="523">
        <f ca="1">INDEX(OFFSET('MD-ratings-final'!$I$19,'MD-ranking'!K$1-19,0,1,50),1,$B34)</f>
        <v>6.1630792713158256</v>
      </c>
      <c r="M34" s="528">
        <f ca="1">INDEX(OFFSET('MD-ratings-final'!$I$19,'MD-ranking'!M$1-19,0,1,50),1,$B34)</f>
        <v>6.0866843615568422</v>
      </c>
      <c r="N34" s="528">
        <f ca="1">INDEX(OFFSET('MD-ratings-final'!$I$19,'MD-ranking'!N$1-19,0,1,50),1,$B34)</f>
        <v>5.7012238771469201</v>
      </c>
      <c r="O34" s="528">
        <f ca="1">INDEX(OFFSET('MD-ratings-final'!$I$19,'MD-ranking'!O$1-19,0,1,50),1,$B34)</f>
        <v>6.2002676365743197</v>
      </c>
      <c r="P34" s="523">
        <f ca="1">INDEX(OFFSET('MD-ratings-final'!$I$19,'MD-ranking'!P$1-19,0,1,50),1,$B34)</f>
        <v>6.0550255746818493</v>
      </c>
      <c r="R34" s="528">
        <f ca="1">INDEX(OFFSET('MD-ratings-final'!$I$19,'MD-ranking'!R$1-19,0,1,50),1,$B34)</f>
        <v>8.0029113896986015</v>
      </c>
      <c r="S34" s="528">
        <f ca="1">INDEX(OFFSET('MD-ratings-final'!$I$19,'MD-ranking'!S$1-19,0,1,50),1,$B34)</f>
        <v>6.7769444669379855</v>
      </c>
      <c r="T34" s="523">
        <f ca="1">INDEX(OFFSET('MD-ratings-final'!$I$19,'MD-ranking'!T$1-19,0,1,50),1,$B34)</f>
        <v>7.3899279283182935</v>
      </c>
      <c r="V34" s="528">
        <f ca="1">INDEX(OFFSET('MD-ratings-final'!$I$19,'MD-ranking'!V$1-19,0,1,50),1,$B34)</f>
        <v>4.217698412704026</v>
      </c>
      <c r="W34" s="528">
        <f ca="1">INDEX(OFFSET('MD-ratings-final'!$I$19,'MD-ranking'!W$1-19,0,1,50),1,$B34)</f>
        <v>2.2921616640598432</v>
      </c>
      <c r="X34" s="523">
        <f ca="1">INDEX(OFFSET('MD-ratings-final'!$I$19,'MD-ranking'!X$1-19,0,1,50),1,$B34)</f>
        <v>3.2549300383819344</v>
      </c>
      <c r="AA34" s="532">
        <f ca="1">INDEX(OFFSET('MD-ratios'!$AF$23,'MD-ranking'!AA$1-19,0,1,50),1,$B34)</f>
        <v>3.9144080394233121</v>
      </c>
      <c r="AB34" s="532">
        <f ca="1">INDEX(OFFSET('MD-ratios'!$AF$23,'MD-ranking'!AB$1-19,0,1,50),1,$B34)</f>
        <v>3.4270541872409184</v>
      </c>
      <c r="AC34" s="532">
        <f ca="1">INDEX(OFFSET('MD-ratios'!$AF$23,'MD-ranking'!AC$1-19,0,1,50),1,$B34)</f>
        <v>0.81567488315879622</v>
      </c>
      <c r="AD34" s="456"/>
      <c r="AE34" s="456">
        <f ca="1">INDEX(OFFSET('MD-ratios'!$AF$23,'MD-ranking'!AE$1-19,0,1,50),1,$B34)</f>
        <v>1.1740622702645309E-2</v>
      </c>
      <c r="AF34" s="456">
        <f ca="1">INDEX(OFFSET('MD-ratios'!$AF$23,'MD-ranking'!AF$1-19,0,1,50),1,$B34)</f>
        <v>1.3205587834665126E-2</v>
      </c>
      <c r="AG34" s="456">
        <f ca="1">INDEX(OFFSET('MD-ratios'!$AF$23,'MD-ranking'!AG$1-19,0,1,50),1,$B34)</f>
        <v>1.812433925535446E-2</v>
      </c>
      <c r="AI34" s="456">
        <f ca="1">INDEX(OFFSET('MD-ratios'!$AF$23,'MD-ranking'!AI$1-19,0,1,50),1,$B34)</f>
        <v>9.4034148171363678E-3</v>
      </c>
      <c r="AJ34" s="456">
        <f ca="1">INDEX(OFFSET('MD-ratios'!$AF$23,'MD-ranking'!AJ$1-19,0,1,50),1,$B34)</f>
        <v>0.5658001152459925</v>
      </c>
      <c r="AL34" s="456">
        <f ca="1">INDEX(OFFSET('MD-ratios'!$AF$23,'MD-ranking'!AL$1-19,0,1,50),1,$B34)</f>
        <v>2.0301988903624237</v>
      </c>
      <c r="AM34" s="456">
        <f ca="1">INDEX(OFFSET('MD-ratios'!$AF$23,'MD-ranking'!AM$1-19,0,1,50),1,$B34)</f>
        <v>2.2657864977528606</v>
      </c>
    </row>
    <row r="35" spans="1:39" x14ac:dyDescent="0.25">
      <c r="A35" s="307">
        <v>24</v>
      </c>
      <c r="B35" s="525">
        <f>MATCH(C35,'MD-ratings-final'!I$1:BG$1,0)</f>
        <v>50</v>
      </c>
      <c r="C35" s="307" t="str">
        <f>INDEX('MD-ratings-final'!$I$1:$BG$1,MATCH('MD-ranking'!F35,'MD-ratings-final'!$I$34:$BF$34,0))</f>
        <v>S.A. Drumuri Ialoveni</v>
      </c>
      <c r="F35" s="523">
        <f>LARGE('MD-ratings-final'!$I$34:$BF$34,'MD-ranking'!A35)</f>
        <v>5.858674226314359</v>
      </c>
      <c r="H35" s="528">
        <f ca="1">INDEX(OFFSET('MD-ratings-final'!$I$19,'MD-ranking'!H$1-19,0,1,50),1,$B35)</f>
        <v>5.3873714977911424</v>
      </c>
      <c r="I35" s="528">
        <f ca="1">INDEX(OFFSET('MD-ratings-final'!$I$19,'MD-ranking'!I$1-19,0,1,50),1,$B35)</f>
        <v>3.2230376235790081</v>
      </c>
      <c r="J35" s="528">
        <f ca="1">INDEX(OFFSET('MD-ratings-final'!$I$19,'MD-ranking'!J$1-19,0,1,50),1,$B35)</f>
        <v>2.3075027193244884</v>
      </c>
      <c r="K35" s="523">
        <f ca="1">INDEX(OFFSET('MD-ratings-final'!$I$19,'MD-ranking'!K$1-19,0,1,50),1,$B35)</f>
        <v>3.6393039468982127</v>
      </c>
      <c r="M35" s="528">
        <f ca="1">INDEX(OFFSET('MD-ratings-final'!$I$19,'MD-ranking'!M$1-19,0,1,50),1,$B35)</f>
        <v>5.7664511408666277</v>
      </c>
      <c r="N35" s="528">
        <f ca="1">INDEX(OFFSET('MD-ratings-final'!$I$19,'MD-ranking'!N$1-19,0,1,50),1,$B35)</f>
        <v>5.5054657588971425</v>
      </c>
      <c r="O35" s="528">
        <f ca="1">INDEX(OFFSET('MD-ratings-final'!$I$19,'MD-ranking'!O$1-19,0,1,50),1,$B35)</f>
        <v>5.5936617012910705</v>
      </c>
      <c r="P35" s="523">
        <f ca="1">INDEX(OFFSET('MD-ratings-final'!$I$19,'MD-ranking'!P$1-19,0,1,50),1,$B35)</f>
        <v>5.6451382886425074</v>
      </c>
      <c r="R35" s="528">
        <f ca="1">INDEX(OFFSET('MD-ratings-final'!$I$19,'MD-ranking'!R$1-19,0,1,50),1,$B35)</f>
        <v>9.2036254944940215</v>
      </c>
      <c r="S35" s="528">
        <f ca="1">INDEX(OFFSET('MD-ratings-final'!$I$19,'MD-ranking'!S$1-19,0,1,50),1,$B35)</f>
        <v>8.0598455792257973</v>
      </c>
      <c r="T35" s="523">
        <f ca="1">INDEX(OFFSET('MD-ratings-final'!$I$19,'MD-ranking'!T$1-19,0,1,50),1,$B35)</f>
        <v>8.6317355368599102</v>
      </c>
      <c r="V35" s="528">
        <f ca="1">INDEX(OFFSET('MD-ratings-final'!$I$19,'MD-ranking'!V$1-19,0,1,50),1,$B35)</f>
        <v>5.0789497810765898</v>
      </c>
      <c r="W35" s="528">
        <f ca="1">INDEX(OFFSET('MD-ratings-final'!$I$19,'MD-ranking'!W$1-19,0,1,50),1,$B35)</f>
        <v>4.4014802826354682</v>
      </c>
      <c r="X35" s="523">
        <f ca="1">INDEX(OFFSET('MD-ratings-final'!$I$19,'MD-ranking'!X$1-19,0,1,50),1,$B35)</f>
        <v>4.740215031856029</v>
      </c>
      <c r="AA35" s="532">
        <f ca="1">INDEX(OFFSET('MD-ratios'!$AF$23,'MD-ranking'!AA$1-19,0,1,50),1,$B35)</f>
        <v>1.841648120800444</v>
      </c>
      <c r="AB35" s="532">
        <f ca="1">INDEX(OFFSET('MD-ratios'!$AF$23,'MD-ranking'!AB$1-19,0,1,50),1,$B35)</f>
        <v>0.34765236099226776</v>
      </c>
      <c r="AC35" s="532">
        <f ca="1">INDEX(OFFSET('MD-ratios'!$AF$23,'MD-ranking'!AC$1-19,0,1,50),1,$B35)</f>
        <v>0.17680986600298995</v>
      </c>
      <c r="AD35" s="456"/>
      <c r="AE35" s="456">
        <f ca="1">INDEX(OFFSET('MD-ratios'!$AF$23,'MD-ranking'!AE$1-19,0,1,50),1,$B35)</f>
        <v>3.8794904602463369E-3</v>
      </c>
      <c r="AF35" s="456">
        <f ca="1">INDEX(OFFSET('MD-ratios'!$AF$23,'MD-ranking'!AF$1-19,0,1,50),1,$B35)</f>
        <v>5.3378353166106656E-3</v>
      </c>
      <c r="AG35" s="456">
        <f ca="1">INDEX(OFFSET('MD-ratios'!$AF$23,'MD-ranking'!AG$1-19,0,1,50),1,$B35)</f>
        <v>4.7992377326492325E-3</v>
      </c>
      <c r="AI35" s="456">
        <f ca="1">INDEX(OFFSET('MD-ratios'!$AF$23,'MD-ranking'!AI$1-19,0,1,50),1,$B35)</f>
        <v>2.8916914695279218E-3</v>
      </c>
      <c r="AJ35" s="456">
        <f ca="1">INDEX(OFFSET('MD-ratios'!$AF$23,'MD-ranking'!AJ$1-19,0,1,50),1,$B35)</f>
        <v>0.74643192996180185</v>
      </c>
      <c r="AL35" s="456">
        <f ca="1">INDEX(OFFSET('MD-ratios'!$AF$23,'MD-ranking'!AL$1-19,0,1,50),1,$B35)</f>
        <v>3.3807900609962465</v>
      </c>
      <c r="AM35" s="456">
        <f ca="1">INDEX(OFFSET('MD-ratios'!$AF$23,'MD-ranking'!AM$1-19,0,1,50),1,$B35)</f>
        <v>16.655315188629686</v>
      </c>
    </row>
    <row r="36" spans="1:39" x14ac:dyDescent="0.25">
      <c r="A36" s="307">
        <v>25</v>
      </c>
      <c r="B36" s="525">
        <f>MATCH(C36,'MD-ratings-final'!I$1:BG$1,0)</f>
        <v>43</v>
      </c>
      <c r="C36" s="307" t="str">
        <f>INDEX('MD-ratings-final'!$I$1:$BG$1,MATCH('MD-ranking'!F36,'MD-ratings-final'!$I$34:$BF$34,0))</f>
        <v>I.S. Indal Proiect</v>
      </c>
      <c r="F36" s="523">
        <f>LARGE('MD-ratings-final'!$I$34:$BF$34,'MD-ranking'!A36)</f>
        <v>5.8454319123818115</v>
      </c>
      <c r="H36" s="528">
        <f ca="1">INDEX(OFFSET('MD-ratings-final'!$I$19,'MD-ranking'!H$1-19,0,1,50),1,$B36)</f>
        <v>4.4118605267746904</v>
      </c>
      <c r="I36" s="528">
        <f ca="1">INDEX(OFFSET('MD-ratings-final'!$I$19,'MD-ranking'!I$1-19,0,1,50),1,$B36)</f>
        <v>3.6958940465219805</v>
      </c>
      <c r="J36" s="528">
        <f ca="1">INDEX(OFFSET('MD-ratings-final'!$I$19,'MD-ranking'!J$1-19,0,1,50),1,$B36)</f>
        <v>0.73947088474706213</v>
      </c>
      <c r="K36" s="523">
        <f ca="1">INDEX(OFFSET('MD-ratings-final'!$I$19,'MD-ranking'!K$1-19,0,1,50),1,$B36)</f>
        <v>2.9490751526812442</v>
      </c>
      <c r="M36" s="528">
        <f ca="1">INDEX(OFFSET('MD-ratings-final'!$I$19,'MD-ranking'!M$1-19,0,1,50),1,$B36)</f>
        <v>7.2175313140430699</v>
      </c>
      <c r="N36" s="528">
        <f ca="1">INDEX(OFFSET('MD-ratings-final'!$I$19,'MD-ranking'!N$1-19,0,1,50),1,$B36)</f>
        <v>7.5842749618489167</v>
      </c>
      <c r="O36" s="528">
        <f ca="1">INDEX(OFFSET('MD-ratings-final'!$I$19,'MD-ranking'!O$1-19,0,1,50),1,$B36)</f>
        <v>6.1833847824976811</v>
      </c>
      <c r="P36" s="523">
        <f ca="1">INDEX(OFFSET('MD-ratings-final'!$I$19,'MD-ranking'!P$1-19,0,1,50),1,$B36)</f>
        <v>6.8772214309860846</v>
      </c>
      <c r="R36" s="528">
        <f ca="1">INDEX(OFFSET('MD-ratings-final'!$I$19,'MD-ranking'!R$1-19,0,1,50),1,$B36)</f>
        <v>7.739361227346528</v>
      </c>
      <c r="S36" s="528">
        <f ca="1">INDEX(OFFSET('MD-ratings-final'!$I$19,'MD-ranking'!S$1-19,0,1,50),1,$B36)</f>
        <v>8.4846664088601376</v>
      </c>
      <c r="T36" s="523">
        <f ca="1">INDEX(OFFSET('MD-ratings-final'!$I$19,'MD-ranking'!T$1-19,0,1,50),1,$B36)</f>
        <v>8.1120138181033319</v>
      </c>
      <c r="V36" s="528">
        <f ca="1">INDEX(OFFSET('MD-ratings-final'!$I$19,'MD-ranking'!V$1-19,0,1,50),1,$B36)</f>
        <v>7.3411749418905767</v>
      </c>
      <c r="W36" s="528">
        <f ca="1">INDEX(OFFSET('MD-ratings-final'!$I$19,'MD-ranking'!W$1-19,0,1,50),1,$B36)</f>
        <v>2.2113612684492217</v>
      </c>
      <c r="X36" s="523">
        <f ca="1">INDEX(OFFSET('MD-ratings-final'!$I$19,'MD-ranking'!X$1-19,0,1,50),1,$B36)</f>
        <v>4.7762681051698994</v>
      </c>
      <c r="AA36" s="532">
        <f ca="1">INDEX(OFFSET('MD-ratios'!$AF$23,'MD-ranking'!AA$1-19,0,1,50),1,$B36)</f>
        <v>1.305197944720708</v>
      </c>
      <c r="AB36" s="532">
        <f ca="1">INDEX(OFFSET('MD-ratios'!$AF$23,'MD-ranking'!AB$1-19,0,1,50),1,$B36)</f>
        <v>0.83611445589330191</v>
      </c>
      <c r="AC36" s="532">
        <f ca="1">INDEX(OFFSET('MD-ratios'!$AF$23,'MD-ranking'!AC$1-19,0,1,50),1,$B36)</f>
        <v>7.7688821891114318E-3</v>
      </c>
      <c r="AD36" s="456"/>
      <c r="AE36" s="456">
        <f ca="1">INDEX(OFFSET('MD-ratios'!$AF$23,'MD-ranking'!AE$1-19,0,1,50),1,$B36)</f>
        <v>2.1416477046560401E-2</v>
      </c>
      <c r="AF36" s="456">
        <f ca="1">INDEX(OFFSET('MD-ratios'!$AF$23,'MD-ranking'!AF$1-19,0,1,50),1,$B36)</f>
        <v>6.0708331228211995E-2</v>
      </c>
      <c r="AG36" s="456">
        <f ca="1">INDEX(OFFSET('MD-ratios'!$AF$23,'MD-ranking'!AG$1-19,0,1,50),1,$B36)</f>
        <v>1.0300988435391645E-2</v>
      </c>
      <c r="AI36" s="456">
        <f ca="1">INDEX(OFFSET('MD-ratios'!$AF$23,'MD-ranking'!AI$1-19,0,1,50),1,$B36)</f>
        <v>1.1775260071649665E-2</v>
      </c>
      <c r="AJ36" s="456">
        <f ca="1">INDEX(OFFSET('MD-ratios'!$AF$23,'MD-ranking'!AJ$1-19,0,1,50),1,$B36)</f>
        <v>0.47242217666968583</v>
      </c>
      <c r="AL36" s="456">
        <f ca="1">INDEX(OFFSET('MD-ratios'!$AF$23,'MD-ranking'!AL$1-19,0,1,50),1,$B36)</f>
        <v>10.539492943493739</v>
      </c>
      <c r="AM36" s="456">
        <f ca="1">INDEX(OFFSET('MD-ratios'!$AF$23,'MD-ranking'!AM$1-19,0,1,50),1,$B36)</f>
        <v>3.8832000639160569</v>
      </c>
    </row>
    <row r="37" spans="1:39" x14ac:dyDescent="0.25">
      <c r="A37" s="307">
        <v>26</v>
      </c>
      <c r="B37" s="525">
        <f>MATCH(C37,'MD-ratings-final'!I$1:BG$1,0)</f>
        <v>33</v>
      </c>
      <c r="C37" s="307" t="str">
        <f>INDEX('MD-ratings-final'!$I$1:$BG$1,MATCH('MD-ranking'!F37,'MD-ratings-final'!$I$34:$BF$34,0))</f>
        <v>Dir. Corp Diplomatic</v>
      </c>
      <c r="F37" s="523">
        <f>LARGE('MD-ratings-final'!$I$34:$BF$34,'MD-ranking'!A37)</f>
        <v>5.5028517067984231</v>
      </c>
      <c r="H37" s="528">
        <f ca="1">INDEX(OFFSET('MD-ratings-final'!$I$19,'MD-ranking'!H$1-19,0,1,50),1,$B37)</f>
        <v>9.3542059640644908</v>
      </c>
      <c r="I37" s="528">
        <f ca="1">INDEX(OFFSET('MD-ratings-final'!$I$19,'MD-ranking'!I$1-19,0,1,50),1,$B37)</f>
        <v>9.2407043950290699</v>
      </c>
      <c r="J37" s="528">
        <f ca="1">INDEX(OFFSET('MD-ratings-final'!$I$19,'MD-ranking'!J$1-19,0,1,50),1,$B37)</f>
        <v>9.5699910401120682</v>
      </c>
      <c r="K37" s="523">
        <f ca="1">INDEX(OFFSET('MD-ratings-final'!$I$19,'MD-ranking'!K$1-19,0,1,50),1,$B37)</f>
        <v>9.3883004664018763</v>
      </c>
      <c r="M37" s="528">
        <f ca="1">INDEX(OFFSET('MD-ratings-final'!$I$19,'MD-ranking'!M$1-19,0,1,50),1,$B37)</f>
        <v>8.1672293667010631</v>
      </c>
      <c r="N37" s="528">
        <f ca="1">INDEX(OFFSET('MD-ratings-final'!$I$19,'MD-ranking'!N$1-19,0,1,50),1,$B37)</f>
        <v>9.6206361886904919</v>
      </c>
      <c r="O37" s="528">
        <f ca="1">INDEX(OFFSET('MD-ratings-final'!$I$19,'MD-ranking'!O$1-19,0,1,50),1,$B37)</f>
        <v>9.8450980165689366</v>
      </c>
      <c r="P37" s="523">
        <f ca="1">INDEX(OFFSET('MD-ratings-final'!$I$19,'MD-ranking'!P$1-19,0,1,50),1,$B37)</f>
        <v>9.1290581910460986</v>
      </c>
      <c r="R37" s="528">
        <f ca="1">INDEX(OFFSET('MD-ratings-final'!$I$19,'MD-ranking'!R$1-19,0,1,50),1,$B37)</f>
        <v>0</v>
      </c>
      <c r="S37" s="528">
        <f ca="1">INDEX(OFFSET('MD-ratings-final'!$I$19,'MD-ranking'!S$1-19,0,1,50),1,$B37)</f>
        <v>3.1544662166139679</v>
      </c>
      <c r="T37" s="523">
        <f ca="1">INDEX(OFFSET('MD-ratings-final'!$I$19,'MD-ranking'!T$1-19,0,1,50),1,$B37)</f>
        <v>1.5772331083069839</v>
      </c>
      <c r="V37" s="528">
        <f ca="1">INDEX(OFFSET('MD-ratings-final'!$I$19,'MD-ranking'!V$1-19,0,1,50),1,$B37)</f>
        <v>4.0034210994433348</v>
      </c>
      <c r="W37" s="528">
        <f ca="1">INDEX(OFFSET('MD-ratings-final'!$I$19,'MD-ranking'!W$1-19,0,1,50),1,$B37)</f>
        <v>0</v>
      </c>
      <c r="X37" s="523">
        <f ca="1">INDEX(OFFSET('MD-ratings-final'!$I$19,'MD-ranking'!X$1-19,0,1,50),1,$B37)</f>
        <v>2.0017105497216674</v>
      </c>
      <c r="AA37" s="532">
        <f ca="1">INDEX(OFFSET('MD-ratios'!$AF$23,'MD-ranking'!AA$1-19,0,1,50),1,$B37)</f>
        <v>7.5614207650273224</v>
      </c>
      <c r="AB37" s="532">
        <f ca="1">INDEX(OFFSET('MD-ratios'!$AF$23,'MD-ranking'!AB$1-19,0,1,50),1,$B37)</f>
        <v>6.5907103825136613</v>
      </c>
      <c r="AC37" s="532">
        <f ca="1">INDEX(OFFSET('MD-ratios'!$AF$23,'MD-ranking'!AC$1-19,0,1,50),1,$B37)</f>
        <v>6.5907103825136613</v>
      </c>
      <c r="AD37" s="456"/>
      <c r="AE37" s="456">
        <f ca="1">INDEX(OFFSET('MD-ratios'!$AF$23,'MD-ranking'!AE$1-19,0,1,50),1,$B37)</f>
        <v>5.0908101210761413E-2</v>
      </c>
      <c r="AF37" s="456">
        <f ca="1">INDEX(OFFSET('MD-ratios'!$AF$23,'MD-ranking'!AF$1-19,0,1,50),1,$B37)</f>
        <v>0.31622569890996266</v>
      </c>
      <c r="AG37" s="456">
        <f ca="1">INDEX(OFFSET('MD-ratios'!$AF$23,'MD-ranking'!AG$1-19,0,1,50),1,$B37)</f>
        <v>0.31335038274569776</v>
      </c>
      <c r="AI37" s="456">
        <f ca="1">INDEX(OFFSET('MD-ratios'!$AF$23,'MD-ranking'!AI$1-19,0,1,50),1,$B37)</f>
        <v>0.83858745707941851</v>
      </c>
      <c r="AJ37" s="456">
        <f ca="1">INDEX(OFFSET('MD-ratios'!$AF$23,'MD-ranking'!AJ$1-19,0,1,50),1,$B37)</f>
        <v>14.232416204690832</v>
      </c>
      <c r="AL37" s="456">
        <f ca="1">INDEX(OFFSET('MD-ratios'!$AF$23,'MD-ranking'!AL$1-19,0,1,50),1,$B37)</f>
        <v>1.9194639496120249</v>
      </c>
      <c r="AM37" s="456">
        <f ca="1">INDEX(OFFSET('MD-ratios'!$AF$23,'MD-ranking'!AM$1-19,0,1,50),1,$B37)</f>
        <v>0</v>
      </c>
    </row>
    <row r="38" spans="1:39" x14ac:dyDescent="0.25">
      <c r="A38" s="307">
        <v>27</v>
      </c>
      <c r="B38" s="525">
        <f>MATCH(C38,'MD-ratings-final'!I$1:BG$1,0)</f>
        <v>35</v>
      </c>
      <c r="C38" s="307" t="str">
        <f>INDEX('MD-ratings-final'!$I$1:$BG$1,MATCH('MD-ranking'!F38,'MD-ratings-final'!$I$34:$BF$34,0))</f>
        <v>I.S. CP Armata Nationala</v>
      </c>
      <c r="F38" s="523">
        <f>LARGE('MD-ratings-final'!$I$34:$BF$34,'MD-ranking'!A38)</f>
        <v>5.4895441040541169</v>
      </c>
      <c r="H38" s="528">
        <f ca="1">INDEX(OFFSET('MD-ratings-final'!$I$19,'MD-ranking'!H$1-19,0,1,50),1,$B38)</f>
        <v>2.3806416615019867</v>
      </c>
      <c r="I38" s="528">
        <f ca="1">INDEX(OFFSET('MD-ratings-final'!$I$19,'MD-ranking'!I$1-19,0,1,50),1,$B38)</f>
        <v>1.0440620236695142</v>
      </c>
      <c r="J38" s="528">
        <f ca="1">INDEX(OFFSET('MD-ratings-final'!$I$19,'MD-ranking'!J$1-19,0,1,50),1,$B38)</f>
        <v>0.61643679586723543</v>
      </c>
      <c r="K38" s="523">
        <f ca="1">INDEX(OFFSET('MD-ratings-final'!$I$19,'MD-ranking'!K$1-19,0,1,50),1,$B38)</f>
        <v>1.3470468270129119</v>
      </c>
      <c r="M38" s="528">
        <f ca="1">INDEX(OFFSET('MD-ratings-final'!$I$19,'MD-ranking'!M$1-19,0,1,50),1,$B38)</f>
        <v>7.5108096206094981</v>
      </c>
      <c r="N38" s="528">
        <f ca="1">INDEX(OFFSET('MD-ratings-final'!$I$19,'MD-ranking'!N$1-19,0,1,50),1,$B38)</f>
        <v>7.447649696792455</v>
      </c>
      <c r="O38" s="528">
        <f ca="1">INDEX(OFFSET('MD-ratings-final'!$I$19,'MD-ranking'!O$1-19,0,1,50),1,$B38)</f>
        <v>7.1137535985198452</v>
      </c>
      <c r="P38" s="523">
        <f ca="1">INDEX(OFFSET('MD-ratings-final'!$I$19,'MD-ranking'!P$1-19,0,1,50),1,$B38)</f>
        <v>7.3393552270102287</v>
      </c>
      <c r="R38" s="528">
        <f ca="1">INDEX(OFFSET('MD-ratings-final'!$I$19,'MD-ranking'!R$1-19,0,1,50),1,$B38)</f>
        <v>6.8740132327979229</v>
      </c>
      <c r="S38" s="528">
        <f ca="1">INDEX(OFFSET('MD-ratings-final'!$I$19,'MD-ranking'!S$1-19,0,1,50),1,$B38)</f>
        <v>8.2709185667306571</v>
      </c>
      <c r="T38" s="523">
        <f ca="1">INDEX(OFFSET('MD-ratings-final'!$I$19,'MD-ranking'!T$1-19,0,1,50),1,$B38)</f>
        <v>7.5724658997642891</v>
      </c>
      <c r="V38" s="528">
        <f ca="1">INDEX(OFFSET('MD-ratings-final'!$I$19,'MD-ranking'!V$1-19,0,1,50),1,$B38)</f>
        <v>4.6131620923465517</v>
      </c>
      <c r="W38" s="528">
        <f ca="1">INDEX(OFFSET('MD-ratings-final'!$I$19,'MD-ranking'!W$1-19,0,1,50),1,$B38)</f>
        <v>5.8488761138438923</v>
      </c>
      <c r="X38" s="523">
        <f ca="1">INDEX(OFFSET('MD-ratings-final'!$I$19,'MD-ranking'!X$1-19,0,1,50),1,$B38)</f>
        <v>5.231019103095222</v>
      </c>
      <c r="AA38" s="532">
        <f ca="1">INDEX(OFFSET('MD-ratios'!$AF$23,'MD-ranking'!AA$1-19,0,1,50),1,$B38)</f>
        <v>0.33844596047019426</v>
      </c>
      <c r="AB38" s="532">
        <f ca="1">INDEX(OFFSET('MD-ratios'!$AF$23,'MD-ranking'!AB$1-19,0,1,50),1,$B38)</f>
        <v>0.11226566654221679</v>
      </c>
      <c r="AC38" s="532">
        <f ca="1">INDEX(OFFSET('MD-ratios'!$AF$23,'MD-ranking'!AC$1-19,0,1,50),1,$B38)</f>
        <v>4.4258900994467637E-2</v>
      </c>
      <c r="AD38" s="456"/>
      <c r="AE38" s="456">
        <f ca="1">INDEX(OFFSET('MD-ratios'!$AF$23,'MD-ranking'!AE$1-19,0,1,50),1,$B38)</f>
        <v>1.2990671127029415E-2</v>
      </c>
      <c r="AF38" s="456">
        <f ca="1">INDEX(OFFSET('MD-ratios'!$AF$23,'MD-ranking'!AF$1-19,0,1,50),1,$B38)</f>
        <v>2.4200315231828164E-2</v>
      </c>
      <c r="AG38" s="456">
        <f ca="1">INDEX(OFFSET('MD-ratios'!$AF$23,'MD-ranking'!AG$1-19,0,1,50),1,$B38)</f>
        <v>1.3445913272801683E-2</v>
      </c>
      <c r="AI38" s="456">
        <f ca="1">INDEX(OFFSET('MD-ratios'!$AF$23,'MD-ranking'!AI$1-19,0,1,50),1,$B38)</f>
        <v>4.6847434160345097E-3</v>
      </c>
      <c r="AJ38" s="456">
        <f ca="1">INDEX(OFFSET('MD-ratios'!$AF$23,'MD-ranking'!AJ$1-19,0,1,50),1,$B38)</f>
        <v>0.32187866093933049</v>
      </c>
      <c r="AL38" s="456">
        <f ca="1">INDEX(OFFSET('MD-ratios'!$AF$23,'MD-ranking'!AL$1-19,0,1,50),1,$B38)</f>
        <v>-3.1089183074215763</v>
      </c>
      <c r="AM38" s="456">
        <f ca="1">INDEX(OFFSET('MD-ratios'!$AF$23,'MD-ranking'!AM$1-19,0,1,50),1,$B38)</f>
        <v>30.242836110163783</v>
      </c>
    </row>
    <row r="39" spans="1:39" x14ac:dyDescent="0.25">
      <c r="A39" s="307">
        <v>28</v>
      </c>
      <c r="B39" s="525">
        <f>MATCH(C39,'MD-ratings-final'!I$1:BG$1,0)</f>
        <v>5</v>
      </c>
      <c r="C39" s="307" t="str">
        <f>INDEX('MD-ratings-final'!$I$1:$BG$1,MATCH('MD-ranking'!F39,'MD-ratings-final'!$I$34:$BF$34,0))</f>
        <v>S.A. Moldetelecom</v>
      </c>
      <c r="F39" s="523">
        <f>LARGE('MD-ratings-final'!$I$34:$BF$34,'MD-ranking'!A39)</f>
        <v>5.4663204296174071</v>
      </c>
      <c r="H39" s="528">
        <f ca="1">INDEX(OFFSET('MD-ratings-final'!$I$19,'MD-ranking'!H$1-19,0,1,50),1,$B39)</f>
        <v>0.82465885020458951</v>
      </c>
      <c r="I39" s="528">
        <f ca="1">INDEX(OFFSET('MD-ratings-final'!$I$19,'MD-ranking'!I$1-19,0,1,50),1,$B39)</f>
        <v>0.29084794550570658</v>
      </c>
      <c r="J39" s="528">
        <f ca="1">INDEX(OFFSET('MD-ratings-final'!$I$19,'MD-ranking'!J$1-19,0,1,50),1,$B39)</f>
        <v>2.0172535668360673E-3</v>
      </c>
      <c r="K39" s="523">
        <f ca="1">INDEX(OFFSET('MD-ratings-final'!$I$19,'MD-ranking'!K$1-19,0,1,50),1,$B39)</f>
        <v>0.37250801642571069</v>
      </c>
      <c r="M39" s="528">
        <f ca="1">INDEX(OFFSET('MD-ratings-final'!$I$19,'MD-ranking'!M$1-19,0,1,50),1,$B39)</f>
        <v>9.4488327282392159</v>
      </c>
      <c r="N39" s="528">
        <f ca="1">INDEX(OFFSET('MD-ratings-final'!$I$19,'MD-ranking'!N$1-19,0,1,50),1,$B39)</f>
        <v>8.5690779441963141</v>
      </c>
      <c r="O39" s="528">
        <f ca="1">INDEX(OFFSET('MD-ratings-final'!$I$19,'MD-ranking'!O$1-19,0,1,50),1,$B39)</f>
        <v>10</v>
      </c>
      <c r="P39" s="523">
        <f ca="1">INDEX(OFFSET('MD-ratings-final'!$I$19,'MD-ranking'!P$1-19,0,1,50),1,$B39)</f>
        <v>9.4933486801349503</v>
      </c>
      <c r="R39" s="528">
        <f ca="1">INDEX(OFFSET('MD-ratings-final'!$I$19,'MD-ranking'!R$1-19,0,1,50),1,$B39)</f>
        <v>1.7732878719892429</v>
      </c>
      <c r="S39" s="528">
        <f ca="1">INDEX(OFFSET('MD-ratings-final'!$I$19,'MD-ranking'!S$1-19,0,1,50),1,$B39)</f>
        <v>10</v>
      </c>
      <c r="T39" s="523">
        <f ca="1">INDEX(OFFSET('MD-ratings-final'!$I$19,'MD-ranking'!T$1-19,0,1,50),1,$B39)</f>
        <v>5.8866439359946217</v>
      </c>
      <c r="V39" s="528">
        <f ca="1">INDEX(OFFSET('MD-ratings-final'!$I$19,'MD-ranking'!V$1-19,0,1,50),1,$B39)</f>
        <v>3.5598916697799874</v>
      </c>
      <c r="W39" s="528">
        <f ca="1">INDEX(OFFSET('MD-ratings-final'!$I$19,'MD-ranking'!W$1-19,0,1,50),1,$B39)</f>
        <v>8.7787390770085665</v>
      </c>
      <c r="X39" s="523">
        <f ca="1">INDEX(OFFSET('MD-ratings-final'!$I$19,'MD-ranking'!X$1-19,0,1,50),1,$B39)</f>
        <v>6.1693153733942774</v>
      </c>
      <c r="AA39" s="532">
        <f ca="1">INDEX(OFFSET('MD-ratios'!$AF$23,'MD-ranking'!AA$1-19,0,1,50),1,$B39)</f>
        <v>7.4950707842259059E-2</v>
      </c>
      <c r="AB39" s="532">
        <f ca="1">INDEX(OFFSET('MD-ratios'!$AF$23,'MD-ranking'!AB$1-19,0,1,50),1,$B39)</f>
        <v>1.9699306762584728E-2</v>
      </c>
      <c r="AC39" s="532">
        <f ca="1">INDEX(OFFSET('MD-ratios'!$AF$23,'MD-ranking'!AC$1-19,0,1,50),1,$B39)</f>
        <v>5.4277053647186454E-5</v>
      </c>
      <c r="AD39" s="456"/>
      <c r="AE39" s="456">
        <f ca="1">INDEX(OFFSET('MD-ratios'!$AF$23,'MD-ranking'!AE$1-19,0,1,50),1,$B39)</f>
        <v>7.013903132535039E-2</v>
      </c>
      <c r="AF39" s="456">
        <f ca="1">INDEX(OFFSET('MD-ratios'!$AF$23,'MD-ranking'!AF$1-19,0,1,50),1,$B39)</f>
        <v>9.4505152506184312E-2</v>
      </c>
      <c r="AG39" s="456">
        <f ca="1">INDEX(OFFSET('MD-ratios'!$AF$23,'MD-ranking'!AG$1-19,0,1,50),1,$B39)</f>
        <v>0.20620111317332132</v>
      </c>
      <c r="AI39" s="456">
        <f ca="1">INDEX(OFFSET('MD-ratios'!$AF$23,'MD-ranking'!AI$1-19,0,1,50),1,$B39)</f>
        <v>0.25782849436954702</v>
      </c>
      <c r="AJ39" s="456">
        <f ca="1">INDEX(OFFSET('MD-ratios'!$AF$23,'MD-ranking'!AJ$1-19,0,1,50),1,$B39)</f>
        <v>0</v>
      </c>
      <c r="AL39" s="456">
        <f ca="1">INDEX(OFFSET('MD-ratios'!$AF$23,'MD-ranking'!AL$1-19,0,1,50),1,$B39)</f>
        <v>-1.4261754966919133</v>
      </c>
      <c r="AM39" s="456">
        <f ca="1">INDEX(OFFSET('MD-ratios'!$AF$23,'MD-ranking'!AM$1-19,0,1,50),1,$B39)</f>
        <v>67.156051848949815</v>
      </c>
    </row>
    <row r="40" spans="1:39" x14ac:dyDescent="0.25">
      <c r="A40" s="307">
        <v>29</v>
      </c>
      <c r="B40" s="525">
        <f>MATCH(C40,'MD-ratings-final'!I$1:BG$1,0)</f>
        <v>21</v>
      </c>
      <c r="C40" s="307" t="str">
        <f>INDEX('MD-ratings-final'!$I$1:$BG$1,MATCH('MD-ranking'!F40,'MD-ratings-final'!$I$34:$BF$34,0))</f>
        <v>S.A. Drumuri Cahul</v>
      </c>
      <c r="F40" s="523">
        <f>LARGE('MD-ratings-final'!$I$34:$BF$34,'MD-ranking'!A40)</f>
        <v>5.4635952275274295</v>
      </c>
      <c r="H40" s="528">
        <f ca="1">INDEX(OFFSET('MD-ratings-final'!$I$19,'MD-ranking'!H$1-19,0,1,50),1,$B40)</f>
        <v>5.204214251139164</v>
      </c>
      <c r="I40" s="528">
        <f ca="1">INDEX(OFFSET('MD-ratings-final'!$I$19,'MD-ranking'!I$1-19,0,1,50),1,$B40)</f>
        <v>4.5845911856066648</v>
      </c>
      <c r="J40" s="528">
        <f ca="1">INDEX(OFFSET('MD-ratings-final'!$I$19,'MD-ranking'!J$1-19,0,1,50),1,$B40)</f>
        <v>3.4772507555592651</v>
      </c>
      <c r="K40" s="523">
        <f ca="1">INDEX(OFFSET('MD-ratings-final'!$I$19,'MD-ranking'!K$1-19,0,1,50),1,$B40)</f>
        <v>4.4220187307683645</v>
      </c>
      <c r="M40" s="528">
        <f ca="1">INDEX(OFFSET('MD-ratings-final'!$I$19,'MD-ranking'!M$1-19,0,1,50),1,$B40)</f>
        <v>3.9914329695136179</v>
      </c>
      <c r="N40" s="528">
        <f ca="1">INDEX(OFFSET('MD-ratings-final'!$I$19,'MD-ranking'!N$1-19,0,1,50),1,$B40)</f>
        <v>4.210650964886649</v>
      </c>
      <c r="O40" s="528">
        <f ca="1">INDEX(OFFSET('MD-ratings-final'!$I$19,'MD-ranking'!O$1-19,0,1,50),1,$B40)</f>
        <v>4.1440952308358723</v>
      </c>
      <c r="P40" s="523">
        <f ca="1">INDEX(OFFSET('MD-ratings-final'!$I$19,'MD-ranking'!P$1-19,0,1,50),1,$B40)</f>
        <v>4.0963414731171266</v>
      </c>
      <c r="R40" s="528">
        <f ca="1">INDEX(OFFSET('MD-ratings-final'!$I$19,'MD-ranking'!R$1-19,0,1,50),1,$B40)</f>
        <v>9.1056555282738394</v>
      </c>
      <c r="S40" s="528">
        <f ca="1">INDEX(OFFSET('MD-ratings-final'!$I$19,'MD-ranking'!S$1-19,0,1,50),1,$B40)</f>
        <v>5.7978091016095528</v>
      </c>
      <c r="T40" s="523">
        <f ca="1">INDEX(OFFSET('MD-ratings-final'!$I$19,'MD-ranking'!T$1-19,0,1,50),1,$B40)</f>
        <v>7.4517323149416965</v>
      </c>
      <c r="V40" s="528">
        <f ca="1">INDEX(OFFSET('MD-ratings-final'!$I$19,'MD-ranking'!V$1-19,0,1,50),1,$B40)</f>
        <v>7.1147890449820368</v>
      </c>
      <c r="W40" s="528">
        <f ca="1">INDEX(OFFSET('MD-ratings-final'!$I$19,'MD-ranking'!W$1-19,0,1,50),1,$B40)</f>
        <v>3.8700657757534338</v>
      </c>
      <c r="X40" s="523">
        <f ca="1">INDEX(OFFSET('MD-ratings-final'!$I$19,'MD-ranking'!X$1-19,0,1,50),1,$B40)</f>
        <v>5.4924274103677346</v>
      </c>
      <c r="AA40" s="532">
        <f ca="1">INDEX(OFFSET('MD-ratios'!$AF$23,'MD-ranking'!AA$1-19,0,1,50),1,$B40)</f>
        <v>1.4723200655072934</v>
      </c>
      <c r="AB40" s="532">
        <f ca="1">INDEX(OFFSET('MD-ratios'!$AF$23,'MD-ranking'!AB$1-19,0,1,50),1,$B40)</f>
        <v>0.94190615175454684</v>
      </c>
      <c r="AC40" s="532">
        <f ca="1">INDEX(OFFSET('MD-ratios'!$AF$23,'MD-ranking'!AC$1-19,0,1,50),1,$B40)</f>
        <v>0.26511164894765155</v>
      </c>
      <c r="AD40" s="456"/>
      <c r="AE40" s="456">
        <f ca="1">INDEX(OFFSET('MD-ratios'!$AF$23,'MD-ranking'!AE$1-19,0,1,50),1,$B40)</f>
        <v>-1.6031995888920087E-2</v>
      </c>
      <c r="AF40" s="456">
        <f ca="1">INDEX(OFFSET('MD-ratios'!$AF$23,'MD-ranking'!AF$1-19,0,1,50),1,$B40)</f>
        <v>-2.0500431772803297E-2</v>
      </c>
      <c r="AG40" s="456">
        <f ca="1">INDEX(OFFSET('MD-ratios'!$AF$23,'MD-ranking'!AG$1-19,0,1,50),1,$B40)</f>
        <v>-1.389427228602739E-2</v>
      </c>
      <c r="AI40" s="456">
        <f ca="1">INDEX(OFFSET('MD-ratios'!$AF$23,'MD-ranking'!AI$1-19,0,1,50),1,$B40)</f>
        <v>2.9419396697144837E-3</v>
      </c>
      <c r="AJ40" s="456">
        <f ca="1">INDEX(OFFSET('MD-ratios'!$AF$23,'MD-ranking'!AJ$1-19,0,1,50),1,$B40)</f>
        <v>-0.21943907544244173</v>
      </c>
      <c r="AL40" s="456">
        <f ca="1">INDEX(OFFSET('MD-ratios'!$AF$23,'MD-ranking'!AL$1-19,0,1,50),1,$B40)</f>
        <v>11.179196496491173</v>
      </c>
      <c r="AM40" s="456">
        <f ca="1">INDEX(OFFSET('MD-ratios'!$AF$23,'MD-ranking'!AM$1-19,0,1,50),1,$B40)</f>
        <v>7.801716473232295</v>
      </c>
    </row>
    <row r="41" spans="1:39" x14ac:dyDescent="0.25">
      <c r="A41" s="307">
        <v>30</v>
      </c>
      <c r="B41" s="525">
        <f>MATCH(C41,'MD-ratings-final'!I$1:BG$1,0)</f>
        <v>40</v>
      </c>
      <c r="C41" s="307" t="str">
        <f>INDEX('MD-ratings-final'!$I$1:$BG$1,MATCH('MD-ranking'!F41,'MD-ratings-final'!$I$34:$BF$34,0))</f>
        <v>I.S. CRARA</v>
      </c>
      <c r="F41" s="523">
        <f>LARGE('MD-ratings-final'!$I$34:$BF$34,'MD-ranking'!A41)</f>
        <v>5.431922091351443</v>
      </c>
      <c r="H41" s="528">
        <f ca="1">INDEX(OFFSET('MD-ratings-final'!$I$19,'MD-ranking'!H$1-19,0,1,50),1,$B41)</f>
        <v>10</v>
      </c>
      <c r="I41" s="528">
        <f ca="1">INDEX(OFFSET('MD-ratings-final'!$I$19,'MD-ranking'!I$1-19,0,1,50),1,$B41)</f>
        <v>7.0415330654894728</v>
      </c>
      <c r="J41" s="528">
        <f ca="1">INDEX(OFFSET('MD-ratings-final'!$I$19,'MD-ranking'!J$1-19,0,1,50),1,$B41)</f>
        <v>7.5074497092697827</v>
      </c>
      <c r="K41" s="523">
        <f ca="1">INDEX(OFFSET('MD-ratings-final'!$I$19,'MD-ranking'!K$1-19,0,1,50),1,$B41)</f>
        <v>8.1829942582530855</v>
      </c>
      <c r="M41" s="528">
        <f ca="1">INDEX(OFFSET('MD-ratings-final'!$I$19,'MD-ranking'!M$1-19,0,1,50),1,$B41)</f>
        <v>5.0058649534412343</v>
      </c>
      <c r="N41" s="528">
        <f ca="1">INDEX(OFFSET('MD-ratings-final'!$I$19,'MD-ranking'!N$1-19,0,1,50),1,$B41)</f>
        <v>5.0239846983797651</v>
      </c>
      <c r="O41" s="528">
        <f ca="1">INDEX(OFFSET('MD-ratings-final'!$I$19,'MD-ranking'!O$1-19,0,1,50),1,$B41)</f>
        <v>5.1212557590002161</v>
      </c>
      <c r="P41" s="523">
        <f ca="1">INDEX(OFFSET('MD-ratings-final'!$I$19,'MD-ranking'!P$1-19,0,1,50),1,$B41)</f>
        <v>5.0556452246525332</v>
      </c>
      <c r="R41" s="528">
        <f ca="1">INDEX(OFFSET('MD-ratings-final'!$I$19,'MD-ranking'!R$1-19,0,1,50),1,$B41)</f>
        <v>6.520279779232582</v>
      </c>
      <c r="S41" s="528">
        <f ca="1">INDEX(OFFSET('MD-ratings-final'!$I$19,'MD-ranking'!S$1-19,0,1,50),1,$B41)</f>
        <v>4.2307264168045888</v>
      </c>
      <c r="T41" s="523">
        <f ca="1">INDEX(OFFSET('MD-ratings-final'!$I$19,'MD-ranking'!T$1-19,0,1,50),1,$B41)</f>
        <v>5.3755030980185854</v>
      </c>
      <c r="V41" s="528">
        <f ca="1">INDEX(OFFSET('MD-ratings-final'!$I$19,'MD-ranking'!V$1-19,0,1,50),1,$B41)</f>
        <v>0.59205624785738864</v>
      </c>
      <c r="W41" s="528">
        <f ca="1">INDEX(OFFSET('MD-ratings-final'!$I$19,'MD-ranking'!W$1-19,0,1,50),1,$B41)</f>
        <v>4.5040566643372415</v>
      </c>
      <c r="X41" s="523">
        <f ca="1">INDEX(OFFSET('MD-ratings-final'!$I$19,'MD-ranking'!X$1-19,0,1,50),1,$B41)</f>
        <v>2.5480564560973149</v>
      </c>
      <c r="AA41" s="532">
        <f ca="1">INDEX(OFFSET('MD-ratios'!$AF$23,'MD-ranking'!AA$1-19,0,1,50),1,$B41)</f>
        <v>25.015139530313451</v>
      </c>
      <c r="AB41" s="532">
        <f ca="1">INDEX(OFFSET('MD-ratios'!$AF$23,'MD-ranking'!AB$1-19,0,1,50),1,$B41)</f>
        <v>2.8792841701876779</v>
      </c>
      <c r="AC41" s="532">
        <f ca="1">INDEX(OFFSET('MD-ratios'!$AF$23,'MD-ranking'!AC$1-19,0,1,50),1,$B41)</f>
        <v>2.5176083325144933</v>
      </c>
      <c r="AD41" s="456"/>
      <c r="AE41" s="456">
        <f ca="1">INDEX(OFFSET('MD-ratios'!$AF$23,'MD-ranking'!AE$1-19,0,1,50),1,$B41)</f>
        <v>4.386870239597598E-3</v>
      </c>
      <c r="AF41" s="456">
        <f ca="1">INDEX(OFFSET('MD-ratios'!$AF$23,'MD-ranking'!AF$1-19,0,1,50),1,$B41)</f>
        <v>4.5969566356297478E-3</v>
      </c>
      <c r="AG41" s="456">
        <f ca="1">INDEX(OFFSET('MD-ratios'!$AF$23,'MD-ranking'!AG$1-19,0,1,50),1,$B41)</f>
        <v>2.8087445442852493E-2</v>
      </c>
      <c r="AI41" s="456">
        <f ca="1">INDEX(OFFSET('MD-ratios'!$AF$23,'MD-ranking'!AI$1-19,0,1,50),1,$B41)</f>
        <v>2.1020309185618775E-2</v>
      </c>
      <c r="AJ41" s="456">
        <f ca="1">INDEX(OFFSET('MD-ratios'!$AF$23,'MD-ranking'!AJ$1-19,0,1,50),1,$B41)</f>
        <v>4.7916414294367051</v>
      </c>
      <c r="AL41" s="456">
        <f ca="1">INDEX(OFFSET('MD-ratios'!$AF$23,'MD-ranking'!AL$1-19,0,1,50),1,$B41)</f>
        <v>0.1984819482404149</v>
      </c>
      <c r="AM41" s="456">
        <f ca="1">INDEX(OFFSET('MD-ratios'!$AF$23,'MD-ranking'!AM$1-19,0,1,50),1,$B41)</f>
        <v>13.179126678484829</v>
      </c>
    </row>
    <row r="42" spans="1:39" x14ac:dyDescent="0.25">
      <c r="A42" s="307">
        <v>31</v>
      </c>
      <c r="B42" s="525">
        <f>MATCH(C42,'MD-ratings-final'!I$1:BG$1,0)</f>
        <v>48</v>
      </c>
      <c r="C42" s="307" t="str">
        <f>INDEX('MD-ratings-final'!$I$1:$BG$1,MATCH('MD-ranking'!F42,'MD-ratings-final'!$I$34:$BF$34,0))</f>
        <v>I.S CMAC</v>
      </c>
      <c r="F42" s="523">
        <f>LARGE('MD-ratings-final'!$I$34:$BF$34,'MD-ranking'!A42)</f>
        <v>5.1079447506121678</v>
      </c>
      <c r="H42" s="528">
        <f ca="1">INDEX(OFFSET('MD-ratings-final'!$I$19,'MD-ranking'!H$1-19,0,1,50),1,$B42)</f>
        <v>4.5169613860465532</v>
      </c>
      <c r="I42" s="528">
        <f ca="1">INDEX(OFFSET('MD-ratings-final'!$I$19,'MD-ranking'!I$1-19,0,1,50),1,$B42)</f>
        <v>3.5752482358755562</v>
      </c>
      <c r="J42" s="528">
        <f ca="1">INDEX(OFFSET('MD-ratings-final'!$I$19,'MD-ranking'!J$1-19,0,1,50),1,$B42)</f>
        <v>4.2089825832253061</v>
      </c>
      <c r="K42" s="523">
        <f ca="1">INDEX(OFFSET('MD-ratings-final'!$I$19,'MD-ranking'!K$1-19,0,1,50),1,$B42)</f>
        <v>4.1003974017158047</v>
      </c>
      <c r="M42" s="528">
        <f ca="1">INDEX(OFFSET('MD-ratings-final'!$I$19,'MD-ranking'!M$1-19,0,1,50),1,$B42)</f>
        <v>7.8492341068739204</v>
      </c>
      <c r="N42" s="528">
        <f ca="1">INDEX(OFFSET('MD-ratings-final'!$I$19,'MD-ranking'!N$1-19,0,1,50),1,$B42)</f>
        <v>7.7623158218411037</v>
      </c>
      <c r="O42" s="528">
        <f ca="1">INDEX(OFFSET('MD-ratings-final'!$I$19,'MD-ranking'!O$1-19,0,1,50),1,$B42)</f>
        <v>7.9138891966612892</v>
      </c>
      <c r="P42" s="523">
        <f ca="1">INDEX(OFFSET('MD-ratings-final'!$I$19,'MD-ranking'!P$1-19,0,1,50),1,$B42)</f>
        <v>7.8577124857823053</v>
      </c>
      <c r="R42" s="528">
        <f ca="1">INDEX(OFFSET('MD-ratings-final'!$I$19,'MD-ranking'!R$1-19,0,1,50),1,$B42)</f>
        <v>0.13886682428595723</v>
      </c>
      <c r="S42" s="528">
        <f ca="1">INDEX(OFFSET('MD-ratings-final'!$I$19,'MD-ranking'!S$1-19,0,1,50),1,$B42)</f>
        <v>3.7949857462624115</v>
      </c>
      <c r="T42" s="523">
        <f ca="1">INDEX(OFFSET('MD-ratings-final'!$I$19,'MD-ranking'!T$1-19,0,1,50),1,$B42)</f>
        <v>1.9669262852741842</v>
      </c>
      <c r="V42" s="528">
        <f ca="1">INDEX(OFFSET('MD-ratings-final'!$I$19,'MD-ranking'!V$1-19,0,1,50),1,$B42)</f>
        <v>8.1437794260285052</v>
      </c>
      <c r="W42" s="528">
        <f ca="1">INDEX(OFFSET('MD-ratings-final'!$I$19,'MD-ranking'!W$1-19,0,1,50),1,$B42)</f>
        <v>7.1396145055253371</v>
      </c>
      <c r="X42" s="523">
        <f ca="1">INDEX(OFFSET('MD-ratings-final'!$I$19,'MD-ranking'!X$1-19,0,1,50),1,$B42)</f>
        <v>7.6416969657769211</v>
      </c>
      <c r="AA42" s="532">
        <f ca="1">INDEX(OFFSET('MD-ratios'!$AF$23,'MD-ranking'!AA$1-19,0,1,50),1,$B42)</f>
        <v>1.3161729459110514</v>
      </c>
      <c r="AB42" s="532">
        <f ca="1">INDEX(OFFSET('MD-ratios'!$AF$23,'MD-ranking'!AB$1-19,0,1,50),1,$B42)</f>
        <v>0.72311657006290686</v>
      </c>
      <c r="AC42" s="532">
        <f ca="1">INDEX(OFFSET('MD-ratios'!$AF$23,'MD-ranking'!AC$1-19,0,1,50),1,$B42)</f>
        <v>0.57930132818723734</v>
      </c>
      <c r="AD42" s="456"/>
      <c r="AE42" s="456">
        <f ca="1">INDEX(OFFSET('MD-ratios'!$AF$23,'MD-ranking'!AE$1-19,0,1,50),1,$B42)</f>
        <v>2.7177755274183139E-2</v>
      </c>
      <c r="AF42" s="456">
        <f ca="1">INDEX(OFFSET('MD-ratios'!$AF$23,'MD-ranking'!AF$1-19,0,1,50),1,$B42)</f>
        <v>5.9415305632957743E-2</v>
      </c>
      <c r="AG42" s="456">
        <f ca="1">INDEX(OFFSET('MD-ratios'!$AF$23,'MD-ranking'!AG$1-19,0,1,50),1,$B42)</f>
        <v>4.0958724242329783E-2</v>
      </c>
      <c r="AI42" s="456">
        <f ca="1">INDEX(OFFSET('MD-ratios'!$AF$23,'MD-ranking'!AI$1-19,0,1,50),1,$B42)</f>
        <v>0.40604672020122873</v>
      </c>
      <c r="AJ42" s="456">
        <f ca="1">INDEX(OFFSET('MD-ratios'!$AF$23,'MD-ranking'!AJ$1-19,0,1,50),1,$B42)</f>
        <v>14.940406818179834</v>
      </c>
      <c r="AL42" s="456">
        <f ca="1">INDEX(OFFSET('MD-ratios'!$AF$23,'MD-ranking'!AL$1-19,0,1,50),1,$B42)</f>
        <v>15.091683984571633</v>
      </c>
      <c r="AM42" s="456">
        <f ca="1">INDEX(OFFSET('MD-ratios'!$AF$23,'MD-ranking'!AM$1-19,0,1,50),1,$B42)</f>
        <v>33.178556889580243</v>
      </c>
    </row>
    <row r="43" spans="1:39" x14ac:dyDescent="0.25">
      <c r="A43" s="307">
        <v>32</v>
      </c>
      <c r="B43" s="525">
        <f>MATCH(C43,'MD-ratings-final'!I$1:BG$1,0)</f>
        <v>2</v>
      </c>
      <c r="C43" s="307" t="str">
        <f>INDEX('MD-ratings-final'!$I$1:$BG$1,MATCH('MD-ranking'!F43,'MD-ratings-final'!$I$34:$BF$34,0))</f>
        <v>S.A Franzeluta</v>
      </c>
      <c r="F43" s="523">
        <f>LARGE('MD-ratings-final'!$I$34:$BF$34,'MD-ranking'!A43)</f>
        <v>4.9752712092506961</v>
      </c>
      <c r="H43" s="528">
        <f ca="1">INDEX(OFFSET('MD-ratings-final'!$I$19,'MD-ranking'!H$1-19,0,1,50),1,$B43)</f>
        <v>4.6782727957532177</v>
      </c>
      <c r="I43" s="528">
        <f ca="1">INDEX(OFFSET('MD-ratings-final'!$I$19,'MD-ranking'!I$1-19,0,1,50),1,$B43)</f>
        <v>2.3330748641435335</v>
      </c>
      <c r="J43" s="528">
        <f ca="1">INDEX(OFFSET('MD-ratings-final'!$I$19,'MD-ranking'!J$1-19,0,1,50),1,$B43)</f>
        <v>2.3968639435953127</v>
      </c>
      <c r="K43" s="523">
        <f ca="1">INDEX(OFFSET('MD-ratings-final'!$I$19,'MD-ranking'!K$1-19,0,1,50),1,$B43)</f>
        <v>3.1360705344973541</v>
      </c>
      <c r="M43" s="528">
        <f ca="1">INDEX(OFFSET('MD-ratings-final'!$I$19,'MD-ranking'!M$1-19,0,1,50),1,$B43)</f>
        <v>7.4012051386382129</v>
      </c>
      <c r="N43" s="528">
        <f ca="1">INDEX(OFFSET('MD-ratings-final'!$I$19,'MD-ranking'!N$1-19,0,1,50),1,$B43)</f>
        <v>6.9957274334492894</v>
      </c>
      <c r="O43" s="528">
        <f ca="1">INDEX(OFFSET('MD-ratings-final'!$I$19,'MD-ranking'!O$1-19,0,1,50),1,$B43)</f>
        <v>6.5119585627827901</v>
      </c>
      <c r="P43" s="523">
        <f ca="1">INDEX(OFFSET('MD-ratings-final'!$I$19,'MD-ranking'!P$1-19,0,1,50),1,$B43)</f>
        <v>6.9644109672582601</v>
      </c>
      <c r="R43" s="528">
        <f ca="1">INDEX(OFFSET('MD-ratings-final'!$I$19,'MD-ranking'!R$1-19,0,1,50),1,$B43)</f>
        <v>0.99580283560961846</v>
      </c>
      <c r="S43" s="528">
        <f ca="1">INDEX(OFFSET('MD-ratings-final'!$I$19,'MD-ranking'!S$1-19,0,1,50),1,$B43)</f>
        <v>4.4172271220969481</v>
      </c>
      <c r="T43" s="523">
        <f ca="1">INDEX(OFFSET('MD-ratings-final'!$I$19,'MD-ranking'!T$1-19,0,1,50),1,$B43)</f>
        <v>2.7065149788532832</v>
      </c>
      <c r="V43" s="528">
        <f ca="1">INDEX(OFFSET('MD-ratings-final'!$I$19,'MD-ranking'!V$1-19,0,1,50),1,$B43)</f>
        <v>8.6493384957865143</v>
      </c>
      <c r="W43" s="528">
        <f ca="1">INDEX(OFFSET('MD-ratings-final'!$I$19,'MD-ranking'!W$1-19,0,1,50),1,$B43)</f>
        <v>7.7326249057715559</v>
      </c>
      <c r="X43" s="523">
        <f ca="1">INDEX(OFFSET('MD-ratings-final'!$I$19,'MD-ranking'!X$1-19,0,1,50),1,$B43)</f>
        <v>8.1909817007790355</v>
      </c>
      <c r="AA43" s="532">
        <f ca="1">INDEX(OFFSET('MD-ratios'!$AF$23,'MD-ranking'!AA$1-19,0,1,50),1,$B43)</f>
        <v>1.4283117024220628</v>
      </c>
      <c r="AB43" s="532">
        <f ca="1">INDEX(OFFSET('MD-ratios'!$AF$23,'MD-ranking'!AB$1-19,0,1,50),1,$B43)</f>
        <v>0.47289872090645191</v>
      </c>
      <c r="AC43" s="532">
        <f ca="1">INDEX(OFFSET('MD-ratios'!$AF$23,'MD-ranking'!AC$1-19,0,1,50),1,$B43)</f>
        <v>0.29384583230083716</v>
      </c>
      <c r="AD43" s="456"/>
      <c r="AE43" s="456">
        <f ca="1">INDEX(OFFSET('MD-ratios'!$AF$23,'MD-ranking'!AE$1-19,0,1,50),1,$B43)</f>
        <v>4.1869336987644501E-2</v>
      </c>
      <c r="AF43" s="456">
        <f ca="1">INDEX(OFFSET('MD-ratios'!$AF$23,'MD-ranking'!AF$1-19,0,1,50),1,$B43)</f>
        <v>6.0670218492125456E-2</v>
      </c>
      <c r="AG43" s="456">
        <f ca="1">INDEX(OFFSET('MD-ratios'!$AF$23,'MD-ranking'!AG$1-19,0,1,50),1,$B43)</f>
        <v>2.3727467101774091E-2</v>
      </c>
      <c r="AI43" s="456">
        <f ca="1">INDEX(OFFSET('MD-ratios'!$AF$23,'MD-ranking'!AI$1-19,0,1,50),1,$B43)</f>
        <v>0.23696901033247147</v>
      </c>
      <c r="AJ43" s="456">
        <f ca="1">INDEX(OFFSET('MD-ratios'!$AF$23,'MD-ranking'!AJ$1-19,0,1,50),1,$B43)</f>
        <v>4.6940698011371484</v>
      </c>
      <c r="AL43" s="456">
        <f ca="1">INDEX(OFFSET('MD-ratios'!$AF$23,'MD-ranking'!AL$1-19,0,1,50),1,$B43)</f>
        <v>19.054314880816833</v>
      </c>
      <c r="AM43" s="456">
        <f ca="1">INDEX(OFFSET('MD-ratios'!$AF$23,'MD-ranking'!AM$1-19,0,1,50),1,$B43)</f>
        <v>45.579750813541395</v>
      </c>
    </row>
    <row r="44" spans="1:39" x14ac:dyDescent="0.25">
      <c r="A44" s="307">
        <v>33</v>
      </c>
      <c r="B44" s="525">
        <f>MATCH(C44,'MD-ratings-final'!I$1:BG$1,0)</f>
        <v>44</v>
      </c>
      <c r="C44" s="307" t="str">
        <f>INDEX('MD-ratings-final'!$I$1:$BG$1,MATCH('MD-ranking'!F44,'MD-ratings-final'!$I$34:$BF$34,0))</f>
        <v>I.S. SDE Criuleni</v>
      </c>
      <c r="F44" s="523">
        <f>LARGE('MD-ratings-final'!$I$34:$BF$34,'MD-ranking'!A44)</f>
        <v>4.9106616045497624</v>
      </c>
      <c r="H44" s="528">
        <f ca="1">INDEX(OFFSET('MD-ratings-final'!$I$19,'MD-ranking'!H$1-19,0,1,50),1,$B44)</f>
        <v>7.8975245331162665</v>
      </c>
      <c r="I44" s="528">
        <f ca="1">INDEX(OFFSET('MD-ratings-final'!$I$19,'MD-ranking'!I$1-19,0,1,50),1,$B44)</f>
        <v>4.1608881297404876</v>
      </c>
      <c r="J44" s="528">
        <f ca="1">INDEX(OFFSET('MD-ratings-final'!$I$19,'MD-ranking'!J$1-19,0,1,50),1,$B44)</f>
        <v>3.3074535424153484</v>
      </c>
      <c r="K44" s="523">
        <f ca="1">INDEX(OFFSET('MD-ratings-final'!$I$19,'MD-ranking'!K$1-19,0,1,50),1,$B44)</f>
        <v>5.1219554017573676</v>
      </c>
      <c r="M44" s="528">
        <f ca="1">INDEX(OFFSET('MD-ratings-final'!$I$19,'MD-ranking'!M$1-19,0,1,50),1,$B44)</f>
        <v>2.5799450340132113</v>
      </c>
      <c r="N44" s="528">
        <f ca="1">INDEX(OFFSET('MD-ratings-final'!$I$19,'MD-ranking'!N$1-19,0,1,50),1,$B44)</f>
        <v>3.0034355427727744</v>
      </c>
      <c r="O44" s="528">
        <f ca="1">INDEX(OFFSET('MD-ratings-final'!$I$19,'MD-ranking'!O$1-19,0,1,50),1,$B44)</f>
        <v>2.963050916408676</v>
      </c>
      <c r="P44" s="523">
        <f ca="1">INDEX(OFFSET('MD-ratings-final'!$I$19,'MD-ranking'!P$1-19,0,1,50),1,$B44)</f>
        <v>2.8178854887233098</v>
      </c>
      <c r="R44" s="528">
        <f ca="1">INDEX(OFFSET('MD-ratings-final'!$I$19,'MD-ranking'!R$1-19,0,1,50),1,$B44)</f>
        <v>7.8461070381200173</v>
      </c>
      <c r="S44" s="528">
        <f ca="1">INDEX(OFFSET('MD-ratings-final'!$I$19,'MD-ranking'!S$1-19,0,1,50),1,$B44)</f>
        <v>5.0026857234510995</v>
      </c>
      <c r="T44" s="523">
        <f ca="1">INDEX(OFFSET('MD-ratings-final'!$I$19,'MD-ranking'!T$1-19,0,1,50),1,$B44)</f>
        <v>6.4243963807855575</v>
      </c>
      <c r="V44" s="528">
        <f ca="1">INDEX(OFFSET('MD-ratings-final'!$I$19,'MD-ranking'!V$1-19,0,1,50),1,$B44)</f>
        <v>4.3292326293387822</v>
      </c>
      <c r="W44" s="528">
        <f ca="1">INDEX(OFFSET('MD-ratings-final'!$I$19,'MD-ranking'!W$1-19,0,1,50),1,$B44)</f>
        <v>5.6545920476004738</v>
      </c>
      <c r="X44" s="523">
        <f ca="1">INDEX(OFFSET('MD-ratings-final'!$I$19,'MD-ranking'!X$1-19,0,1,50),1,$B44)</f>
        <v>4.9919123384696285</v>
      </c>
      <c r="AA44" s="532">
        <f ca="1">INDEX(OFFSET('MD-ratios'!$AF$23,'MD-ranking'!AA$1-19,0,1,50),1,$B44)</f>
        <v>6.5177635466714623</v>
      </c>
      <c r="AB44" s="532">
        <f ca="1">INDEX(OFFSET('MD-ratios'!$AF$23,'MD-ranking'!AB$1-19,0,1,50),1,$B44)</f>
        <v>1.4341358135710798</v>
      </c>
      <c r="AC44" s="532">
        <f ca="1">INDEX(OFFSET('MD-ratios'!$AF$23,'MD-ranking'!AC$1-19,0,1,50),1,$B44)</f>
        <v>0.52858996428663185</v>
      </c>
      <c r="AD44" s="456"/>
      <c r="AE44" s="456">
        <f ca="1">INDEX(OFFSET('MD-ratios'!$AF$23,'MD-ranking'!AE$1-19,0,1,50),1,$B44)</f>
        <v>-0.11948315722658628</v>
      </c>
      <c r="AF44" s="456">
        <f ca="1">INDEX(OFFSET('MD-ratios'!$AF$23,'MD-ranking'!AF$1-19,0,1,50),1,$B44)</f>
        <v>-0.13148562861714697</v>
      </c>
      <c r="AG44" s="456">
        <f ca="1">INDEX(OFFSET('MD-ratios'!$AF$23,'MD-ranking'!AG$1-19,0,1,50),1,$B44)</f>
        <v>-7.9070387897948236E-2</v>
      </c>
      <c r="AI44" s="456">
        <f ca="1">INDEX(OFFSET('MD-ratios'!$AF$23,'MD-ranking'!AI$1-19,0,1,50),1,$B44)</f>
        <v>3.1306817570547923E-3</v>
      </c>
      <c r="AJ44" s="456">
        <f ca="1">INDEX(OFFSET('MD-ratios'!$AF$23,'MD-ranking'!AJ$1-19,0,1,50),1,$B44)</f>
        <v>-2.6201866687518217E-2</v>
      </c>
      <c r="AL44" s="456">
        <f ca="1">INDEX(OFFSET('MD-ratios'!$AF$23,'MD-ranking'!AL$1-19,0,1,50),1,$B44)</f>
        <v>2.8504902345966805</v>
      </c>
      <c r="AM44" s="456">
        <f ca="1">INDEX(OFFSET('MD-ratios'!$AF$23,'MD-ranking'!AM$1-19,0,1,50),1,$B44)</f>
        <v>17.368895367395144</v>
      </c>
    </row>
    <row r="45" spans="1:39" x14ac:dyDescent="0.25">
      <c r="A45" s="307">
        <v>34</v>
      </c>
      <c r="B45" s="525">
        <f>MATCH(C45,'MD-ratings-final'!I$1:BG$1,0)</f>
        <v>45</v>
      </c>
      <c r="C45" s="307" t="str">
        <f>INDEX('MD-ratings-final'!$I$1:$BG$1,MATCH('MD-ranking'!F45,'MD-ratings-final'!$I$34:$BF$34,0))</f>
        <v>I.S. Centrul de elaborari economice si productie</v>
      </c>
      <c r="F45" s="523">
        <f>LARGE('MD-ratings-final'!$I$34:$BF$34,'MD-ranking'!A45)</f>
        <v>4.8680768130808882</v>
      </c>
      <c r="H45" s="528">
        <f ca="1">INDEX(OFFSET('MD-ratings-final'!$I$19,'MD-ranking'!H$1-19,0,1,50),1,$B45)</f>
        <v>4.3260788886734014</v>
      </c>
      <c r="I45" s="528">
        <f ca="1">INDEX(OFFSET('MD-ratings-final'!$I$19,'MD-ranking'!I$1-19,0,1,50),1,$B45)</f>
        <v>4.1270579461313774</v>
      </c>
      <c r="J45" s="528">
        <f ca="1">INDEX(OFFSET('MD-ratings-final'!$I$19,'MD-ranking'!J$1-19,0,1,50),1,$B45)</f>
        <v>0.91538018613592342</v>
      </c>
      <c r="K45" s="523">
        <f ca="1">INDEX(OFFSET('MD-ratings-final'!$I$19,'MD-ranking'!K$1-19,0,1,50),1,$B45)</f>
        <v>3.1228390069802336</v>
      </c>
      <c r="M45" s="528">
        <f ca="1">INDEX(OFFSET('MD-ratings-final'!$I$19,'MD-ranking'!M$1-19,0,1,50),1,$B45)</f>
        <v>4.9357911714606599</v>
      </c>
      <c r="N45" s="528">
        <f ca="1">INDEX(OFFSET('MD-ratings-final'!$I$19,'MD-ranking'!N$1-19,0,1,50),1,$B45)</f>
        <v>4.6648725555391559</v>
      </c>
      <c r="O45" s="528">
        <f ca="1">INDEX(OFFSET('MD-ratings-final'!$I$19,'MD-ranking'!O$1-19,0,1,50),1,$B45)</f>
        <v>4.9517406205486054</v>
      </c>
      <c r="P45" s="523">
        <f ca="1">INDEX(OFFSET('MD-ratings-final'!$I$19,'MD-ranking'!P$1-19,0,1,50),1,$B45)</f>
        <v>4.8879872279115375</v>
      </c>
      <c r="R45" s="528">
        <f ca="1">INDEX(OFFSET('MD-ratings-final'!$I$19,'MD-ranking'!R$1-19,0,1,50),1,$B45)</f>
        <v>6.2945948367184057</v>
      </c>
      <c r="S45" s="528">
        <f ca="1">INDEX(OFFSET('MD-ratings-final'!$I$19,'MD-ranking'!S$1-19,0,1,50),1,$B45)</f>
        <v>6.8808879997034849</v>
      </c>
      <c r="T45" s="523">
        <f ca="1">INDEX(OFFSET('MD-ratings-final'!$I$19,'MD-ranking'!T$1-19,0,1,50),1,$B45)</f>
        <v>6.5877414182109453</v>
      </c>
      <c r="V45" s="528">
        <f ca="1">INDEX(OFFSET('MD-ratings-final'!$I$19,'MD-ranking'!V$1-19,0,1,50),1,$B45)</f>
        <v>7.4099956205860309</v>
      </c>
      <c r="W45" s="528">
        <f ca="1">INDEX(OFFSET('MD-ratings-final'!$I$19,'MD-ranking'!W$1-19,0,1,50),1,$B45)</f>
        <v>1.4804826683605867</v>
      </c>
      <c r="X45" s="523">
        <f ca="1">INDEX(OFFSET('MD-ratings-final'!$I$19,'MD-ranking'!X$1-19,0,1,50),1,$B45)</f>
        <v>4.4452391444733088</v>
      </c>
      <c r="AA45" s="532">
        <f ca="1">INDEX(OFFSET('MD-ratios'!$AF$23,'MD-ranking'!AA$1-19,0,1,50),1,$B45)</f>
        <v>1.3301498041023276</v>
      </c>
      <c r="AB45" s="532">
        <f ca="1">INDEX(OFFSET('MD-ratios'!$AF$23,'MD-ranking'!AB$1-19,0,1,50),1,$B45)</f>
        <v>1.0254866712760236</v>
      </c>
      <c r="AC45" s="532">
        <f ca="1">INDEX(OFFSET('MD-ratios'!$AF$23,'MD-ranking'!AC$1-19,0,1,50),1,$B45)</f>
        <v>3.2111853729738034E-3</v>
      </c>
      <c r="AD45" s="456"/>
      <c r="AE45" s="456">
        <f ca="1">INDEX(OFFSET('MD-ratios'!$AF$23,'MD-ranking'!AE$1-19,0,1,50),1,$B45)</f>
        <v>5.3385614413106824E-2</v>
      </c>
      <c r="AF45" s="456">
        <f ca="1">INDEX(OFFSET('MD-ratios'!$AF$23,'MD-ranking'!AF$1-19,0,1,50),1,$B45)</f>
        <v>8.1305873824311509E-2</v>
      </c>
      <c r="AG45" s="456">
        <f ca="1">INDEX(OFFSET('MD-ratios'!$AF$23,'MD-ranking'!AG$1-19,0,1,50),1,$B45)</f>
        <v>6.8016424608863674E-2</v>
      </c>
      <c r="AI45" s="456">
        <f ca="1">INDEX(OFFSET('MD-ratios'!$AF$23,'MD-ranking'!AI$1-19,0,1,50),1,$B45)</f>
        <v>2.5093083629002748E-2</v>
      </c>
      <c r="AJ45" s="456">
        <f ca="1">INDEX(OFFSET('MD-ratios'!$AF$23,'MD-ranking'!AJ$1-19,0,1,50),1,$B45)</f>
        <v>0.47003455715294884</v>
      </c>
      <c r="AL45" s="456">
        <f ca="1">INDEX(OFFSET('MD-ratios'!$AF$23,'MD-ranking'!AL$1-19,0,1,50),1,$B45)</f>
        <v>7.1588529305000979</v>
      </c>
      <c r="AM45" s="456">
        <f ca="1">INDEX(OFFSET('MD-ratios'!$AF$23,'MD-ranking'!AM$1-19,0,1,50),1,$B45)</f>
        <v>2.3119931223960997</v>
      </c>
    </row>
    <row r="46" spans="1:39" x14ac:dyDescent="0.25">
      <c r="A46" s="307">
        <v>35</v>
      </c>
      <c r="B46" s="525">
        <f>MATCH(C46,'MD-ratings-final'!I$1:BG$1,0)</f>
        <v>47</v>
      </c>
      <c r="C46" s="307" t="str">
        <f>INDEX('MD-ratings-final'!$I$1:$BG$1,MATCH('MD-ranking'!F46,'MD-ratings-final'!$I$34:$BF$34,0))</f>
        <v>I.S. Viva Flora</v>
      </c>
      <c r="F46" s="523">
        <f>LARGE('MD-ratings-final'!$I$34:$BF$34,'MD-ranking'!A46)</f>
        <v>4.8313655007683751</v>
      </c>
      <c r="H46" s="528">
        <f ca="1">INDEX(OFFSET('MD-ratings-final'!$I$19,'MD-ranking'!H$1-19,0,1,50),1,$B46)</f>
        <v>3.8779715756557605</v>
      </c>
      <c r="I46" s="528">
        <f ca="1">INDEX(OFFSET('MD-ratings-final'!$I$19,'MD-ranking'!I$1-19,0,1,50),1,$B46)</f>
        <v>0.69629278585002097</v>
      </c>
      <c r="J46" s="528">
        <f ca="1">INDEX(OFFSET('MD-ratings-final'!$I$19,'MD-ranking'!J$1-19,0,1,50),1,$B46)</f>
        <v>1.1181282091761267</v>
      </c>
      <c r="K46" s="523">
        <f ca="1">INDEX(OFFSET('MD-ratings-final'!$I$19,'MD-ranking'!K$1-19,0,1,50),1,$B46)</f>
        <v>1.8974641902273026</v>
      </c>
      <c r="M46" s="528">
        <f ca="1">INDEX(OFFSET('MD-ratings-final'!$I$19,'MD-ranking'!M$1-19,0,1,50),1,$B46)</f>
        <v>7.5295721154666664</v>
      </c>
      <c r="N46" s="528">
        <f ca="1">INDEX(OFFSET('MD-ratings-final'!$I$19,'MD-ranking'!N$1-19,0,1,50),1,$B46)</f>
        <v>8.525859378656822</v>
      </c>
      <c r="O46" s="528">
        <f ca="1">INDEX(OFFSET('MD-ratings-final'!$I$19,'MD-ranking'!O$1-19,0,1,50),1,$B46)</f>
        <v>8.2884711837938081</v>
      </c>
      <c r="P46" s="523">
        <f ca="1">INDEX(OFFSET('MD-ratings-final'!$I$19,'MD-ranking'!P$1-19,0,1,50),1,$B46)</f>
        <v>8.032389195435556</v>
      </c>
      <c r="R46" s="528">
        <f ca="1">INDEX(OFFSET('MD-ratings-final'!$I$19,'MD-ranking'!R$1-19,0,1,50),1,$B46)</f>
        <v>4.3036934369635258</v>
      </c>
      <c r="S46" s="528">
        <f ca="1">INDEX(OFFSET('MD-ratings-final'!$I$19,'MD-ranking'!S$1-19,0,1,50),1,$B46)</f>
        <v>7.0279134299894839</v>
      </c>
      <c r="T46" s="523">
        <f ca="1">INDEX(OFFSET('MD-ratings-final'!$I$19,'MD-ranking'!T$1-19,0,1,50),1,$B46)</f>
        <v>5.6658034334765039</v>
      </c>
      <c r="V46" s="528">
        <f ca="1">INDEX(OFFSET('MD-ratings-final'!$I$19,'MD-ranking'!V$1-19,0,1,50),1,$B46)</f>
        <v>3.2894068892843573</v>
      </c>
      <c r="W46" s="528">
        <f ca="1">INDEX(OFFSET('MD-ratings-final'!$I$19,'MD-ranking'!W$1-19,0,1,50),1,$B46)</f>
        <v>3.20220435381274</v>
      </c>
      <c r="X46" s="523">
        <f ca="1">INDEX(OFFSET('MD-ratings-final'!$I$19,'MD-ranking'!X$1-19,0,1,50),1,$B46)</f>
        <v>3.2458056215485485</v>
      </c>
      <c r="AA46" s="532">
        <f ca="1">INDEX(OFFSET('MD-ratios'!$AF$23,'MD-ranking'!AA$1-19,0,1,50),1,$B46)</f>
        <v>1.1961579994087992</v>
      </c>
      <c r="AB46" s="532">
        <f ca="1">INDEX(OFFSET('MD-ratios'!$AF$23,'MD-ranking'!AB$1-19,0,1,50),1,$B46)</f>
        <v>0.1875413488627429</v>
      </c>
      <c r="AC46" s="532">
        <f ca="1">INDEX(OFFSET('MD-ratios'!$AF$23,'MD-ranking'!AC$1-19,0,1,50),1,$B46)</f>
        <v>0.16564077917847225</v>
      </c>
      <c r="AD46" s="456"/>
      <c r="AE46" s="456">
        <f ca="1">INDEX(OFFSET('MD-ratios'!$AF$23,'MD-ranking'!AE$1-19,0,1,50),1,$B46)</f>
        <v>2.9019374442025465E-2</v>
      </c>
      <c r="AF46" s="456">
        <f ca="1">INDEX(OFFSET('MD-ratios'!$AF$23,'MD-ranking'!AF$1-19,0,1,50),1,$B46)</f>
        <v>0.13123950785184554</v>
      </c>
      <c r="AG46" s="456">
        <f ca="1">INDEX(OFFSET('MD-ratios'!$AF$23,'MD-ranking'!AG$1-19,0,1,50),1,$B46)</f>
        <v>6.3924924096052993E-2</v>
      </c>
      <c r="AI46" s="456">
        <f ca="1">INDEX(OFFSET('MD-ratios'!$AF$23,'MD-ranking'!AI$1-19,0,1,50),1,$B46)</f>
        <v>5.8173445894090563E-2</v>
      </c>
      <c r="AJ46" s="456">
        <f ca="1">INDEX(OFFSET('MD-ratios'!$AF$23,'MD-ranking'!AJ$1-19,0,1,50),1,$B46)</f>
        <v>1.2953649775049698</v>
      </c>
      <c r="AL46" s="456">
        <f ca="1">INDEX(OFFSET('MD-ratios'!$AF$23,'MD-ranking'!AL$1-19,0,1,50),1,$B46)</f>
        <v>2.2308402017468323</v>
      </c>
      <c r="AM46" s="456">
        <f ca="1">INDEX(OFFSET('MD-ratios'!$AF$23,'MD-ranking'!AM$1-19,0,1,50),1,$B46)</f>
        <v>19.981085299788816</v>
      </c>
    </row>
    <row r="47" spans="1:39" x14ac:dyDescent="0.25">
      <c r="A47" s="307">
        <v>36</v>
      </c>
      <c r="B47" s="525">
        <f>MATCH(C47,'MD-ratings-final'!I$1:BG$1,0)</f>
        <v>42</v>
      </c>
      <c r="C47" s="307" t="str">
        <f>INDEX('MD-ratings-final'!$I$1:$BG$1,MATCH('MD-ranking'!F47,'MD-ratings-final'!$I$34:$BF$34,0))</f>
        <v>I.S. SSPIM</v>
      </c>
      <c r="F47" s="523">
        <f>LARGE('MD-ratings-final'!$I$34:$BF$34,'MD-ranking'!A47)</f>
        <v>4.8044971474692089</v>
      </c>
      <c r="H47" s="528">
        <f ca="1">INDEX(OFFSET('MD-ratings-final'!$I$19,'MD-ranking'!H$1-19,0,1,50),1,$B47)</f>
        <v>5.0015682758578484</v>
      </c>
      <c r="I47" s="528">
        <f ca="1">INDEX(OFFSET('MD-ratings-final'!$I$19,'MD-ranking'!I$1-19,0,1,50),1,$B47)</f>
        <v>1.0668112442693085</v>
      </c>
      <c r="J47" s="528">
        <f ca="1">INDEX(OFFSET('MD-ratings-final'!$I$19,'MD-ranking'!J$1-19,0,1,50),1,$B47)</f>
        <v>0.10714121355230423</v>
      </c>
      <c r="K47" s="523">
        <f ca="1">INDEX(OFFSET('MD-ratings-final'!$I$19,'MD-ranking'!K$1-19,0,1,50),1,$B47)</f>
        <v>2.0585069112264867</v>
      </c>
      <c r="M47" s="528">
        <f ca="1">INDEX(OFFSET('MD-ratings-final'!$I$19,'MD-ranking'!M$1-19,0,1,50),1,$B47)</f>
        <v>7.9225366901498022</v>
      </c>
      <c r="N47" s="528">
        <f ca="1">INDEX(OFFSET('MD-ratings-final'!$I$19,'MD-ranking'!N$1-19,0,1,50),1,$B47)</f>
        <v>7.4690285657414988</v>
      </c>
      <c r="O47" s="528">
        <f ca="1">INDEX(OFFSET('MD-ratings-final'!$I$19,'MD-ranking'!O$1-19,0,1,50),1,$B47)</f>
        <v>7.9487146094092722</v>
      </c>
      <c r="P47" s="523">
        <f ca="1">INDEX(OFFSET('MD-ratings-final'!$I$19,'MD-ranking'!P$1-19,0,1,50),1,$B47)</f>
        <v>7.8423062329719304</v>
      </c>
      <c r="R47" s="528">
        <f ca="1">INDEX(OFFSET('MD-ratings-final'!$I$19,'MD-ranking'!R$1-19,0,1,50),1,$B47)</f>
        <v>3.3923115426029722</v>
      </c>
      <c r="S47" s="528">
        <f ca="1">INDEX(OFFSET('MD-ratings-final'!$I$19,'MD-ranking'!S$1-19,0,1,50),1,$B47)</f>
        <v>6.4667630656271902</v>
      </c>
      <c r="T47" s="523">
        <f ca="1">INDEX(OFFSET('MD-ratings-final'!$I$19,'MD-ranking'!T$1-19,0,1,50),1,$B47)</f>
        <v>4.9295373041150814</v>
      </c>
      <c r="V47" s="528">
        <f ca="1">INDEX(OFFSET('MD-ratings-final'!$I$19,'MD-ranking'!V$1-19,0,1,50),1,$B47)</f>
        <v>3.9396735176940401</v>
      </c>
      <c r="W47" s="528">
        <f ca="1">INDEX(OFFSET('MD-ratings-final'!$I$19,'MD-ranking'!W$1-19,0,1,50),1,$B47)</f>
        <v>4.5646531841567644</v>
      </c>
      <c r="X47" s="523">
        <f ca="1">INDEX(OFFSET('MD-ratings-final'!$I$19,'MD-ranking'!X$1-19,0,1,50),1,$B47)</f>
        <v>4.252163350925402</v>
      </c>
      <c r="AA47" s="532">
        <f ca="1">INDEX(OFFSET('MD-ratios'!$AF$23,'MD-ranking'!AA$1-19,0,1,50),1,$B47)</f>
        <v>1.7077971223515676</v>
      </c>
      <c r="AB47" s="532">
        <f ca="1">INDEX(OFFSET('MD-ratios'!$AF$23,'MD-ranking'!AB$1-19,0,1,50),1,$B47)</f>
        <v>0.12086947563613887</v>
      </c>
      <c r="AC47" s="532">
        <f ca="1">INDEX(OFFSET('MD-ratios'!$AF$23,'MD-ranking'!AC$1-19,0,1,50),1,$B47)</f>
        <v>2.1839909343772536E-4</v>
      </c>
      <c r="AD47" s="456"/>
      <c r="AE47" s="456">
        <f ca="1">INDEX(OFFSET('MD-ratios'!$AF$23,'MD-ranking'!AE$1-19,0,1,50),1,$B47)</f>
        <v>4.3827829830741336E-2</v>
      </c>
      <c r="AF47" s="456">
        <f ca="1">INDEX(OFFSET('MD-ratios'!$AF$23,'MD-ranking'!AF$1-19,0,1,50),1,$B47)</f>
        <v>6.885228416164535E-2</v>
      </c>
      <c r="AG47" s="456">
        <f ca="1">INDEX(OFFSET('MD-ratios'!$AF$23,'MD-ranking'!AG$1-19,0,1,50),1,$B47)</f>
        <v>6.1840587080895501E-2</v>
      </c>
      <c r="AI47" s="456">
        <f ca="1">INDEX(OFFSET('MD-ratios'!$AF$23,'MD-ranking'!AI$1-19,0,1,50),1,$B47)</f>
        <v>8.6186927384118914E-2</v>
      </c>
      <c r="AJ47" s="456">
        <f ca="1">INDEX(OFFSET('MD-ratios'!$AF$23,'MD-ranking'!AJ$1-19,0,1,50),1,$B47)</f>
        <v>1.8589426079465921</v>
      </c>
      <c r="AL47" s="456">
        <f ca="1">INDEX(OFFSET('MD-ratios'!$AF$23,'MD-ranking'!AL$1-19,0,1,50),1,$B47)</f>
        <v>2.360858073255268</v>
      </c>
      <c r="AM47" s="456">
        <f ca="1">INDEX(OFFSET('MD-ratios'!$AF$23,'MD-ranking'!AM$1-19,0,1,50),1,$B47)</f>
        <v>13.849926568530346</v>
      </c>
    </row>
    <row r="48" spans="1:39" x14ac:dyDescent="0.25">
      <c r="A48" s="307">
        <v>37</v>
      </c>
      <c r="B48" s="525">
        <f>MATCH(C48,'MD-ratings-final'!I$1:BG$1,0)</f>
        <v>4</v>
      </c>
      <c r="C48" s="307" t="str">
        <f>INDEX('MD-ratings-final'!$I$1:$BG$1,MATCH('MD-ranking'!F48,'MD-ratings-final'!$I$34:$BF$34,0))</f>
        <v>S.A. Tracom</v>
      </c>
      <c r="F48" s="523">
        <f>LARGE('MD-ratings-final'!$I$34:$BF$34,'MD-ranking'!A48)</f>
        <v>4.6394639246917322</v>
      </c>
      <c r="H48" s="528">
        <f ca="1">INDEX(OFFSET('MD-ratings-final'!$I$19,'MD-ranking'!H$1-19,0,1,50),1,$B48)</f>
        <v>6.0679957970196927</v>
      </c>
      <c r="I48" s="528">
        <f ca="1">INDEX(OFFSET('MD-ratings-final'!$I$19,'MD-ranking'!I$1-19,0,1,50),1,$B48)</f>
        <v>4.6723154537120122</v>
      </c>
      <c r="J48" s="528">
        <f ca="1">INDEX(OFFSET('MD-ratings-final'!$I$19,'MD-ranking'!J$1-19,0,1,50),1,$B48)</f>
        <v>4.3358307084547762</v>
      </c>
      <c r="K48" s="523">
        <f ca="1">INDEX(OFFSET('MD-ratings-final'!$I$19,'MD-ranking'!K$1-19,0,1,50),1,$B48)</f>
        <v>5.0253806530621601</v>
      </c>
      <c r="M48" s="528">
        <f ca="1">INDEX(OFFSET('MD-ratings-final'!$I$19,'MD-ranking'!M$1-19,0,1,50),1,$B48)</f>
        <v>3.7081846270559575</v>
      </c>
      <c r="N48" s="528">
        <f ca="1">INDEX(OFFSET('MD-ratings-final'!$I$19,'MD-ranking'!N$1-19,0,1,50),1,$B48)</f>
        <v>4.0954304505792303</v>
      </c>
      <c r="O48" s="528">
        <f ca="1">INDEX(OFFSET('MD-ratings-final'!$I$19,'MD-ranking'!O$1-19,0,1,50),1,$B48)</f>
        <v>2.7975311405509085</v>
      </c>
      <c r="P48" s="523">
        <f ca="1">INDEX(OFFSET('MD-ratings-final'!$I$19,'MD-ranking'!P$1-19,0,1,50),1,$B48)</f>
        <v>3.4213723971585925</v>
      </c>
      <c r="R48" s="528">
        <f ca="1">INDEX(OFFSET('MD-ratings-final'!$I$19,'MD-ranking'!R$1-19,0,1,50),1,$B48)</f>
        <v>7.1747858236904829</v>
      </c>
      <c r="S48" s="528">
        <f ca="1">INDEX(OFFSET('MD-ratings-final'!$I$19,'MD-ranking'!S$1-19,0,1,50),1,$B48)</f>
        <v>4.5789377982141692</v>
      </c>
      <c r="T48" s="523">
        <f ca="1">INDEX(OFFSET('MD-ratings-final'!$I$19,'MD-ranking'!T$1-19,0,1,50),1,$B48)</f>
        <v>5.8768618109523265</v>
      </c>
      <c r="V48" s="528">
        <f ca="1">INDEX(OFFSET('MD-ratings-final'!$I$19,'MD-ranking'!V$1-19,0,1,50),1,$B48)</f>
        <v>4.3040845537166845</v>
      </c>
      <c r="W48" s="528">
        <f ca="1">INDEX(OFFSET('MD-ratings-final'!$I$19,'MD-ranking'!W$1-19,0,1,50),1,$B48)</f>
        <v>3.3430866347917765</v>
      </c>
      <c r="X48" s="523">
        <f ca="1">INDEX(OFFSET('MD-ratings-final'!$I$19,'MD-ranking'!X$1-19,0,1,50),1,$B48)</f>
        <v>3.8235855942542307</v>
      </c>
      <c r="AA48" s="532">
        <f ca="1">INDEX(OFFSET('MD-ratios'!$AF$23,'MD-ranking'!AA$1-19,0,1,50),1,$B48)</f>
        <v>3.846874577608121</v>
      </c>
      <c r="AB48" s="532">
        <f ca="1">INDEX(OFFSET('MD-ratios'!$AF$23,'MD-ranking'!AB$1-19,0,1,50),1,$B48)</f>
        <v>3.0128034936664889</v>
      </c>
      <c r="AC48" s="532">
        <f ca="1">INDEX(OFFSET('MD-ratios'!$AF$23,'MD-ranking'!AC$1-19,0,1,50),1,$B48)</f>
        <v>2.0588870598390945</v>
      </c>
      <c r="AD48" s="456"/>
      <c r="AE48" s="456">
        <f ca="1">INDEX(OFFSET('MD-ratios'!$AF$23,'MD-ranking'!AE$1-19,0,1,50),1,$B48)</f>
        <v>-2.4901867832287296E-2</v>
      </c>
      <c r="AF48" s="456">
        <f ca="1">INDEX(OFFSET('MD-ratios'!$AF$23,'MD-ranking'!AF$1-19,0,1,50),1,$B48)</f>
        <v>-2.5533435957809231E-2</v>
      </c>
      <c r="AG48" s="456">
        <f ca="1">INDEX(OFFSET('MD-ratios'!$AF$23,'MD-ranking'!AG$1-19,0,1,50),1,$B48)</f>
        <v>-0.12668491274118471</v>
      </c>
      <c r="AI48" s="456">
        <f ca="1">INDEX(OFFSET('MD-ratios'!$AF$23,'MD-ranking'!AI$1-19,0,1,50),1,$B48)</f>
        <v>2.6149519581880319E-3</v>
      </c>
      <c r="AJ48" s="456">
        <f ca="1">INDEX(OFFSET('MD-ratios'!$AF$23,'MD-ranking'!AJ$1-19,0,1,50),1,$B48)</f>
        <v>-0.12868507535524182</v>
      </c>
      <c r="AL48" s="456">
        <f ca="1">INDEX(OFFSET('MD-ratios'!$AF$23,'MD-ranking'!AL$1-19,0,1,50),1,$B48)</f>
        <v>2.5046118389877119</v>
      </c>
      <c r="AM48" s="456">
        <f ca="1">INDEX(OFFSET('MD-ratios'!$AF$23,'MD-ranking'!AM$1-19,0,1,50),1,$B48)</f>
        <v>7.4747803039533656</v>
      </c>
    </row>
    <row r="49" spans="1:39" x14ac:dyDescent="0.25">
      <c r="A49" s="307">
        <v>38</v>
      </c>
      <c r="B49" s="525">
        <f>MATCH(C49,'MD-ratings-final'!I$1:BG$1,0)</f>
        <v>7</v>
      </c>
      <c r="C49" s="307" t="str">
        <f>INDEX('MD-ratings-final'!$I$1:$BG$1,MATCH('MD-ranking'!F49,'MD-ratings-final'!$I$34:$BF$34,0))</f>
        <v>I.S. Mecagro</v>
      </c>
      <c r="F49" s="523">
        <f>LARGE('MD-ratings-final'!$I$34:$BF$34,'MD-ranking'!A49)</f>
        <v>4.3980905560836909</v>
      </c>
      <c r="H49" s="528">
        <f ca="1">INDEX(OFFSET('MD-ratings-final'!$I$19,'MD-ranking'!H$1-19,0,1,50),1,$B49)</f>
        <v>10</v>
      </c>
      <c r="I49" s="528">
        <f ca="1">INDEX(OFFSET('MD-ratings-final'!$I$19,'MD-ranking'!I$1-19,0,1,50),1,$B49)</f>
        <v>7.0659766642760884</v>
      </c>
      <c r="J49" s="528">
        <f ca="1">INDEX(OFFSET('MD-ratings-final'!$I$19,'MD-ranking'!J$1-19,0,1,50),1,$B49)</f>
        <v>7.1793514940421028</v>
      </c>
      <c r="K49" s="523">
        <f ca="1">INDEX(OFFSET('MD-ratings-final'!$I$19,'MD-ranking'!K$1-19,0,1,50),1,$B49)</f>
        <v>8.0817760527727298</v>
      </c>
      <c r="M49" s="528">
        <f ca="1">INDEX(OFFSET('MD-ratings-final'!$I$19,'MD-ranking'!M$1-19,0,1,50),1,$B49)</f>
        <v>6.288916228315939</v>
      </c>
      <c r="N49" s="528">
        <f ca="1">INDEX(OFFSET('MD-ratings-final'!$I$19,'MD-ranking'!N$1-19,0,1,50),1,$B49)</f>
        <v>7.4669177773536735</v>
      </c>
      <c r="O49" s="528">
        <f ca="1">INDEX(OFFSET('MD-ratings-final'!$I$19,'MD-ranking'!O$1-19,0,1,50),1,$B49)</f>
        <v>7.8105630484464825</v>
      </c>
      <c r="P49" s="523">
        <f ca="1">INDEX(OFFSET('MD-ratings-final'!$I$19,'MD-ranking'!P$1-19,0,1,50),1,$B49)</f>
        <v>7.1331752661757033</v>
      </c>
      <c r="R49" s="528">
        <f ca="1">INDEX(OFFSET('MD-ratings-final'!$I$19,'MD-ranking'!R$1-19,0,1,50),1,$B49)</f>
        <v>0</v>
      </c>
      <c r="S49" s="528">
        <f ca="1">INDEX(OFFSET('MD-ratings-final'!$I$19,'MD-ranking'!S$1-19,0,1,50),1,$B49)</f>
        <v>0.43621198614581302</v>
      </c>
      <c r="T49" s="523">
        <f ca="1">INDEX(OFFSET('MD-ratings-final'!$I$19,'MD-ranking'!T$1-19,0,1,50),1,$B49)</f>
        <v>0.21810599307290651</v>
      </c>
      <c r="V49" s="528">
        <f ca="1">INDEX(OFFSET('MD-ratings-final'!$I$19,'MD-ranking'!V$1-19,0,1,50),1,$B49)</f>
        <v>0.74042573698988312</v>
      </c>
      <c r="W49" s="528">
        <f ca="1">INDEX(OFFSET('MD-ratings-final'!$I$19,'MD-ranking'!W$1-19,0,1,50),1,$B49)</f>
        <v>4.5487835472572229</v>
      </c>
      <c r="X49" s="523">
        <f ca="1">INDEX(OFFSET('MD-ratings-final'!$I$19,'MD-ranking'!X$1-19,0,1,50),1,$B49)</f>
        <v>2.6446046421235527</v>
      </c>
      <c r="AA49" s="532">
        <f ca="1">INDEX(OFFSET('MD-ratios'!$AF$23,'MD-ranking'!AA$1-19,0,1,50),1,$B49)</f>
        <v>35.780214589397467</v>
      </c>
      <c r="AB49" s="532">
        <f ca="1">INDEX(OFFSET('MD-ratios'!$AF$23,'MD-ranking'!AB$1-19,0,1,50),1,$B49)</f>
        <v>2.2452990142458544</v>
      </c>
      <c r="AC49" s="532">
        <f ca="1">INDEX(OFFSET('MD-ratios'!$AF$23,'MD-ranking'!AC$1-19,0,1,50),1,$B49)</f>
        <v>1.5687161528674345</v>
      </c>
      <c r="AD49" s="456"/>
      <c r="AE49" s="456">
        <f ca="1">INDEX(OFFSET('MD-ratios'!$AF$23,'MD-ranking'!AE$1-19,0,1,50),1,$B49)</f>
        <v>8.6995495896322085E-3</v>
      </c>
      <c r="AF49" s="456">
        <f ca="1">INDEX(OFFSET('MD-ratios'!$AF$23,'MD-ranking'!AF$1-19,0,1,50),1,$B49)</f>
        <v>6.0465793342728349E-2</v>
      </c>
      <c r="AG49" s="456">
        <f ca="1">INDEX(OFFSET('MD-ratios'!$AF$23,'MD-ranking'!AG$1-19,0,1,50),1,$B49)</f>
        <v>3.9043994710593437E-2</v>
      </c>
      <c r="AI49" s="456">
        <f ca="1">INDEX(OFFSET('MD-ratios'!$AF$23,'MD-ranking'!AI$1-19,0,1,50),1,$B49)</f>
        <v>0.83263696030648038</v>
      </c>
      <c r="AJ49" s="456">
        <f ca="1">INDEX(OFFSET('MD-ratios'!$AF$23,'MD-ranking'!AJ$1-19,0,1,50),1,$B49)</f>
        <v>80.38178148469629</v>
      </c>
      <c r="AL49" s="456">
        <f ca="1">INDEX(OFFSET('MD-ratios'!$AF$23,'MD-ranking'!AL$1-19,0,1,50),1,$B49)</f>
        <v>0.26926779526344435</v>
      </c>
      <c r="AM49" s="456">
        <f ca="1">INDEX(OFFSET('MD-ratios'!$AF$23,'MD-ranking'!AM$1-19,0,1,50),1,$B49)</f>
        <v>13.841899101902447</v>
      </c>
    </row>
    <row r="50" spans="1:39" x14ac:dyDescent="0.25">
      <c r="A50" s="307">
        <v>39</v>
      </c>
      <c r="B50" s="525">
        <f>MATCH(C50,'MD-ratings-final'!I$1:BG$1,0)</f>
        <v>28</v>
      </c>
      <c r="C50" s="307" t="str">
        <f>INDEX('MD-ratings-final'!$I$1:$BG$1,MATCH('MD-ranking'!F50,'MD-ratings-final'!$I$34:$BF$34,0))</f>
        <v>I.S. Moldaeroservice</v>
      </c>
      <c r="F50" s="523">
        <f>LARGE('MD-ratings-final'!$I$34:$BF$34,'MD-ranking'!A50)</f>
        <v>4.0222826479759179</v>
      </c>
      <c r="H50" s="528">
        <f ca="1">INDEX(OFFSET('MD-ratings-final'!$I$19,'MD-ranking'!H$1-19,0,1,50),1,$B50)</f>
        <v>4.0605397284533051</v>
      </c>
      <c r="I50" s="528">
        <f ca="1">INDEX(OFFSET('MD-ratings-final'!$I$19,'MD-ranking'!I$1-19,0,1,50),1,$B50)</f>
        <v>3.2722650542735217</v>
      </c>
      <c r="J50" s="528">
        <f ca="1">INDEX(OFFSET('MD-ratings-final'!$I$19,'MD-ranking'!J$1-19,0,1,50),1,$B50)</f>
        <v>1.5600041237819426</v>
      </c>
      <c r="K50" s="523">
        <f ca="1">INDEX(OFFSET('MD-ratings-final'!$I$19,'MD-ranking'!K$1-19,0,1,50),1,$B50)</f>
        <v>2.964269635502923</v>
      </c>
      <c r="M50" s="528">
        <f ca="1">INDEX(OFFSET('MD-ratings-final'!$I$19,'MD-ranking'!M$1-19,0,1,50),1,$B50)</f>
        <v>4.0939564775233785</v>
      </c>
      <c r="N50" s="528">
        <f ca="1">INDEX(OFFSET('MD-ratings-final'!$I$19,'MD-ranking'!N$1-19,0,1,50),1,$B50)</f>
        <v>4.4279583170664392</v>
      </c>
      <c r="O50" s="528">
        <f ca="1">INDEX(OFFSET('MD-ratings-final'!$I$19,'MD-ranking'!O$1-19,0,1,50),1,$B50)</f>
        <v>3.9907383560395266</v>
      </c>
      <c r="P50" s="523">
        <f ca="1">INDEX(OFFSET('MD-ratings-final'!$I$19,'MD-ranking'!P$1-19,0,1,50),1,$B50)</f>
        <v>4.1194695968384503</v>
      </c>
      <c r="R50" s="528">
        <f ca="1">INDEX(OFFSET('MD-ratings-final'!$I$19,'MD-ranking'!R$1-19,0,1,50),1,$B50)</f>
        <v>4.6606372298073371</v>
      </c>
      <c r="S50" s="528">
        <f ca="1">INDEX(OFFSET('MD-ratings-final'!$I$19,'MD-ranking'!S$1-19,0,1,50),1,$B50)</f>
        <v>2.5102260554721165</v>
      </c>
      <c r="T50" s="523">
        <f ca="1">INDEX(OFFSET('MD-ratings-final'!$I$19,'MD-ranking'!T$1-19,0,1,50),1,$B50)</f>
        <v>3.585431642639727</v>
      </c>
      <c r="V50" s="528">
        <f ca="1">INDEX(OFFSET('MD-ratings-final'!$I$19,'MD-ranking'!V$1-19,0,1,50),1,$B50)</f>
        <v>9.4734858688860335</v>
      </c>
      <c r="W50" s="528">
        <f ca="1">INDEX(OFFSET('MD-ratings-final'!$I$19,'MD-ranking'!W$1-19,0,1,50),1,$B50)</f>
        <v>2.2836976021005309</v>
      </c>
      <c r="X50" s="523">
        <f ca="1">INDEX(OFFSET('MD-ratings-final'!$I$19,'MD-ranking'!X$1-19,0,1,50),1,$B50)</f>
        <v>5.8785917354932824</v>
      </c>
      <c r="AA50" s="532">
        <f ca="1">INDEX(OFFSET('MD-ratios'!$AF$23,'MD-ranking'!AA$1-19,0,1,50),1,$B50)</f>
        <v>1.0658951490436068</v>
      </c>
      <c r="AB50" s="532">
        <f ca="1">INDEX(OFFSET('MD-ratios'!$AF$23,'MD-ranking'!AB$1-19,0,1,50),1,$B50)</f>
        <v>0.70990558169575302</v>
      </c>
      <c r="AC50" s="532">
        <f ca="1">INDEX(OFFSET('MD-ratios'!$AF$23,'MD-ranking'!AC$1-19,0,1,50),1,$B50)</f>
        <v>0.13180030638743065</v>
      </c>
      <c r="AD50" s="456"/>
      <c r="AE50" s="456">
        <f ca="1">INDEX(OFFSET('MD-ratios'!$AF$23,'MD-ranking'!AE$1-19,0,1,50),1,$B50)</f>
        <v>2.1034970638686818E-3</v>
      </c>
      <c r="AF50" s="456">
        <f ca="1">INDEX(OFFSET('MD-ratios'!$AF$23,'MD-ranking'!AF$1-19,0,1,50),1,$B50)</f>
        <v>3.2044865810063345E-3</v>
      </c>
      <c r="AG50" s="456">
        <f ca="1">INDEX(OFFSET('MD-ratios'!$AF$23,'MD-ranking'!AG$1-19,0,1,50),1,$B50)</f>
        <v>8.3190057352224844E-3</v>
      </c>
      <c r="AI50" s="456">
        <f ca="1">INDEX(OFFSET('MD-ratios'!$AF$23,'MD-ranking'!AI$1-19,0,1,50),1,$B50)</f>
        <v>0.19912323294451487</v>
      </c>
      <c r="AJ50" s="456">
        <f ca="1">INDEX(OFFSET('MD-ratios'!$AF$23,'MD-ranking'!AJ$1-19,0,1,50),1,$B50)</f>
        <v>60.463235733492681</v>
      </c>
      <c r="AL50" s="456">
        <f ca="1">INDEX(OFFSET('MD-ratios'!$AF$23,'MD-ranking'!AL$1-19,0,1,50),1,$B50)</f>
        <v>24.782330024832739</v>
      </c>
      <c r="AM50" s="456">
        <f ca="1">INDEX(OFFSET('MD-ratios'!$AF$23,'MD-ranking'!AM$1-19,0,1,50),1,$B50)</f>
        <v>2.8248061389221109</v>
      </c>
    </row>
    <row r="51" spans="1:39" x14ac:dyDescent="0.25">
      <c r="A51" s="307">
        <v>40</v>
      </c>
      <c r="B51" s="525">
        <f>MATCH(C51,'MD-ratings-final'!I$1:BG$1,0)</f>
        <v>29</v>
      </c>
      <c r="C51" s="307" t="str">
        <f>INDEX('MD-ratings-final'!$I$1:$BG$1,MATCH('MD-ranking'!F51,'MD-ratings-final'!$I$34:$BF$34,0))</f>
        <v>S.A. Gara de nord</v>
      </c>
      <c r="F51" s="523">
        <f>LARGE('MD-ratings-final'!$I$34:$BF$34,'MD-ranking'!A51)</f>
        <v>3.8690040433026711</v>
      </c>
      <c r="H51" s="528">
        <f ca="1">INDEX(OFFSET('MD-ratings-final'!$I$19,'MD-ranking'!H$1-19,0,1,50),1,$B51)</f>
        <v>1.5782935111246186</v>
      </c>
      <c r="I51" s="528">
        <f ca="1">INDEX(OFFSET('MD-ratings-final'!$I$19,'MD-ranking'!I$1-19,0,1,50),1,$B51)</f>
        <v>0.76942369945203715</v>
      </c>
      <c r="J51" s="528">
        <f ca="1">INDEX(OFFSET('MD-ratings-final'!$I$19,'MD-ranking'!J$1-19,0,1,50),1,$B51)</f>
        <v>1.3186587863183294</v>
      </c>
      <c r="K51" s="523">
        <f ca="1">INDEX(OFFSET('MD-ratings-final'!$I$19,'MD-ranking'!K$1-19,0,1,50),1,$B51)</f>
        <v>1.2221253322983283</v>
      </c>
      <c r="M51" s="528">
        <f ca="1">INDEX(OFFSET('MD-ratings-final'!$I$19,'MD-ranking'!M$1-19,0,1,50),1,$B51)</f>
        <v>7.9734628434082016</v>
      </c>
      <c r="N51" s="528">
        <f ca="1">INDEX(OFFSET('MD-ratings-final'!$I$19,'MD-ranking'!N$1-19,0,1,50),1,$B51)</f>
        <v>7.2192424088778244</v>
      </c>
      <c r="O51" s="528">
        <f ca="1">INDEX(OFFSET('MD-ratings-final'!$I$19,'MD-ranking'!O$1-19,0,1,50),1,$B51)</f>
        <v>8.6872447592047894</v>
      </c>
      <c r="P51" s="523">
        <f ca="1">INDEX(OFFSET('MD-ratings-final'!$I$19,'MD-ranking'!P$1-19,0,1,50),1,$B51)</f>
        <v>8.1081315228207611</v>
      </c>
      <c r="R51" s="528">
        <f ca="1">INDEX(OFFSET('MD-ratings-final'!$I$19,'MD-ranking'!R$1-19,0,1,50),1,$B51)</f>
        <v>1.9795543864307512</v>
      </c>
      <c r="S51" s="528">
        <f ca="1">INDEX(OFFSET('MD-ratings-final'!$I$19,'MD-ranking'!S$1-19,0,1,50),1,$B51)</f>
        <v>5.3961080257743488</v>
      </c>
      <c r="T51" s="523">
        <f ca="1">INDEX(OFFSET('MD-ratings-final'!$I$19,'MD-ranking'!T$1-19,0,1,50),1,$B51)</f>
        <v>3.6878312061025498</v>
      </c>
      <c r="V51" s="528">
        <f ca="1">INDEX(OFFSET('MD-ratings-final'!$I$19,'MD-ranking'!V$1-19,0,1,50),1,$B51)</f>
        <v>4.3009046769213395</v>
      </c>
      <c r="W51" s="528">
        <f ca="1">INDEX(OFFSET('MD-ratings-final'!$I$19,'MD-ranking'!W$1-19,0,1,50),1,$B51)</f>
        <v>0</v>
      </c>
      <c r="X51" s="523">
        <f ca="1">INDEX(OFFSET('MD-ratings-final'!$I$19,'MD-ranking'!X$1-19,0,1,50),1,$B51)</f>
        <v>2.1504523384606697</v>
      </c>
      <c r="AA51" s="532">
        <f ca="1">INDEX(OFFSET('MD-ratios'!$AF$23,'MD-ranking'!AA$1-19,0,1,50),1,$B51)</f>
        <v>0.27246682955966356</v>
      </c>
      <c r="AB51" s="532">
        <f ca="1">INDEX(OFFSET('MD-ratios'!$AF$23,'MD-ranking'!AB$1-19,0,1,50),1,$B51)</f>
        <v>0.1244651317560181</v>
      </c>
      <c r="AC51" s="532">
        <f ca="1">INDEX(OFFSET('MD-ratios'!$AF$23,'MD-ranking'!AC$1-19,0,1,50),1,$B51)</f>
        <v>0.1244651317560181</v>
      </c>
      <c r="AD51" s="456"/>
      <c r="AE51" s="456">
        <f ca="1">INDEX(OFFSET('MD-ratios'!$AF$23,'MD-ranking'!AE$1-19,0,1,50),1,$B51)</f>
        <v>2.5947656101030343E-2</v>
      </c>
      <c r="AF51" s="456">
        <f ca="1">INDEX(OFFSET('MD-ratios'!$AF$23,'MD-ranking'!AF$1-19,0,1,50),1,$B51)</f>
        <v>3.2278577317629668E-2</v>
      </c>
      <c r="AG51" s="456">
        <f ca="1">INDEX(OFFSET('MD-ratios'!$AF$23,'MD-ranking'!AG$1-19,0,1,50),1,$B51)</f>
        <v>5.8190855093971157E-2</v>
      </c>
      <c r="AI51" s="456">
        <f ca="1">INDEX(OFFSET('MD-ratios'!$AF$23,'MD-ranking'!AI$1-19,0,1,50),1,$B51)</f>
        <v>0.17151305567341613</v>
      </c>
      <c r="AJ51" s="456">
        <f ca="1">INDEX(OFFSET('MD-ratios'!$AF$23,'MD-ranking'!AJ$1-19,0,1,50),1,$B51)</f>
        <v>6.6099633433405023</v>
      </c>
      <c r="AL51" s="456">
        <f ca="1">INDEX(OFFSET('MD-ratios'!$AF$23,'MD-ranking'!AL$1-19,0,1,50),1,$B51)</f>
        <v>-3.0580823502463765</v>
      </c>
      <c r="AM51" s="456">
        <f ca="1">INDEX(OFFSET('MD-ratios'!$AF$23,'MD-ranking'!AM$1-19,0,1,50),1,$B51)</f>
        <v>0</v>
      </c>
    </row>
    <row r="52" spans="1:39" x14ac:dyDescent="0.25">
      <c r="A52" s="307">
        <v>41</v>
      </c>
      <c r="B52" s="525">
        <f>MATCH(C52,'MD-ratings-final'!I$1:BG$1,0)</f>
        <v>14</v>
      </c>
      <c r="C52" s="307" t="str">
        <f>INDEX('MD-ratings-final'!$I$1:$BG$1,MATCH('MD-ranking'!F52,'MD-ratings-final'!$I$34:$BF$34,0))</f>
        <v>I.S. Moldelectrica</v>
      </c>
      <c r="F52" s="523">
        <f>LARGE('MD-ratings-final'!$I$34:$BF$34,'MD-ranking'!A52)</f>
        <v>3.4838595526608729</v>
      </c>
      <c r="H52" s="528">
        <f ca="1">INDEX(OFFSET('MD-ratings-final'!$I$19,'MD-ranking'!H$1-19,0,1,50),1,$B52)</f>
        <v>5.1711604284236534</v>
      </c>
      <c r="I52" s="528">
        <f ca="1">INDEX(OFFSET('MD-ratings-final'!$I$19,'MD-ranking'!I$1-19,0,1,50),1,$B52)</f>
        <v>4.7288590287866512</v>
      </c>
      <c r="J52" s="528">
        <f ca="1">INDEX(OFFSET('MD-ratings-final'!$I$19,'MD-ranking'!J$1-19,0,1,50),1,$B52)</f>
        <v>3.5170100013956538</v>
      </c>
      <c r="K52" s="523">
        <f ca="1">INDEX(OFFSET('MD-ratings-final'!$I$19,'MD-ranking'!K$1-19,0,1,50),1,$B52)</f>
        <v>4.4723431528686524</v>
      </c>
      <c r="M52" s="528">
        <f ca="1">INDEX(OFFSET('MD-ratings-final'!$I$19,'MD-ranking'!M$1-19,0,1,50),1,$B52)</f>
        <v>3.298742616510252</v>
      </c>
      <c r="N52" s="528">
        <f ca="1">INDEX(OFFSET('MD-ratings-final'!$I$19,'MD-ranking'!N$1-19,0,1,50),1,$B52)</f>
        <v>3.1598448613676928</v>
      </c>
      <c r="O52" s="528">
        <f ca="1">INDEX(OFFSET('MD-ratings-final'!$I$19,'MD-ranking'!O$1-19,0,1,50),1,$B52)</f>
        <v>3.5820794792558295</v>
      </c>
      <c r="P52" s="523">
        <f ca="1">INDEX(OFFSET('MD-ratings-final'!$I$19,'MD-ranking'!P$1-19,0,1,50),1,$B52)</f>
        <v>3.3842978105799713</v>
      </c>
      <c r="R52" s="528">
        <f ca="1">INDEX(OFFSET('MD-ratings-final'!$I$19,'MD-ranking'!R$1-19,0,1,50),1,$B52)</f>
        <v>1.5793108930791291</v>
      </c>
      <c r="S52" s="528">
        <f ca="1">INDEX(OFFSET('MD-ratings-final'!$I$19,'MD-ranking'!S$1-19,0,1,50),1,$B52)</f>
        <v>2.117331383035256</v>
      </c>
      <c r="T52" s="523">
        <f ca="1">INDEX(OFFSET('MD-ratings-final'!$I$19,'MD-ranking'!T$1-19,0,1,50),1,$B52)</f>
        <v>1.8483211380571927</v>
      </c>
      <c r="V52" s="528">
        <f ca="1">INDEX(OFFSET('MD-ratings-final'!$I$19,'MD-ranking'!V$1-19,0,1,50),1,$B52)</f>
        <v>6.4582535805654784</v>
      </c>
      <c r="W52" s="528">
        <f ca="1">INDEX(OFFSET('MD-ratings-final'!$I$19,'MD-ranking'!W$1-19,0,1,50),1,$B52)</f>
        <v>3.1937761232501125</v>
      </c>
      <c r="X52" s="523">
        <f ca="1">INDEX(OFFSET('MD-ratings-final'!$I$19,'MD-ranking'!X$1-19,0,1,50),1,$B52)</f>
        <v>4.8260148519077957</v>
      </c>
      <c r="AA52" s="532">
        <f ca="1">INDEX(OFFSET('MD-ratios'!$AF$23,'MD-ranking'!AA$1-19,0,1,50),1,$B52)</f>
        <v>2.0198858249647373</v>
      </c>
      <c r="AB52" s="532">
        <f ca="1">INDEX(OFFSET('MD-ratios'!$AF$23,'MD-ranking'!AB$1-19,0,1,50),1,$B52)</f>
        <v>1.5466489908591012</v>
      </c>
      <c r="AC52" s="532">
        <f ca="1">INDEX(OFFSET('MD-ratios'!$AF$23,'MD-ranking'!AC$1-19,0,1,50),1,$B52)</f>
        <v>0.69350251981521138</v>
      </c>
      <c r="AD52" s="456"/>
      <c r="AE52" s="456">
        <f ca="1">INDEX(OFFSET('MD-ratios'!$AF$23,'MD-ranking'!AE$1-19,0,1,50),1,$B52)</f>
        <v>3.8194786184964926E-3</v>
      </c>
      <c r="AF52" s="456">
        <f ca="1">INDEX(OFFSET('MD-ratios'!$AF$23,'MD-ranking'!AF$1-19,0,1,50),1,$B52)</f>
        <v>4.9798593130584139E-3</v>
      </c>
      <c r="AG52" s="456">
        <f ca="1">INDEX(OFFSET('MD-ratios'!$AF$23,'MD-ranking'!AG$1-19,0,1,50),1,$B52)</f>
        <v>9.523737252251703E-3</v>
      </c>
      <c r="AI52" s="456">
        <f ca="1">INDEX(OFFSET('MD-ratios'!$AF$23,'MD-ranking'!AI$1-19,0,1,50),1,$B52)</f>
        <v>0.20036687029740199</v>
      </c>
      <c r="AJ52" s="456">
        <f ca="1">INDEX(OFFSET('MD-ratios'!$AF$23,'MD-ranking'!AJ$1-19,0,1,50),1,$B52)</f>
        <v>-54.854616930281431</v>
      </c>
      <c r="AL52" s="456">
        <f ca="1">INDEX(OFFSET('MD-ratios'!$AF$23,'MD-ranking'!AL$1-19,0,1,50),1,$B52)</f>
        <v>6.5334431399885409</v>
      </c>
      <c r="AM52" s="456">
        <f ca="1">INDEX(OFFSET('MD-ratios'!$AF$23,'MD-ranking'!AM$1-19,0,1,50),1,$B52)</f>
        <v>7.8103423888447665</v>
      </c>
    </row>
    <row r="53" spans="1:39" x14ac:dyDescent="0.25">
      <c r="A53" s="307">
        <v>42</v>
      </c>
      <c r="B53" s="525">
        <f>MATCH(C53,'MD-ratings-final'!I$1:BG$1,0)</f>
        <v>10</v>
      </c>
      <c r="C53" s="307" t="str">
        <f>INDEX('MD-ratings-final'!$I$1:$BG$1,MATCH('MD-ranking'!F53,'MD-ratings-final'!$I$34:$BF$34,0))</f>
        <v>I.S. Calea Ferata</v>
      </c>
      <c r="F53" s="523">
        <f>LARGE('MD-ratings-final'!$I$34:$BF$34,'MD-ranking'!A53)</f>
        <v>3.4335675122678095</v>
      </c>
      <c r="H53" s="528">
        <f ca="1">INDEX(OFFSET('MD-ratings-final'!$I$19,'MD-ranking'!H$1-19,0,1,50),1,$B53)</f>
        <v>3.7980612190476899</v>
      </c>
      <c r="I53" s="528">
        <f ca="1">INDEX(OFFSET('MD-ratings-final'!$I$19,'MD-ranking'!I$1-19,0,1,50),1,$B53)</f>
        <v>0.89868007591101151</v>
      </c>
      <c r="J53" s="528">
        <f ca="1">INDEX(OFFSET('MD-ratings-final'!$I$19,'MD-ranking'!J$1-19,0,1,50),1,$B53)</f>
        <v>0.61859520655640832</v>
      </c>
      <c r="K53" s="523">
        <f ca="1">INDEX(OFFSET('MD-ratings-final'!$I$19,'MD-ranking'!K$1-19,0,1,50),1,$B53)</f>
        <v>1.77177883383837</v>
      </c>
      <c r="M53" s="528">
        <f ca="1">INDEX(OFFSET('MD-ratings-final'!$I$19,'MD-ranking'!M$1-19,0,1,50),1,$B53)</f>
        <v>2.3425710048780708</v>
      </c>
      <c r="N53" s="528">
        <f ca="1">INDEX(OFFSET('MD-ratings-final'!$I$19,'MD-ranking'!N$1-19,0,1,50),1,$B53)</f>
        <v>3.0204879867359424</v>
      </c>
      <c r="O53" s="528">
        <f ca="1">INDEX(OFFSET('MD-ratings-final'!$I$19,'MD-ranking'!O$1-19,0,1,50),1,$B53)</f>
        <v>1.2175594287397342</v>
      </c>
      <c r="P53" s="523">
        <f ca="1">INDEX(OFFSET('MD-ratings-final'!$I$19,'MD-ranking'!P$1-19,0,1,50),1,$B53)</f>
        <v>2.0281497707943106</v>
      </c>
      <c r="R53" s="528">
        <f ca="1">INDEX(OFFSET('MD-ratings-final'!$I$19,'MD-ranking'!R$1-19,0,1,50),1,$B53)</f>
        <v>3.9573913017667723</v>
      </c>
      <c r="S53" s="528">
        <f ca="1">INDEX(OFFSET('MD-ratings-final'!$I$19,'MD-ranking'!S$1-19,0,1,50),1,$B53)</f>
        <v>3.0907545932013756</v>
      </c>
      <c r="T53" s="523">
        <f ca="1">INDEX(OFFSET('MD-ratings-final'!$I$19,'MD-ranking'!T$1-19,0,1,50),1,$B53)</f>
        <v>3.5240729474840737</v>
      </c>
      <c r="V53" s="528">
        <f ca="1">INDEX(OFFSET('MD-ratings-final'!$I$19,'MD-ranking'!V$1-19,0,1,50),1,$B53)</f>
        <v>8.1027753094505304</v>
      </c>
      <c r="W53" s="528">
        <f ca="1">INDEX(OFFSET('MD-ratings-final'!$I$19,'MD-ranking'!W$1-19,0,1,50),1,$B53)</f>
        <v>6.1608594591936434</v>
      </c>
      <c r="X53" s="523">
        <f ca="1">INDEX(OFFSET('MD-ratings-final'!$I$19,'MD-ranking'!X$1-19,0,1,50),1,$B53)</f>
        <v>7.1318173843220878</v>
      </c>
      <c r="AA53" s="532">
        <f ca="1">INDEX(OFFSET('MD-ratios'!$AF$23,'MD-ranking'!AA$1-19,0,1,50),1,$B53)</f>
        <v>0.85478288745726638</v>
      </c>
      <c r="AB53" s="532">
        <f ca="1">INDEX(OFFSET('MD-ratios'!$AF$23,'MD-ranking'!AB$1-19,0,1,50),1,$B53)</f>
        <v>9.7792421879296071E-2</v>
      </c>
      <c r="AC53" s="532">
        <f ca="1">INDEX(OFFSET('MD-ratios'!$AF$23,'MD-ranking'!AC$1-19,0,1,50),1,$B53)</f>
        <v>2.8326482869578319E-2</v>
      </c>
      <c r="AD53" s="456"/>
      <c r="AE53" s="456">
        <f ca="1">INDEX(OFFSET('MD-ratios'!$AF$23,'MD-ranking'!AE$1-19,0,1,50),1,$B53)</f>
        <v>-1.5283418217311035E-2</v>
      </c>
      <c r="AF53" s="456">
        <f ca="1">INDEX(OFFSET('MD-ratios'!$AF$23,'MD-ranking'!AF$1-19,0,1,50),1,$B53)</f>
        <v>-1.88552170440324E-2</v>
      </c>
      <c r="AG53" s="456">
        <f ca="1">INDEX(OFFSET('MD-ratios'!$AF$23,'MD-ranking'!AG$1-19,0,1,50),1,$B53)</f>
        <v>-5.6090992980819404E-2</v>
      </c>
      <c r="AI53" s="456">
        <f ca="1">INDEX(OFFSET('MD-ratios'!$AF$23,'MD-ranking'!AI$1-19,0,1,50),1,$B53)</f>
        <v>6.227250834662932E-2</v>
      </c>
      <c r="AJ53" s="456">
        <f ca="1">INDEX(OFFSET('MD-ratios'!$AF$23,'MD-ranking'!AJ$1-19,0,1,50),1,$B53)</f>
        <v>-4.0745144483513025</v>
      </c>
      <c r="AL53" s="456">
        <f ca="1">INDEX(OFFSET('MD-ratios'!$AF$23,'MD-ranking'!AL$1-19,0,1,50),1,$B53)</f>
        <v>-11.27825228921539</v>
      </c>
      <c r="AM53" s="456">
        <f ca="1">INDEX(OFFSET('MD-ratios'!$AF$23,'MD-ranking'!AM$1-19,0,1,50),1,$B53)</f>
        <v>23.576953760593657</v>
      </c>
    </row>
    <row r="54" spans="1:39" x14ac:dyDescent="0.25">
      <c r="A54" s="307">
        <v>43</v>
      </c>
      <c r="B54" s="525">
        <f>MATCH(C54,'MD-ratings-final'!I$1:BG$1,0)</f>
        <v>46</v>
      </c>
      <c r="C54" s="307" t="str">
        <f>INDEX('MD-ratings-final'!$I$1:$BG$1,MATCH('MD-ranking'!F54,'MD-ratings-final'!$I$34:$BF$34,0))</f>
        <v>I.S. Dumbrava Vest</v>
      </c>
      <c r="F54" s="523">
        <f>LARGE('MD-ratings-final'!$I$34:$BF$34,'MD-ranking'!A54)</f>
        <v>3.4029924461710763</v>
      </c>
      <c r="H54" s="528">
        <f ca="1">INDEX(OFFSET('MD-ratings-final'!$I$19,'MD-ranking'!H$1-19,0,1,50),1,$B54)</f>
        <v>4.2222404891903755</v>
      </c>
      <c r="I54" s="528">
        <f ca="1">INDEX(OFFSET('MD-ratings-final'!$I$19,'MD-ranking'!I$1-19,0,1,50),1,$B54)</f>
        <v>2.6656860116714958</v>
      </c>
      <c r="J54" s="528">
        <f ca="1">INDEX(OFFSET('MD-ratings-final'!$I$19,'MD-ranking'!J$1-19,0,1,50),1,$B54)</f>
        <v>0.16117204229507492</v>
      </c>
      <c r="K54" s="523">
        <f ca="1">INDEX(OFFSET('MD-ratings-final'!$I$19,'MD-ranking'!K$1-19,0,1,50),1,$B54)</f>
        <v>2.3496995143856485</v>
      </c>
      <c r="M54" s="528">
        <f ca="1">INDEX(OFFSET('MD-ratings-final'!$I$19,'MD-ranking'!M$1-19,0,1,50),1,$B54)</f>
        <v>4.2059169467766031</v>
      </c>
      <c r="N54" s="528">
        <f ca="1">INDEX(OFFSET('MD-ratings-final'!$I$19,'MD-ranking'!N$1-19,0,1,50),1,$B54)</f>
        <v>4.2831624035909508</v>
      </c>
      <c r="O54" s="528">
        <f ca="1">INDEX(OFFSET('MD-ratings-final'!$I$19,'MD-ranking'!O$1-19,0,1,50),1,$B54)</f>
        <v>4.0983111850581002</v>
      </c>
      <c r="P54" s="523">
        <f ca="1">INDEX(OFFSET('MD-ratings-final'!$I$19,'MD-ranking'!P$1-19,0,1,50),1,$B54)</f>
        <v>4.1783237334520722</v>
      </c>
      <c r="R54" s="528">
        <f ca="1">INDEX(OFFSET('MD-ratings-final'!$I$19,'MD-ranking'!R$1-19,0,1,50),1,$B54)</f>
        <v>5.8327549750790997</v>
      </c>
      <c r="S54" s="528">
        <f ca="1">INDEX(OFFSET('MD-ratings-final'!$I$19,'MD-ranking'!S$1-19,0,1,50),1,$B54)</f>
        <v>2.2893754349271118</v>
      </c>
      <c r="T54" s="523">
        <f ca="1">INDEX(OFFSET('MD-ratings-final'!$I$19,'MD-ranking'!T$1-19,0,1,50),1,$B54)</f>
        <v>4.0610652050031062</v>
      </c>
      <c r="V54" s="528">
        <f ca="1">INDEX(OFFSET('MD-ratings-final'!$I$19,'MD-ranking'!V$1-19,0,1,50),1,$B54)</f>
        <v>4.5549778251644577</v>
      </c>
      <c r="W54" s="528">
        <f ca="1">INDEX(OFFSET('MD-ratings-final'!$I$19,'MD-ranking'!W$1-19,0,1,50),1,$B54)</f>
        <v>0.97169290194268343</v>
      </c>
      <c r="X54" s="523">
        <f ca="1">INDEX(OFFSET('MD-ratings-final'!$I$19,'MD-ranking'!X$1-19,0,1,50),1,$B54)</f>
        <v>2.7633353635535705</v>
      </c>
      <c r="AA54" s="532">
        <f ca="1">INDEX(OFFSET('MD-ratios'!$AF$23,'MD-ranking'!AA$1-19,0,1,50),1,$B54)</f>
        <v>1.1958769807333638</v>
      </c>
      <c r="AB54" s="532">
        <f ca="1">INDEX(OFFSET('MD-ratios'!$AF$23,'MD-ranking'!AB$1-19,0,1,50),1,$B54)</f>
        <v>0.32193174222811161</v>
      </c>
      <c r="AC54" s="532">
        <f ca="1">INDEX(OFFSET('MD-ratios'!$AF$23,'MD-ranking'!AC$1-19,0,1,50),1,$B54)</f>
        <v>4.5824297385096301E-4</v>
      </c>
      <c r="AD54" s="456"/>
      <c r="AE54" s="456">
        <f ca="1">INDEX(OFFSET('MD-ratios'!$AF$23,'MD-ranking'!AE$1-19,0,1,50),1,$B54)</f>
        <v>-4.2198230851257798E-3</v>
      </c>
      <c r="AF54" s="456">
        <f ca="1">INDEX(OFFSET('MD-ratios'!$AF$23,'MD-ranking'!AF$1-19,0,1,50),1,$B54)</f>
        <v>-8.0109924977251924E-3</v>
      </c>
      <c r="AG54" s="456">
        <f ca="1">INDEX(OFFSET('MD-ratios'!$AF$23,'MD-ranking'!AG$1-19,0,1,50),1,$B54)</f>
        <v>-8.3739467466326049E-3</v>
      </c>
      <c r="AI54" s="456">
        <f ca="1">INDEX(OFFSET('MD-ratios'!$AF$23,'MD-ranking'!AI$1-19,0,1,50),1,$B54)</f>
        <v>3.1940814736644361E-2</v>
      </c>
      <c r="AJ54" s="456">
        <f ca="1">INDEX(OFFSET('MD-ratios'!$AF$23,'MD-ranking'!AJ$1-19,0,1,50),1,$B54)</f>
        <v>-7.3973128598848366</v>
      </c>
      <c r="AL54" s="456">
        <f ca="1">INDEX(OFFSET('MD-ratios'!$AF$23,'MD-ranking'!AL$1-19,0,1,50),1,$B54)</f>
        <v>2.8478021159290718</v>
      </c>
      <c r="AM54" s="456">
        <f ca="1">INDEX(OFFSET('MD-ratios'!$AF$23,'MD-ranking'!AM$1-19,0,1,50),1,$B54)</f>
        <v>1.7351939786273958</v>
      </c>
    </row>
    <row r="55" spans="1:39" x14ac:dyDescent="0.25">
      <c r="A55" s="307">
        <v>44</v>
      </c>
      <c r="B55" s="525">
        <f>MATCH(C55,'MD-ratings-final'!I$1:BG$1,0)</f>
        <v>11</v>
      </c>
      <c r="C55" s="307" t="str">
        <f>INDEX('MD-ratings-final'!$I$1:$BG$1,MATCH('MD-ranking'!F55,'MD-ratings-final'!$I$34:$BF$34,0))</f>
        <v>I.S. Administratia de stat a drumurilor</v>
      </c>
      <c r="F55" s="523">
        <f>LARGE('MD-ratings-final'!$I$34:$BF$34,'MD-ranking'!A55)</f>
        <v>3.2847593515453157</v>
      </c>
      <c r="H55" s="528">
        <f ca="1">INDEX(OFFSET('MD-ratings-final'!$I$19,'MD-ranking'!H$1-19,0,1,50),1,$B55)</f>
        <v>4.662390657251053</v>
      </c>
      <c r="I55" s="528">
        <f ca="1">INDEX(OFFSET('MD-ratings-final'!$I$19,'MD-ranking'!I$1-19,0,1,50),1,$B55)</f>
        <v>4.8888853416393241</v>
      </c>
      <c r="J55" s="528">
        <f ca="1">INDEX(OFFSET('MD-ratings-final'!$I$19,'MD-ranking'!J$1-19,0,1,50),1,$B55)</f>
        <v>5.7172909338916202</v>
      </c>
      <c r="K55" s="523">
        <f ca="1">INDEX(OFFSET('MD-ratings-final'!$I$19,'MD-ranking'!K$1-19,0,1,50),1,$B55)</f>
        <v>5.0895223109273324</v>
      </c>
      <c r="M55" s="528">
        <f ca="1">INDEX(OFFSET('MD-ratings-final'!$I$19,'MD-ranking'!M$1-19,0,1,50),1,$B55)</f>
        <v>5.052151043009629</v>
      </c>
      <c r="N55" s="528">
        <f ca="1">INDEX(OFFSET('MD-ratings-final'!$I$19,'MD-ranking'!N$1-19,0,1,50),1,$B55)</f>
        <v>5.0330923527837568</v>
      </c>
      <c r="O55" s="528">
        <f ca="1">INDEX(OFFSET('MD-ratings-final'!$I$19,'MD-ranking'!O$1-19,0,1,50),1,$B55)</f>
        <v>7.572026489403874</v>
      </c>
      <c r="P55" s="523">
        <f ca="1">INDEX(OFFSET('MD-ratings-final'!$I$19,'MD-ranking'!P$1-19,0,1,50),1,$B55)</f>
        <v>6.0562894835221535</v>
      </c>
      <c r="R55" s="528">
        <f ca="1">INDEX(OFFSET('MD-ratings-final'!$I$19,'MD-ranking'!R$1-19,0,1,50),1,$B55)</f>
        <v>1.1448937900345109</v>
      </c>
      <c r="S55" s="528">
        <f ca="1">INDEX(OFFSET('MD-ratings-final'!$I$19,'MD-ranking'!S$1-19,0,1,50),1,$B55)</f>
        <v>0</v>
      </c>
      <c r="T55" s="523">
        <f ca="1">INDEX(OFFSET('MD-ratings-final'!$I$19,'MD-ranking'!T$1-19,0,1,50),1,$B55)</f>
        <v>0.57244689501725543</v>
      </c>
      <c r="V55" s="528">
        <f ca="1">INDEX(OFFSET('MD-ratings-final'!$I$19,'MD-ranking'!V$1-19,0,1,50),1,$B55)</f>
        <v>1.1465589067995177</v>
      </c>
      <c r="W55" s="528">
        <f ca="1">INDEX(OFFSET('MD-ratings-final'!$I$19,'MD-ranking'!W$1-19,0,1,50),1,$B55)</f>
        <v>2.1191644374781604</v>
      </c>
      <c r="X55" s="523">
        <f ca="1">INDEX(OFFSET('MD-ratings-final'!$I$19,'MD-ranking'!X$1-19,0,1,50),1,$B55)</f>
        <v>1.6328616721388389</v>
      </c>
      <c r="AA55" s="532">
        <f ca="1">INDEX(OFFSET('MD-ratios'!$AF$23,'MD-ranking'!AA$1-19,0,1,50),1,$B55)</f>
        <v>2.078718250954442</v>
      </c>
      <c r="AB55" s="532">
        <f ca="1">INDEX(OFFSET('MD-ratios'!$AF$23,'MD-ranking'!AB$1-19,0,1,50),1,$B55)</f>
        <v>2.0503825189673042</v>
      </c>
      <c r="AC55" s="532">
        <f ca="1">INDEX(OFFSET('MD-ratios'!$AF$23,'MD-ranking'!AC$1-19,0,1,50),1,$B55)</f>
        <v>1.9709134458008142</v>
      </c>
      <c r="AD55" s="456"/>
      <c r="AE55" s="456">
        <f ca="1">INDEX(OFFSET('MD-ratios'!$AF$23,'MD-ranking'!AE$1-19,0,1,50),1,$B55)</f>
        <v>1.0310782596872664E-4</v>
      </c>
      <c r="AF55" s="456">
        <f ca="1">INDEX(OFFSET('MD-ratios'!$AF$23,'MD-ranking'!AF$1-19,0,1,50),1,$B55)</f>
        <v>1.3267079780145743E-4</v>
      </c>
      <c r="AG55" s="456">
        <f ca="1">INDEX(OFFSET('MD-ratios'!$AF$23,'MD-ranking'!AG$1-19,0,1,50),1,$B55)</f>
        <v>2.129128412280417E-2</v>
      </c>
      <c r="AI55" s="456">
        <f ca="1">INDEX(OFFSET('MD-ratios'!$AF$23,'MD-ranking'!AI$1-19,0,1,50),1,$B55)</f>
        <v>0.20941247703549856</v>
      </c>
      <c r="AJ55" s="456">
        <f ca="1">INDEX(OFFSET('MD-ratios'!$AF$23,'MD-ranking'!AJ$1-19,0,1,50),1,$B55)</f>
        <v>1304.1966462656806</v>
      </c>
      <c r="AL55" s="456">
        <f ca="1">INDEX(OFFSET('MD-ratios'!$AF$23,'MD-ranking'!AL$1-19,0,1,50),1,$B55)</f>
        <v>0.30969152771713065</v>
      </c>
      <c r="AM55" s="456">
        <f ca="1">INDEX(OFFSET('MD-ratios'!$AF$23,'MD-ranking'!AM$1-19,0,1,50),1,$B55)</f>
        <v>4.2037724841026565</v>
      </c>
    </row>
    <row r="56" spans="1:39" x14ac:dyDescent="0.25">
      <c r="A56" s="307">
        <v>45</v>
      </c>
      <c r="B56" s="525">
        <f>MATCH(C56,'MD-ratings-final'!I$1:BG$1,0)</f>
        <v>6</v>
      </c>
      <c r="C56" s="307" t="str">
        <f>INDEX('MD-ratings-final'!$I$1:$BG$1,MATCH('MD-ranking'!F56,'MD-ratings-final'!$I$34:$BF$34,0))</f>
        <v>I.S. Moldsuinhibrid</v>
      </c>
      <c r="F56" s="523">
        <f>LARGE('MD-ratings-final'!$I$34:$BF$34,'MD-ranking'!A56)</f>
        <v>3.2741680875209958</v>
      </c>
      <c r="H56" s="528">
        <f ca="1">INDEX(OFFSET('MD-ratings-final'!$I$19,'MD-ranking'!H$1-19,0,1,50),1,$B56)</f>
        <v>4.3952376805285143</v>
      </c>
      <c r="I56" s="528">
        <f ca="1">INDEX(OFFSET('MD-ratings-final'!$I$19,'MD-ranking'!I$1-19,0,1,50),1,$B56)</f>
        <v>0.57151111644107455</v>
      </c>
      <c r="J56" s="528">
        <f ca="1">INDEX(OFFSET('MD-ratings-final'!$I$19,'MD-ranking'!J$1-19,0,1,50),1,$B56)</f>
        <v>9.2607442478275306E-2</v>
      </c>
      <c r="K56" s="523">
        <f ca="1">INDEX(OFFSET('MD-ratings-final'!$I$19,'MD-ranking'!K$1-19,0,1,50),1,$B56)</f>
        <v>1.6864520798159548</v>
      </c>
      <c r="M56" s="528">
        <f ca="1">INDEX(OFFSET('MD-ratings-final'!$I$19,'MD-ranking'!M$1-19,0,1,50),1,$B56)</f>
        <v>0</v>
      </c>
      <c r="N56" s="528">
        <f ca="1">INDEX(OFFSET('MD-ratings-final'!$I$19,'MD-ranking'!N$1-19,0,1,50),1,$B56)</f>
        <v>1.2385917395186448E-2</v>
      </c>
      <c r="O56" s="528">
        <f ca="1">INDEX(OFFSET('MD-ratings-final'!$I$19,'MD-ranking'!O$1-19,0,1,50),1,$B56)</f>
        <v>0</v>
      </c>
      <c r="P56" s="523">
        <f ca="1">INDEX(OFFSET('MD-ratings-final'!$I$19,'MD-ranking'!P$1-19,0,1,50),1,$B56)</f>
        <v>2.4771834790372899E-3</v>
      </c>
      <c r="R56" s="528">
        <f ca="1">INDEX(OFFSET('MD-ratings-final'!$I$19,'MD-ranking'!R$1-19,0,1,50),1,$B56)</f>
        <v>5.6917675754183472</v>
      </c>
      <c r="S56" s="528">
        <f ca="1">INDEX(OFFSET('MD-ratings-final'!$I$19,'MD-ranking'!S$1-19,0,1,50),1,$B56)</f>
        <v>4.7536090747412247</v>
      </c>
      <c r="T56" s="523">
        <f ca="1">INDEX(OFFSET('MD-ratings-final'!$I$19,'MD-ranking'!T$1-19,0,1,50),1,$B56)</f>
        <v>5.222688325079786</v>
      </c>
      <c r="V56" s="528">
        <f ca="1">INDEX(OFFSET('MD-ratings-final'!$I$19,'MD-ranking'!V$1-19,0,1,50),1,$B56)</f>
        <v>7.1518608913264456</v>
      </c>
      <c r="W56" s="528">
        <f ca="1">INDEX(OFFSET('MD-ratings-final'!$I$19,'MD-ranking'!W$1-19,0,1,50),1,$B56)</f>
        <v>5.6994318504066745</v>
      </c>
      <c r="X56" s="523">
        <f ca="1">INDEX(OFFSET('MD-ratings-final'!$I$19,'MD-ranking'!X$1-19,0,1,50),1,$B56)</f>
        <v>6.4256463708665601</v>
      </c>
      <c r="AA56" s="532">
        <f ca="1">INDEX(OFFSET('MD-ratios'!$AF$23,'MD-ranking'!AA$1-19,0,1,50),1,$B56)</f>
        <v>0.97661955784331733</v>
      </c>
      <c r="AB56" s="532">
        <f ca="1">INDEX(OFFSET('MD-ratios'!$AF$23,'MD-ranking'!AB$1-19,0,1,50),1,$B56)</f>
        <v>5.5737667230133375E-2</v>
      </c>
      <c r="AC56" s="532">
        <f ca="1">INDEX(OFFSET('MD-ratios'!$AF$23,'MD-ranking'!AC$1-19,0,1,50),1,$B56)</f>
        <v>4.0105831825192244E-3</v>
      </c>
      <c r="AD56" s="456"/>
      <c r="AE56" s="456">
        <f ca="1">INDEX(OFFSET('MD-ratios'!$AF$23,'MD-ranking'!AE$1-19,0,1,50),1,$B56)</f>
        <v>-0.26759065179916736</v>
      </c>
      <c r="AF56" s="456">
        <f ca="1">INDEX(OFFSET('MD-ratios'!$AF$23,'MD-ranking'!AF$1-19,0,1,50),1,$B56)</f>
        <v>-0.3893671166732609</v>
      </c>
      <c r="AG56" s="456">
        <f ca="1">INDEX(OFFSET('MD-ratios'!$AF$23,'MD-ranking'!AG$1-19,0,1,50),1,$B56)</f>
        <v>-0.83606935217516687</v>
      </c>
      <c r="AI56" s="456">
        <f ca="1">INDEX(OFFSET('MD-ratios'!$AF$23,'MD-ranking'!AI$1-19,0,1,50),1,$B56)</f>
        <v>2.9165251112704921E-2</v>
      </c>
      <c r="AJ56" s="456">
        <f ca="1">INDEX(OFFSET('MD-ratios'!$AF$23,'MD-ranking'!AJ$1-19,0,1,50),1,$B56)</f>
        <v>-0.10899206848914782</v>
      </c>
      <c r="AL56" s="456">
        <f ca="1">INDEX(OFFSET('MD-ratios'!$AF$23,'MD-ranking'!AL$1-19,0,1,50),1,$B56)</f>
        <v>-33.694794266696924</v>
      </c>
      <c r="AM56" s="456">
        <f ca="1">INDEX(OFFSET('MD-ratios'!$AF$23,'MD-ranking'!AM$1-19,0,1,50),1,$B56)</f>
        <v>15.229916838317621</v>
      </c>
    </row>
    <row r="57" spans="1:39" x14ac:dyDescent="0.25">
      <c r="A57" s="307">
        <v>46</v>
      </c>
      <c r="B57" s="525">
        <f>MATCH(C57,'MD-ratings-final'!I$1:BG$1,0)</f>
        <v>23</v>
      </c>
      <c r="C57" s="307" t="str">
        <f>INDEX('MD-ratings-final'!$I$1:$BG$1,MATCH('MD-ranking'!F57,'MD-ratings-final'!$I$34:$BF$34,0))</f>
        <v>S.A. Red Nord Vest</v>
      </c>
      <c r="F57" s="523">
        <f>LARGE('MD-ratings-final'!$I$34:$BF$34,'MD-ranking'!A57)</f>
        <v>2.8877607866705821</v>
      </c>
      <c r="H57" s="528">
        <f ca="1">INDEX(OFFSET('MD-ratings-final'!$I$19,'MD-ranking'!H$1-19,0,1,50),1,$B57)</f>
        <v>2.3016965112114365</v>
      </c>
      <c r="I57" s="528">
        <f ca="1">INDEX(OFFSET('MD-ratings-final'!$I$19,'MD-ranking'!I$1-19,0,1,50),1,$B57)</f>
        <v>1.2980456917919183</v>
      </c>
      <c r="J57" s="528">
        <f ca="1">INDEX(OFFSET('MD-ratings-final'!$I$19,'MD-ranking'!J$1-19,0,1,50),1,$B57)</f>
        <v>0.14529608584345438</v>
      </c>
      <c r="K57" s="523">
        <f ca="1">INDEX(OFFSET('MD-ratings-final'!$I$19,'MD-ranking'!K$1-19,0,1,50),1,$B57)</f>
        <v>1.2483460962822697</v>
      </c>
      <c r="M57" s="528">
        <f ca="1">INDEX(OFFSET('MD-ratings-final'!$I$19,'MD-ranking'!M$1-19,0,1,50),1,$B57)</f>
        <v>1.5058238991178006</v>
      </c>
      <c r="N57" s="528">
        <f ca="1">INDEX(OFFSET('MD-ratings-final'!$I$19,'MD-ranking'!N$1-19,0,1,50),1,$B57)</f>
        <v>1.7445303281895643</v>
      </c>
      <c r="O57" s="528">
        <f ca="1">INDEX(OFFSET('MD-ratings-final'!$I$19,'MD-ranking'!O$1-19,0,1,50),1,$B57)</f>
        <v>1.7715597289646072</v>
      </c>
      <c r="P57" s="523">
        <f ca="1">INDEX(OFFSET('MD-ratings-final'!$I$19,'MD-ranking'!P$1-19,0,1,50),1,$B57)</f>
        <v>1.6598595168708761</v>
      </c>
      <c r="R57" s="528">
        <f ca="1">INDEX(OFFSET('MD-ratings-final'!$I$19,'MD-ranking'!R$1-19,0,1,50),1,$B57)</f>
        <v>4.3007075582013234</v>
      </c>
      <c r="S57" s="528">
        <f ca="1">INDEX(OFFSET('MD-ratings-final'!$I$19,'MD-ranking'!S$1-19,0,1,50),1,$B57)</f>
        <v>3.6644493033363452</v>
      </c>
      <c r="T57" s="523">
        <f ca="1">INDEX(OFFSET('MD-ratings-final'!$I$19,'MD-ranking'!T$1-19,0,1,50),1,$B57)</f>
        <v>3.9825784307688346</v>
      </c>
      <c r="V57" s="528">
        <f ca="1">INDEX(OFFSET('MD-ratings-final'!$I$19,'MD-ranking'!V$1-19,0,1,50),1,$B57)</f>
        <v>4.8207518378039174</v>
      </c>
      <c r="W57" s="528">
        <f ca="1">INDEX(OFFSET('MD-ratings-final'!$I$19,'MD-ranking'!W$1-19,0,1,50),1,$B57)</f>
        <v>4.8386067037125349</v>
      </c>
      <c r="X57" s="523">
        <f ca="1">INDEX(OFFSET('MD-ratings-final'!$I$19,'MD-ranking'!X$1-19,0,1,50),1,$B57)</f>
        <v>4.8296792707582261</v>
      </c>
      <c r="AA57" s="532">
        <f ca="1">INDEX(OFFSET('MD-ratios'!$AF$23,'MD-ranking'!AA$1-19,0,1,50),1,$B57)</f>
        <v>0.34378198803836751</v>
      </c>
      <c r="AB57" s="532">
        <f ca="1">INDEX(OFFSET('MD-ratios'!$AF$23,'MD-ranking'!AB$1-19,0,1,50),1,$B57)</f>
        <v>0.11505141034489631</v>
      </c>
      <c r="AC57" s="532">
        <f ca="1">INDEX(OFFSET('MD-ratios'!$AF$23,'MD-ranking'!AC$1-19,0,1,50),1,$B57)</f>
        <v>2.5123515235484714E-3</v>
      </c>
      <c r="AD57" s="456"/>
      <c r="AE57" s="456">
        <f ca="1">INDEX(OFFSET('MD-ratios'!$AF$23,'MD-ranking'!AE$1-19,0,1,50),1,$B57)</f>
        <v>-0.12709929347742163</v>
      </c>
      <c r="AF57" s="456">
        <f ca="1">INDEX(OFFSET('MD-ratios'!$AF$23,'MD-ranking'!AF$1-19,0,1,50),1,$B57)</f>
        <v>-0.24758476848014743</v>
      </c>
      <c r="AG57" s="456">
        <f ca="1">INDEX(OFFSET('MD-ratios'!$AF$23,'MD-ranking'!AG$1-19,0,1,50),1,$B57)</f>
        <v>-0.14800831662158148</v>
      </c>
      <c r="AI57" s="456">
        <f ca="1">INDEX(OFFSET('MD-ratios'!$AF$23,'MD-ranking'!AI$1-19,0,1,50),1,$B57)</f>
        <v>6.8205816425479654E-2</v>
      </c>
      <c r="AJ57" s="456">
        <f ca="1">INDEX(OFFSET('MD-ratios'!$AF$23,'MD-ranking'!AJ$1-19,0,1,50),1,$B57)</f>
        <v>-0.51424979746493649</v>
      </c>
      <c r="AL57" s="456">
        <f ca="1">INDEX(OFFSET('MD-ratios'!$AF$23,'MD-ranking'!AL$1-19,0,1,50),1,$B57)</f>
        <v>-2.8347847020372563</v>
      </c>
      <c r="AM57" s="456">
        <f ca="1">INDEX(OFFSET('MD-ratios'!$AF$23,'MD-ranking'!AM$1-19,0,1,50),1,$B57)</f>
        <v>16.529699119513729</v>
      </c>
    </row>
    <row r="58" spans="1:39" x14ac:dyDescent="0.25">
      <c r="A58" s="307">
        <v>47</v>
      </c>
      <c r="B58" s="525">
        <f>MATCH(C58,'MD-ratings-final'!I$1:BG$1,0)</f>
        <v>3</v>
      </c>
      <c r="C58" s="307" t="str">
        <f>INDEX('MD-ratings-final'!$I$1:$BG$1,MATCH('MD-ranking'!F58,'MD-ratings-final'!$I$34:$BF$34,0))</f>
        <v>S.A.Termoelectrica</v>
      </c>
      <c r="F58" s="523">
        <f>LARGE('MD-ratings-final'!$I$34:$BF$34,'MD-ranking'!A58)</f>
        <v>2.7637607946257932</v>
      </c>
      <c r="H58" s="528">
        <f ca="1">INDEX(OFFSET('MD-ratings-final'!$I$19,'MD-ranking'!H$1-19,0,1,50),1,$B58)</f>
        <v>7.084838027509698</v>
      </c>
      <c r="I58" s="528">
        <f ca="1">INDEX(OFFSET('MD-ratings-final'!$I$19,'MD-ranking'!I$1-19,0,1,50),1,$B58)</f>
        <v>6.8485975873703433</v>
      </c>
      <c r="J58" s="528">
        <f ca="1">INDEX(OFFSET('MD-ratings-final'!$I$19,'MD-ranking'!J$1-19,0,1,50),1,$B58)</f>
        <v>1.8280152500458595</v>
      </c>
      <c r="K58" s="523">
        <f ca="1">INDEX(OFFSET('MD-ratings-final'!$I$19,'MD-ranking'!K$1-19,0,1,50),1,$B58)</f>
        <v>5.2538169549753002</v>
      </c>
      <c r="M58" s="528">
        <f ca="1">INDEX(OFFSET('MD-ratings-final'!$I$19,'MD-ranking'!M$1-19,0,1,50),1,$B58)</f>
        <v>2.0272388468317755</v>
      </c>
      <c r="N58" s="528">
        <f ca="1">INDEX(OFFSET('MD-ratings-final'!$I$19,'MD-ranking'!N$1-19,0,1,50),1,$B58)</f>
        <v>1.7578903059556541</v>
      </c>
      <c r="O58" s="528">
        <f ca="1">INDEX(OFFSET('MD-ratings-final'!$I$19,'MD-ranking'!O$1-19,0,1,50),1,$B58)</f>
        <v>1.4309043790992972</v>
      </c>
      <c r="P58" s="523">
        <f ca="1">INDEX(OFFSET('MD-ratings-final'!$I$19,'MD-ranking'!P$1-19,0,1,50),1,$B58)</f>
        <v>1.7348353515635599</v>
      </c>
      <c r="R58" s="528">
        <f ca="1">INDEX(OFFSET('MD-ratings-final'!$I$19,'MD-ranking'!R$1-19,0,1,50),1,$B58)</f>
        <v>0.16021935000283019</v>
      </c>
      <c r="S58" s="528">
        <f ca="1">INDEX(OFFSET('MD-ratings-final'!$I$19,'MD-ranking'!S$1-19,0,1,50),1,$B58)</f>
        <v>1.6941071931557343</v>
      </c>
      <c r="T58" s="523">
        <f ca="1">INDEX(OFFSET('MD-ratings-final'!$I$19,'MD-ranking'!T$1-19,0,1,50),1,$B58)</f>
        <v>0.92716327157928213</v>
      </c>
      <c r="V58" s="528">
        <f ca="1">INDEX(OFFSET('MD-ratings-final'!$I$19,'MD-ranking'!V$1-19,0,1,50),1,$B58)</f>
        <v>5.8026926953696449</v>
      </c>
      <c r="W58" s="528">
        <f ca="1">INDEX(OFFSET('MD-ratings-final'!$I$19,'MD-ranking'!W$1-19,0,1,50),1,$B58)</f>
        <v>1.5817946698032874</v>
      </c>
      <c r="X58" s="523">
        <f ca="1">INDEX(OFFSET('MD-ratings-final'!$I$19,'MD-ranking'!X$1-19,0,1,50),1,$B58)</f>
        <v>3.6922436825864668</v>
      </c>
      <c r="AA58" s="532">
        <f ca="1">INDEX(OFFSET('MD-ratios'!$AF$23,'MD-ranking'!AA$1-19,0,1,50),1,$B58)</f>
        <v>8.8105036049563719</v>
      </c>
      <c r="AB58" s="532">
        <f ca="1">INDEX(OFFSET('MD-ratios'!$AF$23,'MD-ranking'!AB$1-19,0,1,50),1,$B58)</f>
        <v>6.9930423316723491</v>
      </c>
      <c r="AC58" s="532">
        <f ca="1">INDEX(OFFSET('MD-ratios'!$AF$23,'MD-ranking'!AC$1-19,0,1,50),1,$B58)</f>
        <v>0.28234703507372988</v>
      </c>
      <c r="AD58" s="456"/>
      <c r="AE58" s="456">
        <f ca="1">INDEX(OFFSET('MD-ratios'!$AF$23,'MD-ranking'!AE$1-19,0,1,50),1,$B58)</f>
        <v>-1.3721237417470937E-2</v>
      </c>
      <c r="AF58" s="456">
        <f ca="1">INDEX(OFFSET('MD-ratios'!$AF$23,'MD-ranking'!AF$1-19,0,1,50),1,$B58)</f>
        <v>-4.1483640728010293E-2</v>
      </c>
      <c r="AG58" s="456">
        <f ca="1">INDEX(OFFSET('MD-ratios'!$AF$23,'MD-ranking'!AG$1-19,0,1,50),1,$B58)</f>
        <v>-2.9195778030171284E-2</v>
      </c>
      <c r="AI58" s="456">
        <f ca="1">INDEX(OFFSET('MD-ratios'!$AF$23,'MD-ranking'!AI$1-19,0,1,50),1,$B58)</f>
        <v>0.64100068775663688</v>
      </c>
      <c r="AJ58" s="456">
        <f ca="1">INDEX(OFFSET('MD-ratios'!$AF$23,'MD-ranking'!AJ$1-19,0,1,50),1,$B58)</f>
        <v>-46.715953397939558</v>
      </c>
      <c r="AL58" s="456">
        <f ca="1">INDEX(OFFSET('MD-ratios'!$AF$23,'MD-ranking'!AL$1-19,0,1,50),1,$B58)</f>
        <v>2.0284026536884201</v>
      </c>
      <c r="AM58" s="456">
        <f ca="1">INDEX(OFFSET('MD-ratios'!$AF$23,'MD-ranking'!AM$1-19,0,1,50),1,$B58)</f>
        <v>2.3608352843805287</v>
      </c>
    </row>
    <row r="59" spans="1:39" x14ac:dyDescent="0.25">
      <c r="A59" s="307">
        <v>48</v>
      </c>
      <c r="B59" s="525">
        <f>MATCH(C59,'MD-ratings-final'!I$1:BG$1,0)</f>
        <v>32</v>
      </c>
      <c r="C59" s="307" t="str">
        <f>INDEX('MD-ratings-final'!$I$1:$BG$1,MATCH('MD-ranking'!F59,'MD-ratings-final'!$I$34:$BF$34,0))</f>
        <v>I.S. Air Moldova</v>
      </c>
      <c r="F59" s="523">
        <f>LARGE('MD-ratings-final'!$I$34:$BF$34,'MD-ranking'!A59)</f>
        <v>2.6873211810871585</v>
      </c>
      <c r="H59" s="528">
        <f ca="1">INDEX(OFFSET('MD-ratings-final'!$I$19,'MD-ranking'!H$1-19,0,1,50),1,$B59)</f>
        <v>2.5472578108482287</v>
      </c>
      <c r="I59" s="528">
        <f ca="1">INDEX(OFFSET('MD-ratings-final'!$I$19,'MD-ranking'!I$1-19,0,1,50),1,$B59)</f>
        <v>1.0664283161845123</v>
      </c>
      <c r="J59" s="528">
        <f ca="1">INDEX(OFFSET('MD-ratings-final'!$I$19,'MD-ranking'!J$1-19,0,1,50),1,$B59)</f>
        <v>0.15131704489284664</v>
      </c>
      <c r="K59" s="523">
        <f ca="1">INDEX(OFFSET('MD-ratings-final'!$I$19,'MD-ranking'!K$1-19,0,1,50),1,$B59)</f>
        <v>1.2550010573085291</v>
      </c>
      <c r="M59" s="528">
        <f ca="1">INDEX(OFFSET('MD-ratings-final'!$I$19,'MD-ranking'!M$1-19,0,1,50),1,$B59)</f>
        <v>2.2986705365853779</v>
      </c>
      <c r="N59" s="528">
        <f ca="1">INDEX(OFFSET('MD-ratings-final'!$I$19,'MD-ranking'!N$1-19,0,1,50),1,$B59)</f>
        <v>2.3446155569736464</v>
      </c>
      <c r="O59" s="528">
        <f ca="1">INDEX(OFFSET('MD-ratings-final'!$I$19,'MD-ranking'!O$1-19,0,1,50),1,$B59)</f>
        <v>2.7135840274487983</v>
      </c>
      <c r="P59" s="523">
        <f ca="1">INDEX(OFFSET('MD-ratings-final'!$I$19,'MD-ranking'!P$1-19,0,1,50),1,$B59)</f>
        <v>2.4738249370083998</v>
      </c>
      <c r="R59" s="528">
        <f ca="1">INDEX(OFFSET('MD-ratings-final'!$I$19,'MD-ranking'!R$1-19,0,1,50),1,$B59)</f>
        <v>0.22977041666254522</v>
      </c>
      <c r="S59" s="528">
        <f ca="1">INDEX(OFFSET('MD-ratings-final'!$I$19,'MD-ranking'!S$1-19,0,1,50),1,$B59)</f>
        <v>2.5434134347111859</v>
      </c>
      <c r="T59" s="523">
        <f ca="1">INDEX(OFFSET('MD-ratings-final'!$I$19,'MD-ranking'!T$1-19,0,1,50),1,$B59)</f>
        <v>1.3865919256868655</v>
      </c>
      <c r="V59" s="528">
        <f ca="1">INDEX(OFFSET('MD-ratings-final'!$I$19,'MD-ranking'!V$1-19,0,1,50),1,$B59)</f>
        <v>6.5932569446048754</v>
      </c>
      <c r="W59" s="528">
        <f ca="1">INDEX(OFFSET('MD-ratings-final'!$I$19,'MD-ranking'!W$1-19,0,1,50),1,$B59)</f>
        <v>6.7981141034137877</v>
      </c>
      <c r="X59" s="523">
        <f ca="1">INDEX(OFFSET('MD-ratings-final'!$I$19,'MD-ranking'!X$1-19,0,1,50),1,$B59)</f>
        <v>6.6956855240093311</v>
      </c>
      <c r="AA59" s="532">
        <f ca="1">INDEX(OFFSET('MD-ratios'!$AF$23,'MD-ranking'!AA$1-19,0,1,50),1,$B59)</f>
        <v>0.42296137013891622</v>
      </c>
      <c r="AB59" s="532">
        <f ca="1">INDEX(OFFSET('MD-ratios'!$AF$23,'MD-ranking'!AB$1-19,0,1,50),1,$B59)</f>
        <v>0.11196591609889066</v>
      </c>
      <c r="AC59" s="532">
        <f ca="1">INDEX(OFFSET('MD-ratios'!$AF$23,'MD-ranking'!AC$1-19,0,1,50),1,$B59)</f>
        <v>3.6987604547479734E-3</v>
      </c>
      <c r="AD59" s="456"/>
      <c r="AE59" s="456">
        <f ca="1">INDEX(OFFSET('MD-ratios'!$AF$23,'MD-ranking'!AE$1-19,0,1,50),1,$B59)</f>
        <v>-0.20604408556611237</v>
      </c>
      <c r="AF59" s="456">
        <f ca="1">INDEX(OFFSET('MD-ratios'!$AF$23,'MD-ranking'!AF$1-19,0,1,50),1,$B59)</f>
        <v>-2.1145280053527689</v>
      </c>
      <c r="AG59" s="456">
        <f ca="1">INDEX(OFFSET('MD-ratios'!$AF$23,'MD-ranking'!AG$1-19,0,1,50),1,$B59)</f>
        <v>-8.9928184918221701E-2</v>
      </c>
      <c r="AI59" s="456">
        <f ca="1">INDEX(OFFSET('MD-ratios'!$AF$23,'MD-ranking'!AI$1-19,0,1,50),1,$B59)</f>
        <v>0.45101039864939962</v>
      </c>
      <c r="AJ59" s="456">
        <f ca="1">INDEX(OFFSET('MD-ratios'!$AF$23,'MD-ranking'!AJ$1-19,0,1,50),1,$B59)</f>
        <v>-2.1889023290033367</v>
      </c>
      <c r="AL59" s="456">
        <f ca="1">INDEX(OFFSET('MD-ratios'!$AF$23,'MD-ranking'!AL$1-19,0,1,50),1,$B59)</f>
        <v>-6.5281693698499987</v>
      </c>
      <c r="AM59" s="456">
        <f ca="1">INDEX(OFFSET('MD-ratios'!$AF$23,'MD-ranking'!AM$1-19,0,1,50),1,$B59)</f>
        <v>34.793616644561169</v>
      </c>
    </row>
    <row r="60" spans="1:39" x14ac:dyDescent="0.25">
      <c r="A60" s="307">
        <v>49</v>
      </c>
      <c r="B60" s="525">
        <f>MATCH(C60,'MD-ratings-final'!I$1:BG$1,0)</f>
        <v>49</v>
      </c>
      <c r="C60" s="307" t="str">
        <f>INDEX('MD-ratings-final'!$I$1:$BG$1,MATCH('MD-ranking'!F60,'MD-ratings-final'!$I$34:$BF$34,0))</f>
        <v>I.S. CRIA</v>
      </c>
      <c r="F60" s="523">
        <f>LARGE('MD-ratings-final'!$I$34:$BF$34,'MD-ranking'!A60)</f>
        <v>2.543332206591681</v>
      </c>
      <c r="H60" s="528">
        <f ca="1">INDEX(OFFSET('MD-ratings-final'!$I$19,'MD-ranking'!H$1-19,0,1,50),1,$B60)</f>
        <v>1.1064077891648194</v>
      </c>
      <c r="I60" s="528">
        <f ca="1">INDEX(OFFSET('MD-ratings-final'!$I$19,'MD-ranking'!I$1-19,0,1,50),1,$B60)</f>
        <v>2.3658806001549414E-2</v>
      </c>
      <c r="J60" s="528">
        <f ca="1">INDEX(OFFSET('MD-ratings-final'!$I$19,'MD-ranking'!J$1-19,0,1,50),1,$B60)</f>
        <v>3.9813673545786035E-2</v>
      </c>
      <c r="K60" s="523">
        <f ca="1">INDEX(OFFSET('MD-ratings-final'!$I$19,'MD-ranking'!K$1-19,0,1,50),1,$B60)</f>
        <v>0.38996008957071826</v>
      </c>
      <c r="M60" s="528">
        <f ca="1">INDEX(OFFSET('MD-ratings-final'!$I$19,'MD-ranking'!M$1-19,0,1,50),1,$B60)</f>
        <v>2.2591873527993021</v>
      </c>
      <c r="N60" s="528">
        <f ca="1">INDEX(OFFSET('MD-ratings-final'!$I$19,'MD-ranking'!N$1-19,0,1,50),1,$B60)</f>
        <v>3.1526893208716298</v>
      </c>
      <c r="O60" s="528">
        <f ca="1">INDEX(OFFSET('MD-ratings-final'!$I$19,'MD-ranking'!O$1-19,0,1,50),1,$B60)</f>
        <v>0</v>
      </c>
      <c r="P60" s="523">
        <f ca="1">INDEX(OFFSET('MD-ratings-final'!$I$19,'MD-ranking'!P$1-19,0,1,50),1,$B60)</f>
        <v>1.5342128052940469</v>
      </c>
      <c r="R60" s="528">
        <f ca="1">INDEX(OFFSET('MD-ratings-final'!$I$19,'MD-ranking'!R$1-19,0,1,50),1,$B60)</f>
        <v>8.0870848856688529</v>
      </c>
      <c r="S60" s="528">
        <f ca="1">INDEX(OFFSET('MD-ratings-final'!$I$19,'MD-ranking'!S$1-19,0,1,50),1,$B60)</f>
        <v>4.4700660666569556</v>
      </c>
      <c r="T60" s="523">
        <f ca="1">INDEX(OFFSET('MD-ratings-final'!$I$19,'MD-ranking'!T$1-19,0,1,50),1,$B60)</f>
        <v>6.2785754761629038</v>
      </c>
      <c r="V60" s="528">
        <f ca="1">INDEX(OFFSET('MD-ratings-final'!$I$19,'MD-ranking'!V$1-19,0,1,50),1,$B60)</f>
        <v>1.7871634002661829</v>
      </c>
      <c r="W60" s="528">
        <f ca="1">INDEX(OFFSET('MD-ratings-final'!$I$19,'MD-ranking'!W$1-19,0,1,50),1,$B60)</f>
        <v>0</v>
      </c>
      <c r="X60" s="523">
        <f ca="1">INDEX(OFFSET('MD-ratings-final'!$I$19,'MD-ranking'!X$1-19,0,1,50),1,$B60)</f>
        <v>0.89358170013309146</v>
      </c>
      <c r="AA60" s="532">
        <f ca="1">INDEX(OFFSET('MD-ratios'!$AF$23,'MD-ranking'!AA$1-19,0,1,50),1,$B60)</f>
        <v>9.760257332219005E-2</v>
      </c>
      <c r="AB60" s="532">
        <f ca="1">INDEX(OFFSET('MD-ratios'!$AF$23,'MD-ranking'!AB$1-19,0,1,50),1,$B60)</f>
        <v>5.6688240591371725E-5</v>
      </c>
      <c r="AC60" s="532">
        <f ca="1">INDEX(OFFSET('MD-ratios'!$AF$23,'MD-ranking'!AC$1-19,0,1,50),1,$B60)</f>
        <v>5.6688240591371725E-5</v>
      </c>
      <c r="AD60" s="456"/>
      <c r="AE60" s="456">
        <f ca="1">INDEX(OFFSET('MD-ratios'!$AF$23,'MD-ranking'!AE$1-19,0,1,50),1,$B60)</f>
        <v>-2.7107167268757556E-2</v>
      </c>
      <c r="AF60" s="456">
        <f ca="1">INDEX(OFFSET('MD-ratios'!$AF$23,'MD-ranking'!AF$1-19,0,1,50),1,$B60)</f>
        <v>-2.9124475059886194E-2</v>
      </c>
      <c r="AG60" s="456">
        <f ca="1">INDEX(OFFSET('MD-ratios'!$AF$23,'MD-ranking'!AG$1-19,0,1,50),1,$B60)</f>
        <v>-0.73183433118154895</v>
      </c>
      <c r="AI60" s="456">
        <f ca="1">INDEX(OFFSET('MD-ratios'!$AF$23,'MD-ranking'!AI$1-19,0,1,50),1,$B60)</f>
        <v>7.7995244162212211E-3</v>
      </c>
      <c r="AJ60" s="456">
        <f ca="1">INDEX(OFFSET('MD-ratios'!$AF$23,'MD-ranking'!AJ$1-19,0,1,50),1,$B60)</f>
        <v>-0.28772923186299093</v>
      </c>
      <c r="AL60" s="456">
        <f ca="1">INDEX(OFFSET('MD-ratios'!$AF$23,'MD-ranking'!AL$1-19,0,1,50),1,$B60)</f>
        <v>-0.48208056104479158</v>
      </c>
      <c r="AM60" s="456">
        <f ca="1">INDEX(OFFSET('MD-ratios'!$AF$23,'MD-ranking'!AM$1-19,0,1,50),1,$B60)</f>
        <v>0</v>
      </c>
    </row>
    <row r="61" spans="1:39" x14ac:dyDescent="0.25">
      <c r="A61" s="307">
        <v>50</v>
      </c>
      <c r="B61" s="525">
        <f>MATCH(C61,'MD-ratings-final'!I$1:BG$1,0)</f>
        <v>25</v>
      </c>
      <c r="C61" s="307" t="str">
        <f>INDEX('MD-ratings-final'!$I$1:$BG$1,MATCH('MD-ranking'!F61,'MD-ratings-final'!$I$34:$BF$34,0))</f>
        <v>S.A. Moldovagaz</v>
      </c>
      <c r="F61" s="523">
        <f>LARGE('MD-ratings-final'!$I$34:$BF$34,'MD-ranking'!A61)</f>
        <v>2.4354775353868634</v>
      </c>
      <c r="H61" s="528">
        <f ca="1">INDEX(OFFSET('MD-ratings-final'!$I$19,'MD-ranking'!H$1-19,0,1,50),1,$B61)</f>
        <v>2.4447504212803812</v>
      </c>
      <c r="I61" s="528">
        <f ca="1">INDEX(OFFSET('MD-ratings-final'!$I$19,'MD-ranking'!I$1-19,0,1,50),1,$B61)</f>
        <v>2.34484013214368</v>
      </c>
      <c r="J61" s="528">
        <f ca="1">INDEX(OFFSET('MD-ratings-final'!$I$19,'MD-ranking'!J$1-19,0,1,50),1,$B61)</f>
        <v>0.22869921712045688</v>
      </c>
      <c r="K61" s="523">
        <f ca="1">INDEX(OFFSET('MD-ratings-final'!$I$19,'MD-ranking'!K$1-19,0,1,50),1,$B61)</f>
        <v>1.6727632568481727</v>
      </c>
      <c r="M61" s="528">
        <f ca="1">INDEX(OFFSET('MD-ratings-final'!$I$19,'MD-ranking'!M$1-19,0,1,50),1,$B61)</f>
        <v>4.2430208417761923</v>
      </c>
      <c r="N61" s="528">
        <f ca="1">INDEX(OFFSET('MD-ratings-final'!$I$19,'MD-ranking'!N$1-19,0,1,50),1,$B61)</f>
        <v>5.3121640456217518</v>
      </c>
      <c r="O61" s="528">
        <f ca="1">INDEX(OFFSET('MD-ratings-final'!$I$19,'MD-ranking'!O$1-19,0,1,50),1,$B61)</f>
        <v>4.6219456210013723</v>
      </c>
      <c r="P61" s="523">
        <f ca="1">INDEX(OFFSET('MD-ratings-final'!$I$19,'MD-ranking'!P$1-19,0,1,50),1,$B61)</f>
        <v>4.6084193942353764</v>
      </c>
      <c r="R61" s="528">
        <f ca="1">INDEX(OFFSET('MD-ratings-final'!$I$19,'MD-ranking'!R$1-19,0,1,50),1,$B61)</f>
        <v>0.83993084228998782</v>
      </c>
      <c r="S61" s="528">
        <f ca="1">INDEX(OFFSET('MD-ratings-final'!$I$19,'MD-ranking'!S$1-19,0,1,50),1,$B61)</f>
        <v>3.2643255370059676</v>
      </c>
      <c r="T61" s="523">
        <f ca="1">INDEX(OFFSET('MD-ratings-final'!$I$19,'MD-ranking'!T$1-19,0,1,50),1,$B61)</f>
        <v>2.0521281896479779</v>
      </c>
      <c r="V61" s="528">
        <f ca="1">INDEX(OFFSET('MD-ratings-final'!$I$19,'MD-ranking'!V$1-19,0,1,50),1,$B61)</f>
        <v>1.7285587453676912</v>
      </c>
      <c r="W61" s="528">
        <f ca="1">INDEX(OFFSET('MD-ratings-final'!$I$19,'MD-ranking'!W$1-19,0,1,50),1,$B61)</f>
        <v>0.76687541184813368</v>
      </c>
      <c r="X61" s="523">
        <f ca="1">INDEX(OFFSET('MD-ratings-final'!$I$19,'MD-ranking'!X$1-19,0,1,50),1,$B61)</f>
        <v>1.2477170786079124</v>
      </c>
      <c r="AA61" s="532">
        <f ca="1">INDEX(OFFSET('MD-ratios'!$AF$23,'MD-ranking'!AA$1-19,0,1,50),1,$B61)</f>
        <v>0.46207911428265563</v>
      </c>
      <c r="AB61" s="532">
        <f ca="1">INDEX(OFFSET('MD-ratios'!$AF$23,'MD-ranking'!AB$1-19,0,1,50),1,$B61)</f>
        <v>0.39286901732251656</v>
      </c>
      <c r="AC61" s="532">
        <f ca="1">INDEX(OFFSET('MD-ratios'!$AF$23,'MD-ranking'!AC$1-19,0,1,50),1,$B61)</f>
        <v>1.4470876403224801E-2</v>
      </c>
      <c r="AD61" s="456"/>
      <c r="AE61" s="456">
        <f ca="1">INDEX(OFFSET('MD-ratios'!$AF$23,'MD-ranking'!AE$1-19,0,1,50),1,$B61)</f>
        <v>2.180919442304825E-2</v>
      </c>
      <c r="AF61" s="456">
        <f ca="1">INDEX(OFFSET('MD-ratios'!$AF$23,'MD-ranking'!AF$1-19,0,1,50),1,$B61)</f>
        <v>-8.3749900853459555E-2</v>
      </c>
      <c r="AG61" s="456">
        <f ca="1">INDEX(OFFSET('MD-ratios'!$AF$23,'MD-ranking'!AG$1-19,0,1,50),1,$B61)</f>
        <v>4.5435043807536442E-2</v>
      </c>
      <c r="AI61" s="456">
        <f ca="1">INDEX(OFFSET('MD-ratios'!$AF$23,'MD-ranking'!AI$1-19,0,1,50),1,$B61)</f>
        <v>0.27203975500033994</v>
      </c>
      <c r="AJ61" s="456">
        <f ca="1">INDEX(OFFSET('MD-ratios'!$AF$23,'MD-ranking'!AJ$1-19,0,1,50),1,$B61)</f>
        <v>-4.6273088324721581</v>
      </c>
      <c r="AL61" s="456">
        <f ca="1">INDEX(OFFSET('MD-ratios'!$AF$23,'MD-ranking'!AL$1-19,0,1,50),1,$B61)</f>
        <v>-0.70613796698292208</v>
      </c>
      <c r="AM61" s="456">
        <f ca="1">INDEX(OFFSET('MD-ratios'!$AF$23,'MD-ranking'!AM$1-19,0,1,50),1,$B61)</f>
        <v>1.0038272379332738</v>
      </c>
    </row>
    <row r="62" spans="1:39" x14ac:dyDescent="0.25">
      <c r="AA62" s="532"/>
      <c r="AB62" s="532"/>
      <c r="AC62" s="532"/>
      <c r="AD62" s="456"/>
      <c r="AE62" s="456"/>
      <c r="AF62" s="456"/>
      <c r="AG62" s="456"/>
      <c r="AI62" s="456"/>
      <c r="AJ62" s="456"/>
      <c r="AL62" s="456"/>
      <c r="AM62" s="456"/>
    </row>
    <row r="63" spans="1:39" x14ac:dyDescent="0.25">
      <c r="AA63" s="532"/>
      <c r="AB63" s="532"/>
      <c r="AC63" s="532"/>
      <c r="AD63" s="456"/>
      <c r="AE63" s="456"/>
      <c r="AF63" s="456"/>
      <c r="AG63" s="456"/>
      <c r="AI63" s="456"/>
      <c r="AJ63" s="456"/>
      <c r="AL63" s="456"/>
      <c r="AM63" s="456"/>
    </row>
    <row r="64" spans="1:39" x14ac:dyDescent="0.25">
      <c r="AA64" s="532"/>
      <c r="AB64" s="532"/>
      <c r="AC64" s="532"/>
      <c r="AD64" s="456"/>
      <c r="AE64" s="456"/>
      <c r="AF64" s="456"/>
      <c r="AG64" s="456"/>
      <c r="AI64" s="456"/>
      <c r="AJ64" s="456"/>
      <c r="AL64" s="456"/>
      <c r="AM64" s="456"/>
    </row>
    <row r="65" spans="27:39" x14ac:dyDescent="0.25">
      <c r="AA65" s="532"/>
      <c r="AB65" s="532"/>
      <c r="AC65" s="532"/>
      <c r="AD65" s="456"/>
      <c r="AE65" s="456"/>
      <c r="AF65" s="456"/>
      <c r="AG65" s="456"/>
      <c r="AI65" s="456"/>
      <c r="AJ65" s="456"/>
      <c r="AL65" s="456"/>
      <c r="AM65" s="456"/>
    </row>
    <row r="66" spans="27:39" x14ac:dyDescent="0.25">
      <c r="AA66" s="532"/>
      <c r="AB66" s="532"/>
      <c r="AC66" s="532"/>
      <c r="AD66" s="456"/>
      <c r="AE66" s="456"/>
      <c r="AF66" s="456"/>
      <c r="AG66" s="456"/>
      <c r="AI66" s="456"/>
      <c r="AJ66" s="456"/>
      <c r="AL66" s="456"/>
      <c r="AM66" s="456"/>
    </row>
    <row r="67" spans="27:39" x14ac:dyDescent="0.25">
      <c r="AA67" s="532"/>
      <c r="AB67" s="532"/>
      <c r="AC67" s="532"/>
      <c r="AD67" s="456"/>
      <c r="AE67" s="456"/>
      <c r="AF67" s="456"/>
      <c r="AG67" s="456"/>
      <c r="AI67" s="456"/>
      <c r="AJ67" s="456"/>
      <c r="AL67" s="456"/>
      <c r="AM67" s="456"/>
    </row>
    <row r="68" spans="27:39" x14ac:dyDescent="0.25">
      <c r="AA68" s="532"/>
      <c r="AB68" s="532"/>
      <c r="AC68" s="532"/>
      <c r="AD68" s="456"/>
      <c r="AE68" s="456"/>
      <c r="AF68" s="456"/>
      <c r="AG68" s="456"/>
      <c r="AI68" s="456"/>
      <c r="AJ68" s="456"/>
      <c r="AL68" s="456"/>
      <c r="AM68" s="456"/>
    </row>
    <row r="69" spans="27:39" x14ac:dyDescent="0.25">
      <c r="AA69" s="532"/>
      <c r="AB69" s="532"/>
      <c r="AC69" s="532"/>
      <c r="AD69" s="456"/>
      <c r="AE69" s="456"/>
      <c r="AF69" s="456"/>
      <c r="AG69" s="456"/>
      <c r="AI69" s="456"/>
      <c r="AJ69" s="456"/>
      <c r="AL69" s="456"/>
      <c r="AM69" s="456"/>
    </row>
    <row r="70" spans="27:39" x14ac:dyDescent="0.25">
      <c r="AA70" s="532"/>
      <c r="AB70" s="532"/>
      <c r="AC70" s="532"/>
      <c r="AD70" s="456"/>
      <c r="AE70" s="456"/>
      <c r="AF70" s="456"/>
      <c r="AG70" s="456"/>
      <c r="AI70" s="456"/>
      <c r="AJ70" s="456"/>
      <c r="AL70" s="456"/>
      <c r="AM70" s="456"/>
    </row>
    <row r="71" spans="27:39" x14ac:dyDescent="0.25">
      <c r="AA71" s="532"/>
      <c r="AB71" s="532"/>
      <c r="AC71" s="532"/>
      <c r="AD71" s="456"/>
      <c r="AE71" s="456"/>
      <c r="AF71" s="456"/>
      <c r="AG71" s="456"/>
      <c r="AI71" s="456"/>
      <c r="AJ71" s="456"/>
      <c r="AL71" s="456"/>
      <c r="AM71" s="456"/>
    </row>
    <row r="72" spans="27:39" x14ac:dyDescent="0.25">
      <c r="AA72" s="532"/>
      <c r="AB72" s="532"/>
      <c r="AC72" s="532"/>
      <c r="AD72" s="456"/>
      <c r="AE72" s="456"/>
      <c r="AF72" s="456"/>
      <c r="AG72" s="456"/>
      <c r="AI72" s="456"/>
      <c r="AJ72" s="456"/>
      <c r="AL72" s="456"/>
      <c r="AM72" s="456"/>
    </row>
    <row r="73" spans="27:39" x14ac:dyDescent="0.25">
      <c r="AA73" s="532"/>
      <c r="AB73" s="532"/>
      <c r="AC73" s="532"/>
      <c r="AD73" s="456"/>
      <c r="AE73" s="456"/>
      <c r="AF73" s="456"/>
      <c r="AG73" s="456"/>
      <c r="AI73" s="456"/>
      <c r="AJ73" s="456"/>
      <c r="AL73" s="456"/>
      <c r="AM73" s="456"/>
    </row>
    <row r="74" spans="27:39" x14ac:dyDescent="0.25">
      <c r="AA74" s="532"/>
      <c r="AB74" s="532"/>
      <c r="AC74" s="532"/>
      <c r="AD74" s="456"/>
      <c r="AE74" s="456"/>
      <c r="AF74" s="456"/>
      <c r="AG74" s="456"/>
      <c r="AI74" s="456"/>
      <c r="AJ74" s="456"/>
      <c r="AL74" s="456"/>
      <c r="AM74" s="456"/>
    </row>
    <row r="75" spans="27:39" x14ac:dyDescent="0.25">
      <c r="AA75" s="532"/>
      <c r="AB75" s="532"/>
      <c r="AC75" s="532"/>
      <c r="AD75" s="456"/>
      <c r="AE75" s="456"/>
      <c r="AF75" s="456"/>
      <c r="AG75" s="456"/>
      <c r="AI75" s="456"/>
      <c r="AJ75" s="456"/>
      <c r="AL75" s="456"/>
      <c r="AM75" s="456"/>
    </row>
    <row r="76" spans="27:39" x14ac:dyDescent="0.25">
      <c r="AA76" s="532"/>
      <c r="AB76" s="532"/>
      <c r="AC76" s="532"/>
      <c r="AD76" s="456"/>
      <c r="AE76" s="456"/>
      <c r="AF76" s="456"/>
      <c r="AG76" s="456"/>
      <c r="AI76" s="456"/>
      <c r="AJ76" s="456"/>
      <c r="AL76" s="456"/>
      <c r="AM76" s="456"/>
    </row>
    <row r="77" spans="27:39" x14ac:dyDescent="0.25">
      <c r="AA77" s="532"/>
      <c r="AB77" s="532"/>
      <c r="AC77" s="532"/>
      <c r="AD77" s="456"/>
      <c r="AE77" s="456"/>
      <c r="AF77" s="456"/>
      <c r="AG77" s="456"/>
      <c r="AI77" s="456"/>
      <c r="AJ77" s="456"/>
      <c r="AL77" s="456"/>
      <c r="AM77" s="456"/>
    </row>
    <row r="78" spans="27:39" x14ac:dyDescent="0.25">
      <c r="AA78" s="532"/>
      <c r="AB78" s="532"/>
      <c r="AC78" s="532"/>
      <c r="AD78" s="456"/>
      <c r="AE78" s="456"/>
      <c r="AF78" s="456"/>
      <c r="AG78" s="456"/>
      <c r="AI78" s="456"/>
      <c r="AJ78" s="456"/>
      <c r="AL78" s="456"/>
      <c r="AM78" s="456"/>
    </row>
    <row r="79" spans="27:39" x14ac:dyDescent="0.25">
      <c r="AA79" s="532"/>
      <c r="AB79" s="532"/>
      <c r="AC79" s="532"/>
      <c r="AD79" s="456"/>
      <c r="AE79" s="456"/>
      <c r="AF79" s="456"/>
      <c r="AG79" s="456"/>
      <c r="AI79" s="456"/>
      <c r="AJ79" s="456"/>
      <c r="AL79" s="456"/>
      <c r="AM79" s="456"/>
    </row>
    <row r="80" spans="27:39" x14ac:dyDescent="0.25">
      <c r="AA80" s="532"/>
      <c r="AB80" s="532"/>
      <c r="AC80" s="532"/>
      <c r="AD80" s="456"/>
      <c r="AE80" s="456"/>
      <c r="AF80" s="456"/>
      <c r="AG80" s="456"/>
      <c r="AI80" s="456"/>
      <c r="AJ80" s="456"/>
      <c r="AL80" s="456"/>
      <c r="AM80" s="456"/>
    </row>
    <row r="81" spans="27:39" x14ac:dyDescent="0.25">
      <c r="AA81" s="532"/>
      <c r="AB81" s="532"/>
      <c r="AC81" s="532"/>
      <c r="AD81" s="456"/>
      <c r="AE81" s="456"/>
      <c r="AF81" s="456"/>
      <c r="AG81" s="456"/>
      <c r="AI81" s="456"/>
      <c r="AJ81" s="456"/>
      <c r="AL81" s="456"/>
      <c r="AM81" s="456"/>
    </row>
    <row r="82" spans="27:39" x14ac:dyDescent="0.25">
      <c r="AA82" s="532"/>
      <c r="AB82" s="532"/>
      <c r="AC82" s="532"/>
      <c r="AD82" s="456"/>
      <c r="AE82" s="456"/>
      <c r="AF82" s="456"/>
      <c r="AG82" s="456"/>
      <c r="AI82" s="456"/>
      <c r="AJ82" s="456"/>
      <c r="AL82" s="456"/>
      <c r="AM82" s="456"/>
    </row>
    <row r="83" spans="27:39" x14ac:dyDescent="0.25">
      <c r="AA83" s="532"/>
      <c r="AB83" s="532"/>
      <c r="AC83" s="532"/>
      <c r="AD83" s="456"/>
      <c r="AE83" s="456"/>
      <c r="AF83" s="456"/>
      <c r="AG83" s="456"/>
      <c r="AI83" s="456"/>
      <c r="AJ83" s="456"/>
      <c r="AL83" s="456"/>
      <c r="AM83" s="456"/>
    </row>
    <row r="84" spans="27:39" x14ac:dyDescent="0.25">
      <c r="AA84" s="532"/>
      <c r="AB84" s="532"/>
      <c r="AC84" s="532"/>
      <c r="AD84" s="456"/>
      <c r="AE84" s="456"/>
      <c r="AF84" s="456"/>
      <c r="AG84" s="456"/>
      <c r="AI84" s="456"/>
      <c r="AJ84" s="456"/>
      <c r="AL84" s="456"/>
      <c r="AM84" s="456"/>
    </row>
    <row r="85" spans="27:39" x14ac:dyDescent="0.25">
      <c r="AA85" s="532"/>
      <c r="AB85" s="532"/>
      <c r="AC85" s="532"/>
      <c r="AD85" s="456"/>
      <c r="AE85" s="456"/>
      <c r="AF85" s="456"/>
      <c r="AG85" s="456"/>
      <c r="AI85" s="456"/>
      <c r="AJ85" s="456"/>
      <c r="AL85" s="456"/>
      <c r="AM85" s="456"/>
    </row>
    <row r="86" spans="27:39" x14ac:dyDescent="0.25">
      <c r="AA86" s="532"/>
      <c r="AB86" s="532"/>
      <c r="AC86" s="532"/>
      <c r="AD86" s="456"/>
      <c r="AE86" s="456"/>
      <c r="AF86" s="456"/>
      <c r="AG86" s="456"/>
      <c r="AI86" s="456"/>
      <c r="AJ86" s="456"/>
      <c r="AL86" s="456"/>
      <c r="AM86" s="456"/>
    </row>
    <row r="87" spans="27:39" x14ac:dyDescent="0.25">
      <c r="AA87" s="532"/>
      <c r="AB87" s="532"/>
      <c r="AC87" s="532"/>
      <c r="AD87" s="456"/>
      <c r="AE87" s="456"/>
      <c r="AF87" s="456"/>
      <c r="AG87" s="456"/>
      <c r="AI87" s="456"/>
      <c r="AJ87" s="456"/>
      <c r="AL87" s="456"/>
      <c r="AM87" s="456"/>
    </row>
    <row r="88" spans="27:39" x14ac:dyDescent="0.25">
      <c r="AA88" s="532"/>
      <c r="AB88" s="532"/>
      <c r="AC88" s="532"/>
      <c r="AD88" s="456"/>
      <c r="AE88" s="456"/>
      <c r="AF88" s="456"/>
      <c r="AG88" s="456"/>
      <c r="AI88" s="456"/>
      <c r="AJ88" s="456"/>
      <c r="AL88" s="456"/>
      <c r="AM88" s="456"/>
    </row>
    <row r="89" spans="27:39" x14ac:dyDescent="0.25">
      <c r="AA89" s="532"/>
      <c r="AB89" s="532"/>
      <c r="AC89" s="532"/>
      <c r="AD89" s="456"/>
      <c r="AE89" s="456"/>
      <c r="AF89" s="456"/>
      <c r="AG89" s="456"/>
      <c r="AI89" s="456"/>
      <c r="AJ89" s="456"/>
      <c r="AL89" s="456"/>
      <c r="AM89" s="456"/>
    </row>
    <row r="90" spans="27:39" x14ac:dyDescent="0.25">
      <c r="AA90" s="532"/>
      <c r="AB90" s="532"/>
      <c r="AC90" s="532"/>
      <c r="AD90" s="456"/>
      <c r="AE90" s="456"/>
      <c r="AF90" s="456"/>
      <c r="AG90" s="456"/>
      <c r="AI90" s="456"/>
      <c r="AJ90" s="456"/>
      <c r="AL90" s="456"/>
      <c r="AM90" s="456"/>
    </row>
    <row r="91" spans="27:39" x14ac:dyDescent="0.25">
      <c r="AA91" s="532"/>
      <c r="AB91" s="532"/>
      <c r="AC91" s="532"/>
      <c r="AD91" s="456"/>
      <c r="AE91" s="456"/>
      <c r="AF91" s="456"/>
      <c r="AG91" s="456"/>
      <c r="AI91" s="456"/>
      <c r="AJ91" s="456"/>
      <c r="AL91" s="456"/>
      <c r="AM91" s="456"/>
    </row>
    <row r="92" spans="27:39" x14ac:dyDescent="0.25">
      <c r="AA92" s="532"/>
      <c r="AB92" s="532"/>
      <c r="AC92" s="532"/>
      <c r="AD92" s="456"/>
      <c r="AE92" s="456"/>
      <c r="AF92" s="456"/>
      <c r="AG92" s="456"/>
      <c r="AI92" s="456"/>
      <c r="AJ92" s="456"/>
      <c r="AL92" s="456"/>
      <c r="AM92" s="456"/>
    </row>
  </sheetData>
  <mergeCells count="2">
    <mergeCell ref="F2:X2"/>
    <mergeCell ref="AA2:AM2"/>
  </mergeCells>
  <conditionalFormatting sqref="F12:F61">
    <cfRule type="colorScale" priority="1">
      <colorScale>
        <cfvo type="num" val="0"/>
        <cfvo type="num" val="5"/>
        <cfvo type="num" val="10"/>
        <color rgb="FFC00000"/>
        <color rgb="FFFFEB84"/>
        <color rgb="FF00B050"/>
      </colorScale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4" workbookViewId="0">
      <selection activeCell="B4" sqref="B4:B6"/>
    </sheetView>
  </sheetViews>
  <sheetFormatPr defaultRowHeight="15" x14ac:dyDescent="0.25"/>
  <cols>
    <col min="1" max="1" width="3" style="307" bestFit="1" customWidth="1"/>
    <col min="2" max="2" width="32.140625" bestFit="1" customWidth="1"/>
    <col min="3" max="3" width="9.140625" style="479"/>
    <col min="6" max="6" width="9.140625" style="508"/>
    <col min="10" max="10" width="9.140625" style="508"/>
    <col min="13" max="13" width="9.140625" style="508"/>
    <col min="16" max="16" width="9.140625" style="508"/>
    <col min="17" max="17" width="9.140625" style="484"/>
  </cols>
  <sheetData>
    <row r="1" spans="1:17" s="307" customFormat="1" x14ac:dyDescent="0.25">
      <c r="C1" s="479">
        <v>1</v>
      </c>
      <c r="D1" s="307">
        <v>2</v>
      </c>
      <c r="E1" s="307">
        <v>3</v>
      </c>
      <c r="F1" s="508">
        <v>4</v>
      </c>
      <c r="G1" s="307">
        <v>5</v>
      </c>
      <c r="H1" s="307">
        <v>6</v>
      </c>
      <c r="I1" s="307">
        <v>7</v>
      </c>
      <c r="J1" s="508">
        <v>8</v>
      </c>
      <c r="K1" s="307">
        <v>9</v>
      </c>
      <c r="L1" s="307">
        <v>10</v>
      </c>
      <c r="M1" s="508">
        <v>11</v>
      </c>
      <c r="N1" s="307">
        <v>12</v>
      </c>
      <c r="O1" s="307">
        <v>13</v>
      </c>
      <c r="P1" s="508">
        <v>14</v>
      </c>
      <c r="Q1" s="484">
        <v>15</v>
      </c>
    </row>
    <row r="2" spans="1:17" ht="99.75" customHeight="1" x14ac:dyDescent="0.25">
      <c r="C2" s="480" t="str">
        <f t="shared" ref="C2:Q2" ca="1" si="0">OFFSET($B$3,C1,0)</f>
        <v>Current Ratio</v>
      </c>
      <c r="D2" s="477" t="str">
        <f t="shared" ca="1" si="0"/>
        <v>Quick Asset Ratio</v>
      </c>
      <c r="E2" s="477" t="str">
        <f t="shared" ca="1" si="0"/>
        <v>Cash Position Ratio</v>
      </c>
      <c r="F2" s="487" t="str">
        <f t="shared" ca="1" si="0"/>
        <v>Liquidity total</v>
      </c>
      <c r="G2" s="477" t="str">
        <f t="shared" ca="1" si="0"/>
        <v>ROA - Return on Assets</v>
      </c>
      <c r="H2" s="477" t="str">
        <f t="shared" ca="1" si="0"/>
        <v>ROE - Return on Equity</v>
      </c>
      <c r="I2" s="477" t="str">
        <f t="shared" ca="1" si="0"/>
        <v>ROS – Return on Sales</v>
      </c>
      <c r="J2" s="487" t="str">
        <f t="shared" ca="1" si="0"/>
        <v>Profitability total</v>
      </c>
      <c r="K2" s="477" t="str">
        <f t="shared" ca="1" si="0"/>
        <v>Total Debt to Total Assets</v>
      </c>
      <c r="L2" s="477" t="str">
        <f t="shared" ca="1" si="0"/>
        <v>Debt-to-EBITDA Ratio</v>
      </c>
      <c r="M2" s="487" t="str">
        <f t="shared" ca="1" si="0"/>
        <v>Leverage total</v>
      </c>
      <c r="N2" s="477" t="str">
        <f t="shared" ca="1" si="0"/>
        <v>Working capital turnover ratio</v>
      </c>
      <c r="O2" s="477" t="str">
        <f t="shared" ca="1" si="0"/>
        <v>Accounts receivable turnover ratio</v>
      </c>
      <c r="P2" s="487" t="str">
        <f t="shared" ca="1" si="0"/>
        <v>Activity total</v>
      </c>
      <c r="Q2" s="486" t="str">
        <f t="shared" ca="1" si="0"/>
        <v>Total</v>
      </c>
    </row>
    <row r="3" spans="1:17" s="307" customFormat="1" ht="15.75" thickBot="1" x14ac:dyDescent="0.3">
      <c r="B3" s="488">
        <v>2015</v>
      </c>
      <c r="C3" s="489"/>
      <c r="D3" s="490"/>
      <c r="E3" s="490"/>
      <c r="F3" s="491"/>
      <c r="G3" s="490"/>
      <c r="H3" s="490"/>
      <c r="I3" s="490"/>
      <c r="J3" s="491"/>
      <c r="K3" s="490"/>
      <c r="L3" s="490"/>
      <c r="M3" s="491"/>
      <c r="N3" s="490"/>
      <c r="O3" s="490"/>
      <c r="P3" s="491"/>
      <c r="Q3" s="492"/>
    </row>
    <row r="4" spans="1:17" s="449" customFormat="1" x14ac:dyDescent="0.25">
      <c r="A4" s="449">
        <v>1</v>
      </c>
      <c r="B4" s="478" t="str">
        <f>'MD-ratings-final'!D3</f>
        <v>Current Ratio</v>
      </c>
      <c r="C4" s="497"/>
      <c r="D4" s="498">
        <f ca="1">CORREL(OFFSET('MD-ratings-final'!$I$2,'MD-correl'!$A4,0,1,85),OFFSET('MD-ratings-final'!$I$2,'MD-correl'!D$1,0,1,85))</f>
        <v>0.89202296806363979</v>
      </c>
      <c r="E4" s="498">
        <f ca="1">CORREL(OFFSET('MD-ratings-final'!$I$2,'MD-correl'!$A4,0,1,85),OFFSET('MD-ratings-final'!$I$2,'MD-correl'!E$1,0,1,85))</f>
        <v>0.79552003419482009</v>
      </c>
      <c r="F4" s="509">
        <f ca="1">CORREL(OFFSET('MD-ratings-final'!$I$2,'MD-correl'!$A4,0,1,85),OFFSET('MD-ratings-final'!$I$2,'MD-correl'!F$1,0,1,85))</f>
        <v>0.93585631366547506</v>
      </c>
      <c r="G4" s="498">
        <f ca="1">CORREL(OFFSET('MD-ratings-final'!$I$2,'MD-correl'!$A4,0,1,85),OFFSET('MD-ratings-final'!$I$2,'MD-correl'!G$1,0,1,85))</f>
        <v>0.28540834064575532</v>
      </c>
      <c r="H4" s="498">
        <f ca="1">CORREL(OFFSET('MD-ratings-final'!$I$2,'MD-correl'!$A4,0,1,85),OFFSET('MD-ratings-final'!$I$2,'MD-correl'!H$1,0,1,85))</f>
        <v>0.15127598614842586</v>
      </c>
      <c r="I4" s="498">
        <f ca="1">CORREL(OFFSET('MD-ratings-final'!$I$2,'MD-correl'!$A4,0,1,85),OFFSET('MD-ratings-final'!$I$2,'MD-correl'!I$1,0,1,85))</f>
        <v>0.2720545077059211</v>
      </c>
      <c r="J4" s="509">
        <f ca="1">CORREL(OFFSET('MD-ratings-final'!$I$2,'MD-correl'!$A4,0,1,85),OFFSET('MD-ratings-final'!$I$2,'MD-correl'!J$1,0,1,85))</f>
        <v>0.26606369977104588</v>
      </c>
      <c r="K4" s="498">
        <f ca="1">CORREL(OFFSET('MD-ratings-final'!$I$2,'MD-correl'!$A4,0,1,85),OFFSET('MD-ratings-final'!$I$2,'MD-correl'!K$1,0,1,85))</f>
        <v>0.33172181502278575</v>
      </c>
      <c r="L4" s="498">
        <f ca="1">CORREL(OFFSET('MD-ratings-final'!$I$2,'MD-correl'!$A4,0,1,85),OFFSET('MD-ratings-final'!$I$2,'MD-correl'!L$1,0,1,85))</f>
        <v>0.19571516795244434</v>
      </c>
      <c r="M4" s="509">
        <f ca="1">CORREL(OFFSET('MD-ratings-final'!$I$2,'MD-correl'!$A4,0,1,85),OFFSET('MD-ratings-final'!$I$2,'MD-correl'!M$1,0,1,85))</f>
        <v>0.29260779467001935</v>
      </c>
      <c r="N4" s="498">
        <f ca="1">CORREL(OFFSET('MD-ratings-final'!$I$2,'MD-correl'!$A4,0,1,85),OFFSET('MD-ratings-final'!$I$2,'MD-correl'!N$1,0,1,85))</f>
        <v>-0.41801922874444863</v>
      </c>
      <c r="O4" s="498">
        <f ca="1">CORREL(OFFSET('MD-ratings-final'!$I$2,'MD-correl'!$A4,0,1,85),OFFSET('MD-ratings-final'!$I$2,'MD-correl'!O$1,0,1,85))</f>
        <v>0.16205842122001393</v>
      </c>
      <c r="P4" s="509">
        <f ca="1">CORREL(OFFSET('MD-ratings-final'!$I$2,'MD-correl'!$A4,0,1,85),OFFSET('MD-ratings-final'!$I$2,'MD-correl'!P$1,0,1,85))</f>
        <v>-0.13059295551064201</v>
      </c>
      <c r="Q4" s="499">
        <f ca="1">CORREL(OFFSET('MD-ratings-final'!$I$2,'MD-correl'!$A4,0,1,85),OFFSET('MD-ratings-final'!$I$2,'MD-correl'!Q$1,0,1,85))</f>
        <v>0.5807490777161024</v>
      </c>
    </row>
    <row r="5" spans="1:17" x14ac:dyDescent="0.25">
      <c r="A5" s="307">
        <v>2</v>
      </c>
      <c r="B5" s="476" t="str">
        <f>'MD-ratings-final'!D4</f>
        <v>Quick Asset Ratio</v>
      </c>
      <c r="C5" s="500">
        <f ca="1">CORREL(OFFSET('MD-ratings-final'!$I$2,'MD-correl'!$A5,0,1,85),OFFSET('MD-ratings-final'!$I$2,'MD-correl'!C$1,0,1,85))</f>
        <v>0.89202296806363979</v>
      </c>
      <c r="D5" s="456"/>
      <c r="E5" s="456">
        <f ca="1">CORREL(OFFSET('MD-ratings-final'!$I$2,'MD-correl'!$A5,0,1,85),OFFSET('MD-ratings-final'!$I$2,'MD-correl'!E$1,0,1,85))</f>
        <v>0.87389458447255841</v>
      </c>
      <c r="F5" s="510">
        <f ca="1">CORREL(OFFSET('MD-ratings-final'!$I$2,'MD-correl'!$A5,0,1,85),OFFSET('MD-ratings-final'!$I$2,'MD-correl'!F$1,0,1,85))</f>
        <v>0.97009995633613877</v>
      </c>
      <c r="G5" s="456">
        <f ca="1">CORREL(OFFSET('MD-ratings-final'!$I$2,'MD-correl'!$A5,0,1,85),OFFSET('MD-ratings-final'!$I$2,'MD-correl'!G$1,0,1,85))</f>
        <v>0.2679526101065115</v>
      </c>
      <c r="H5" s="456">
        <f ca="1">CORREL(OFFSET('MD-ratings-final'!$I$2,'MD-correl'!$A5,0,1,85),OFFSET('MD-ratings-final'!$I$2,'MD-correl'!H$1,0,1,85))</f>
        <v>0.19235286221921299</v>
      </c>
      <c r="I5" s="456">
        <f ca="1">CORREL(OFFSET('MD-ratings-final'!$I$2,'MD-correl'!$A5,0,1,85),OFFSET('MD-ratings-final'!$I$2,'MD-correl'!I$1,0,1,85))</f>
        <v>0.23737933832724192</v>
      </c>
      <c r="J5" s="510">
        <f ca="1">CORREL(OFFSET('MD-ratings-final'!$I$2,'MD-correl'!$A5,0,1,85),OFFSET('MD-ratings-final'!$I$2,'MD-correl'!J$1,0,1,85))</f>
        <v>0.25107224540262757</v>
      </c>
      <c r="K5" s="456">
        <f ca="1">CORREL(OFFSET('MD-ratings-final'!$I$2,'MD-correl'!$A5,0,1,85),OFFSET('MD-ratings-final'!$I$2,'MD-correl'!K$1,0,1,85))</f>
        <v>0.32274709129230988</v>
      </c>
      <c r="L5" s="456">
        <f ca="1">CORREL(OFFSET('MD-ratings-final'!$I$2,'MD-correl'!$A5,0,1,85),OFFSET('MD-ratings-final'!$I$2,'MD-correl'!L$1,0,1,85))</f>
        <v>0.19409661860559757</v>
      </c>
      <c r="M5" s="510">
        <f ca="1">CORREL(OFFSET('MD-ratings-final'!$I$2,'MD-correl'!$A5,0,1,85),OFFSET('MD-ratings-final'!$I$2,'MD-correl'!M$1,0,1,85))</f>
        <v>0.28655520287202896</v>
      </c>
      <c r="N5" s="456">
        <f ca="1">CORREL(OFFSET('MD-ratings-final'!$I$2,'MD-correl'!$A5,0,1,85),OFFSET('MD-ratings-final'!$I$2,'MD-correl'!N$1,0,1,85))</f>
        <v>-0.27316416812361316</v>
      </c>
      <c r="O5" s="456">
        <f ca="1">CORREL(OFFSET('MD-ratings-final'!$I$2,'MD-correl'!$A5,0,1,85),OFFSET('MD-ratings-final'!$I$2,'MD-correl'!O$1,0,1,85))</f>
        <v>0.12183071763252185</v>
      </c>
      <c r="P5" s="510">
        <f ca="1">CORREL(OFFSET('MD-ratings-final'!$I$2,'MD-correl'!$A5,0,1,85),OFFSET('MD-ratings-final'!$I$2,'MD-correl'!P$1,0,1,85))</f>
        <v>-7.33868154692148E-2</v>
      </c>
      <c r="Q5" s="501">
        <f ca="1">CORREL(OFFSET('MD-ratings-final'!$I$2,'MD-correl'!$A5,0,1,85),OFFSET('MD-ratings-final'!$I$2,'MD-correl'!Q$1,0,1,85))</f>
        <v>0.59776892231383028</v>
      </c>
    </row>
    <row r="6" spans="1:17" x14ac:dyDescent="0.25">
      <c r="A6" s="307">
        <v>3</v>
      </c>
      <c r="B6" s="476" t="str">
        <f>'MD-ratings-final'!D5</f>
        <v>Cash Position Ratio</v>
      </c>
      <c r="C6" s="500">
        <f ca="1">CORREL(OFFSET('MD-ratings-final'!$I$2,'MD-correl'!$A6,0,1,85),OFFSET('MD-ratings-final'!$I$2,'MD-correl'!C$1,0,1,85))</f>
        <v>0.79552003419482009</v>
      </c>
      <c r="D6" s="456">
        <f ca="1">CORREL(OFFSET('MD-ratings-final'!$I$2,'MD-correl'!$A6,0,1,85),OFFSET('MD-ratings-final'!$I$2,'MD-correl'!D$1,0,1,85))</f>
        <v>0.87389458447255841</v>
      </c>
      <c r="E6" s="456"/>
      <c r="F6" s="510">
        <f ca="1">CORREL(OFFSET('MD-ratings-final'!$I$2,'MD-correl'!$A6,0,1,85),OFFSET('MD-ratings-final'!$I$2,'MD-correl'!F$1,0,1,85))</f>
        <v>0.94343114773194769</v>
      </c>
      <c r="G6" s="456">
        <f ca="1">CORREL(OFFSET('MD-ratings-final'!$I$2,'MD-correl'!$A6,0,1,85),OFFSET('MD-ratings-final'!$I$2,'MD-correl'!G$1,0,1,85))</f>
        <v>0.37423757464488128</v>
      </c>
      <c r="H6" s="456">
        <f ca="1">CORREL(OFFSET('MD-ratings-final'!$I$2,'MD-correl'!$A6,0,1,85),OFFSET('MD-ratings-final'!$I$2,'MD-correl'!H$1,0,1,85))</f>
        <v>0.28861321072070045</v>
      </c>
      <c r="I6" s="456">
        <f ca="1">CORREL(OFFSET('MD-ratings-final'!$I$2,'MD-correl'!$A6,0,1,85),OFFSET('MD-ratings-final'!$I$2,'MD-correl'!I$1,0,1,85))</f>
        <v>0.31856283457707463</v>
      </c>
      <c r="J6" s="510">
        <f ca="1">CORREL(OFFSET('MD-ratings-final'!$I$2,'MD-correl'!$A6,0,1,85),OFFSET('MD-ratings-final'!$I$2,'MD-correl'!J$1,0,1,85))</f>
        <v>0.34859887758815528</v>
      </c>
      <c r="K6" s="456">
        <f ca="1">CORREL(OFFSET('MD-ratings-final'!$I$2,'MD-correl'!$A6,0,1,85),OFFSET('MD-ratings-final'!$I$2,'MD-correl'!K$1,0,1,85))</f>
        <v>0.27676020856498335</v>
      </c>
      <c r="L6" s="456">
        <f ca="1">CORREL(OFFSET('MD-ratings-final'!$I$2,'MD-correl'!$A6,0,1,85),OFFSET('MD-ratings-final'!$I$2,'MD-correl'!L$1,0,1,85))</f>
        <v>0.19227156542483143</v>
      </c>
      <c r="M6" s="510">
        <f ca="1">CORREL(OFFSET('MD-ratings-final'!$I$2,'MD-correl'!$A6,0,1,85),OFFSET('MD-ratings-final'!$I$2,'MD-correl'!M$1,0,1,85))</f>
        <v>0.25882080460743301</v>
      </c>
      <c r="N6" s="456">
        <f ca="1">CORREL(OFFSET('MD-ratings-final'!$I$2,'MD-correl'!$A6,0,1,85),OFFSET('MD-ratings-final'!$I$2,'MD-correl'!N$1,0,1,85))</f>
        <v>-0.29064894209034486</v>
      </c>
      <c r="O6" s="456">
        <f ca="1">CORREL(OFFSET('MD-ratings-final'!$I$2,'MD-correl'!$A6,0,1,85),OFFSET('MD-ratings-final'!$I$2,'MD-correl'!O$1,0,1,85))</f>
        <v>0.34639331560111047</v>
      </c>
      <c r="P6" s="510">
        <f ca="1">CORREL(OFFSET('MD-ratings-final'!$I$2,'MD-correl'!$A6,0,1,85),OFFSET('MD-ratings-final'!$I$2,'MD-correl'!P$1,0,1,85))</f>
        <v>8.4552430577409118E-2</v>
      </c>
      <c r="Q6" s="501">
        <f ca="1">CORREL(OFFSET('MD-ratings-final'!$I$2,'MD-correl'!$A6,0,1,85),OFFSET('MD-ratings-final'!$I$2,'MD-correl'!Q$1,0,1,85))</f>
        <v>0.64926228460549795</v>
      </c>
    </row>
    <row r="7" spans="1:17" s="482" customFormat="1" x14ac:dyDescent="0.25">
      <c r="A7" s="482">
        <v>4</v>
      </c>
      <c r="B7" s="483" t="str">
        <f>'MD-ratings-final'!C6</f>
        <v>Liquidity total</v>
      </c>
      <c r="C7" s="502">
        <f ca="1">CORREL(OFFSET('MD-ratings-final'!$I$2,'MD-correl'!$A7,0,1,85),OFFSET('MD-ratings-final'!$I$2,'MD-correl'!C$1,0,1,85))</f>
        <v>0.93585631366547506</v>
      </c>
      <c r="D7" s="503">
        <f ca="1">CORREL(OFFSET('MD-ratings-final'!$I$2,'MD-correl'!$A7,0,1,85),OFFSET('MD-ratings-final'!$I$2,'MD-correl'!D$1,0,1,85))</f>
        <v>0.97009995633613877</v>
      </c>
      <c r="E7" s="503">
        <f ca="1">CORREL(OFFSET('MD-ratings-final'!$I$2,'MD-correl'!$A7,0,1,85),OFFSET('MD-ratings-final'!$I$2,'MD-correl'!E$1,0,1,85))</f>
        <v>0.94343114773194769</v>
      </c>
      <c r="F7" s="504"/>
      <c r="G7" s="503">
        <f ca="1">CORREL(OFFSET('MD-ratings-final'!$I$2,'MD-correl'!$A7,0,1,85),OFFSET('MD-ratings-final'!$I$2,'MD-correl'!G$1,0,1,85))</f>
        <v>0.32827953050488734</v>
      </c>
      <c r="H7" s="503">
        <f ca="1">CORREL(OFFSET('MD-ratings-final'!$I$2,'MD-correl'!$A7,0,1,85),OFFSET('MD-ratings-final'!$I$2,'MD-correl'!H$1,0,1,85))</f>
        <v>0.22642330253234846</v>
      </c>
      <c r="I7" s="503">
        <f ca="1">CORREL(OFFSET('MD-ratings-final'!$I$2,'MD-correl'!$A7,0,1,85),OFFSET('MD-ratings-final'!$I$2,'MD-correl'!I$1,0,1,85))</f>
        <v>0.29190052908860731</v>
      </c>
      <c r="J7" s="504">
        <f ca="1">CORREL(OFFSET('MD-ratings-final'!$I$2,'MD-correl'!$A7,0,1,85),OFFSET('MD-ratings-final'!$I$2,'MD-correl'!J$1,0,1,85))</f>
        <v>0.30637766289737234</v>
      </c>
      <c r="K7" s="503">
        <f ca="1">CORREL(OFFSET('MD-ratings-final'!$I$2,'MD-correl'!$A7,0,1,85),OFFSET('MD-ratings-final'!$I$2,'MD-correl'!K$1,0,1,85))</f>
        <v>0.32487844001936328</v>
      </c>
      <c r="L7" s="503">
        <f ca="1">CORREL(OFFSET('MD-ratings-final'!$I$2,'MD-correl'!$A7,0,1,85),OFFSET('MD-ratings-final'!$I$2,'MD-correl'!L$1,0,1,85))</f>
        <v>0.20409437025374519</v>
      </c>
      <c r="M7" s="504">
        <f ca="1">CORREL(OFFSET('MD-ratings-final'!$I$2,'MD-correl'!$A7,0,1,85),OFFSET('MD-ratings-final'!$I$2,'MD-correl'!M$1,0,1,85))</f>
        <v>0.2928663338891328</v>
      </c>
      <c r="N7" s="503">
        <f ca="1">CORREL(OFFSET('MD-ratings-final'!$I$2,'MD-correl'!$A7,0,1,85),OFFSET('MD-ratings-final'!$I$2,'MD-correl'!N$1,0,1,85))</f>
        <v>-0.33985191252942448</v>
      </c>
      <c r="O7" s="503">
        <f ca="1">CORREL(OFFSET('MD-ratings-final'!$I$2,'MD-correl'!$A7,0,1,85),OFFSET('MD-ratings-final'!$I$2,'MD-correl'!O$1,0,1,85))</f>
        <v>0.22702532383163498</v>
      </c>
      <c r="P7" s="504">
        <f ca="1">CORREL(OFFSET('MD-ratings-final'!$I$2,'MD-correl'!$A7,0,1,85),OFFSET('MD-ratings-final'!$I$2,'MD-correl'!P$1,0,1,85))</f>
        <v>-3.4691757936668753E-2</v>
      </c>
      <c r="Q7" s="505">
        <f ca="1">CORREL(OFFSET('MD-ratings-final'!$I$2,'MD-correl'!$A7,0,1,85),OFFSET('MD-ratings-final'!$I$2,'MD-correl'!Q$1,0,1,85))</f>
        <v>0.64353014691670674</v>
      </c>
    </row>
    <row r="8" spans="1:17" x14ac:dyDescent="0.25">
      <c r="A8" s="307">
        <v>5</v>
      </c>
      <c r="B8" s="476" t="str">
        <f>'MD-ratings-final'!D7</f>
        <v>ROA - Return on Assets</v>
      </c>
      <c r="C8" s="500">
        <f ca="1">CORREL(OFFSET('MD-ratings-final'!$I$2,'MD-correl'!$A8,0,1,85),OFFSET('MD-ratings-final'!$I$2,'MD-correl'!C$1,0,1,85))</f>
        <v>0.28540834064575532</v>
      </c>
      <c r="D8" s="456">
        <f ca="1">CORREL(OFFSET('MD-ratings-final'!$I$2,'MD-correl'!$A8,0,1,85),OFFSET('MD-ratings-final'!$I$2,'MD-correl'!D$1,0,1,85))</f>
        <v>0.2679526101065115</v>
      </c>
      <c r="E8" s="456">
        <f ca="1">CORREL(OFFSET('MD-ratings-final'!$I$2,'MD-correl'!$A8,0,1,85),OFFSET('MD-ratings-final'!$I$2,'MD-correl'!E$1,0,1,85))</f>
        <v>0.37423757464488128</v>
      </c>
      <c r="F8" s="510">
        <f ca="1">CORREL(OFFSET('MD-ratings-final'!$I$2,'MD-correl'!$A8,0,1,85),OFFSET('MD-ratings-final'!$I$2,'MD-correl'!F$1,0,1,85))</f>
        <v>0.32827953050488734</v>
      </c>
      <c r="G8" s="456"/>
      <c r="H8" s="456">
        <f ca="1">CORREL(OFFSET('MD-ratings-final'!$I$2,'MD-correl'!$A8,0,1,85),OFFSET('MD-ratings-final'!$I$2,'MD-correl'!H$1,0,1,85))</f>
        <v>0.83784639209481049</v>
      </c>
      <c r="I8" s="456">
        <f ca="1">CORREL(OFFSET('MD-ratings-final'!$I$2,'MD-correl'!$A8,0,1,85),OFFSET('MD-ratings-final'!$I$2,'MD-correl'!I$1,0,1,85))</f>
        <v>0.9436245991129163</v>
      </c>
      <c r="J8" s="510">
        <f ca="1">CORREL(OFFSET('MD-ratings-final'!$I$2,'MD-correl'!$A8,0,1,85),OFFSET('MD-ratings-final'!$I$2,'MD-correl'!J$1,0,1,85))</f>
        <v>0.98454334648342556</v>
      </c>
      <c r="K8" s="456">
        <f ca="1">CORREL(OFFSET('MD-ratings-final'!$I$2,'MD-correl'!$A8,0,1,85),OFFSET('MD-ratings-final'!$I$2,'MD-correl'!K$1,0,1,85))</f>
        <v>0.24872743079041476</v>
      </c>
      <c r="L8" s="456">
        <f ca="1">CORREL(OFFSET('MD-ratings-final'!$I$2,'MD-correl'!$A8,0,1,85),OFFSET('MD-ratings-final'!$I$2,'MD-correl'!L$1,0,1,85))</f>
        <v>0.66276721414295559</v>
      </c>
      <c r="M8" s="510">
        <f ca="1">CORREL(OFFSET('MD-ratings-final'!$I$2,'MD-correl'!$A8,0,1,85),OFFSET('MD-ratings-final'!$I$2,'MD-correl'!M$1,0,1,85))</f>
        <v>0.48100799703014724</v>
      </c>
      <c r="N8" s="456">
        <f ca="1">CORREL(OFFSET('MD-ratings-final'!$I$2,'MD-correl'!$A8,0,1,85),OFFSET('MD-ratings-final'!$I$2,'MD-correl'!N$1,0,1,85))</f>
        <v>-0.23660390551796648</v>
      </c>
      <c r="O8" s="456">
        <f ca="1">CORREL(OFFSET('MD-ratings-final'!$I$2,'MD-correl'!$A8,0,1,85),OFFSET('MD-ratings-final'!$I$2,'MD-correl'!O$1,0,1,85))</f>
        <v>0.31370369768163686</v>
      </c>
      <c r="P8" s="510">
        <f ca="1">CORREL(OFFSET('MD-ratings-final'!$I$2,'MD-correl'!$A8,0,1,85),OFFSET('MD-ratings-final'!$I$2,'MD-correl'!P$1,0,1,85))</f>
        <v>9.2630149155805877E-2</v>
      </c>
      <c r="Q8" s="501">
        <f ca="1">CORREL(OFFSET('MD-ratings-final'!$I$2,'MD-correl'!$A8,0,1,85),OFFSET('MD-ratings-final'!$I$2,'MD-correl'!Q$1,0,1,85))</f>
        <v>0.78076808687796817</v>
      </c>
    </row>
    <row r="9" spans="1:17" x14ac:dyDescent="0.25">
      <c r="A9" s="307">
        <v>6</v>
      </c>
      <c r="B9" s="476" t="str">
        <f>'MD-ratings-final'!D8</f>
        <v>ROE - Return on Equity</v>
      </c>
      <c r="C9" s="500">
        <f ca="1">CORREL(OFFSET('MD-ratings-final'!$I$2,'MD-correl'!$A9,0,1,85),OFFSET('MD-ratings-final'!$I$2,'MD-correl'!C$1,0,1,85))</f>
        <v>0.15127598614842586</v>
      </c>
      <c r="D9" s="456">
        <f ca="1">CORREL(OFFSET('MD-ratings-final'!$I$2,'MD-correl'!$A9,0,1,85),OFFSET('MD-ratings-final'!$I$2,'MD-correl'!D$1,0,1,85))</f>
        <v>0.19235286221921299</v>
      </c>
      <c r="E9" s="456">
        <f ca="1">CORREL(OFFSET('MD-ratings-final'!$I$2,'MD-correl'!$A9,0,1,85),OFFSET('MD-ratings-final'!$I$2,'MD-correl'!E$1,0,1,85))</f>
        <v>0.28861321072070045</v>
      </c>
      <c r="F9" s="510">
        <f ca="1">CORREL(OFFSET('MD-ratings-final'!$I$2,'MD-correl'!$A9,0,1,85),OFFSET('MD-ratings-final'!$I$2,'MD-correl'!F$1,0,1,85))</f>
        <v>0.22642330253234846</v>
      </c>
      <c r="G9" s="456">
        <f ca="1">CORREL(OFFSET('MD-ratings-final'!$I$2,'MD-correl'!$A9,0,1,85),OFFSET('MD-ratings-final'!$I$2,'MD-correl'!G$1,0,1,85))</f>
        <v>0.83784639209481049</v>
      </c>
      <c r="H9" s="456"/>
      <c r="I9" s="456">
        <f ca="1">CORREL(OFFSET('MD-ratings-final'!$I$2,'MD-correl'!$A9,0,1,85),OFFSET('MD-ratings-final'!$I$2,'MD-correl'!I$1,0,1,85))</f>
        <v>0.78592155920284201</v>
      </c>
      <c r="J9" s="510">
        <f ca="1">CORREL(OFFSET('MD-ratings-final'!$I$2,'MD-correl'!$A9,0,1,85),OFFSET('MD-ratings-final'!$I$2,'MD-correl'!J$1,0,1,85))</f>
        <v>0.87758017261593024</v>
      </c>
      <c r="K9" s="456">
        <f ca="1">CORREL(OFFSET('MD-ratings-final'!$I$2,'MD-correl'!$A9,0,1,85),OFFSET('MD-ratings-final'!$I$2,'MD-correl'!K$1,0,1,85))</f>
        <v>0.12963531402691503</v>
      </c>
      <c r="L9" s="456">
        <f ca="1">CORREL(OFFSET('MD-ratings-final'!$I$2,'MD-correl'!$A9,0,1,85),OFFSET('MD-ratings-final'!$I$2,'MD-correl'!L$1,0,1,85))</f>
        <v>0.55848531696302017</v>
      </c>
      <c r="M9" s="510">
        <f ca="1">CORREL(OFFSET('MD-ratings-final'!$I$2,'MD-correl'!$A9,0,1,85),OFFSET('MD-ratings-final'!$I$2,'MD-correl'!M$1,0,1,85))</f>
        <v>0.35871210665985337</v>
      </c>
      <c r="N9" s="456">
        <f ca="1">CORREL(OFFSET('MD-ratings-final'!$I$2,'MD-correl'!$A9,0,1,85),OFFSET('MD-ratings-final'!$I$2,'MD-correl'!N$1,0,1,85))</f>
        <v>-0.25013730286819225</v>
      </c>
      <c r="O9" s="456">
        <f ca="1">CORREL(OFFSET('MD-ratings-final'!$I$2,'MD-correl'!$A9,0,1,85),OFFSET('MD-ratings-final'!$I$2,'MD-correl'!O$1,0,1,85))</f>
        <v>0.19976463387305218</v>
      </c>
      <c r="P9" s="510">
        <f ca="1">CORREL(OFFSET('MD-ratings-final'!$I$2,'MD-correl'!$A9,0,1,85),OFFSET('MD-ratings-final'!$I$2,'MD-correl'!P$1,0,1,85))</f>
        <v>-1.0218941325024311E-3</v>
      </c>
      <c r="Q9" s="501">
        <f ca="1">CORREL(OFFSET('MD-ratings-final'!$I$2,'MD-correl'!$A9,0,1,85),OFFSET('MD-ratings-final'!$I$2,'MD-correl'!Q$1,0,1,85))</f>
        <v>0.6176907765720222</v>
      </c>
    </row>
    <row r="10" spans="1:17" x14ac:dyDescent="0.25">
      <c r="A10" s="307">
        <v>7</v>
      </c>
      <c r="B10" s="476" t="str">
        <f>'MD-ratings-final'!D9</f>
        <v>ROS – Return on Sales</v>
      </c>
      <c r="C10" s="500">
        <f ca="1">CORREL(OFFSET('MD-ratings-final'!$I$2,'MD-correl'!$A10,0,1,85),OFFSET('MD-ratings-final'!$I$2,'MD-correl'!C$1,0,1,85))</f>
        <v>0.2720545077059211</v>
      </c>
      <c r="D10" s="456">
        <f ca="1">CORREL(OFFSET('MD-ratings-final'!$I$2,'MD-correl'!$A10,0,1,85),OFFSET('MD-ratings-final'!$I$2,'MD-correl'!D$1,0,1,85))</f>
        <v>0.23737933832724192</v>
      </c>
      <c r="E10" s="456">
        <f ca="1">CORREL(OFFSET('MD-ratings-final'!$I$2,'MD-correl'!$A10,0,1,85),OFFSET('MD-ratings-final'!$I$2,'MD-correl'!E$1,0,1,85))</f>
        <v>0.31856283457707463</v>
      </c>
      <c r="F10" s="510">
        <f ca="1">CORREL(OFFSET('MD-ratings-final'!$I$2,'MD-correl'!$A10,0,1,85),OFFSET('MD-ratings-final'!$I$2,'MD-correl'!F$1,0,1,85))</f>
        <v>0.29190052908860731</v>
      </c>
      <c r="G10" s="456">
        <f ca="1">CORREL(OFFSET('MD-ratings-final'!$I$2,'MD-correl'!$A10,0,1,85),OFFSET('MD-ratings-final'!$I$2,'MD-correl'!G$1,0,1,85))</f>
        <v>0.9436245991129163</v>
      </c>
      <c r="H10" s="456">
        <f ca="1">CORREL(OFFSET('MD-ratings-final'!$I$2,'MD-correl'!$A10,0,1,85),OFFSET('MD-ratings-final'!$I$2,'MD-correl'!H$1,0,1,85))</f>
        <v>0.78592155920284201</v>
      </c>
      <c r="I10" s="456"/>
      <c r="J10" s="510">
        <f ca="1">CORREL(OFFSET('MD-ratings-final'!$I$2,'MD-correl'!$A10,0,1,85),OFFSET('MD-ratings-final'!$I$2,'MD-correl'!J$1,0,1,85))</f>
        <v>0.97657292717855693</v>
      </c>
      <c r="K10" s="456">
        <f ca="1">CORREL(OFFSET('MD-ratings-final'!$I$2,'MD-correl'!$A10,0,1,85),OFFSET('MD-ratings-final'!$I$2,'MD-correl'!K$1,0,1,85))</f>
        <v>8.4445128494176167E-2</v>
      </c>
      <c r="L10" s="456">
        <f ca="1">CORREL(OFFSET('MD-ratings-final'!$I$2,'MD-correl'!$A10,0,1,85),OFFSET('MD-ratings-final'!$I$2,'MD-correl'!L$1,0,1,85))</f>
        <v>0.51773675049764289</v>
      </c>
      <c r="M10" s="510">
        <f ca="1">CORREL(OFFSET('MD-ratings-final'!$I$2,'MD-correl'!$A10,0,1,85),OFFSET('MD-ratings-final'!$I$2,'MD-correl'!M$1,0,1,85))</f>
        <v>0.31170891106666143</v>
      </c>
      <c r="N10" s="456">
        <f ca="1">CORREL(OFFSET('MD-ratings-final'!$I$2,'MD-correl'!$A10,0,1,85),OFFSET('MD-ratings-final'!$I$2,'MD-correl'!N$1,0,1,85))</f>
        <v>-0.3254001839788781</v>
      </c>
      <c r="O10" s="456">
        <f ca="1">CORREL(OFFSET('MD-ratings-final'!$I$2,'MD-correl'!$A10,0,1,85),OFFSET('MD-ratings-final'!$I$2,'MD-correl'!O$1,0,1,85))</f>
        <v>0.17707550805330291</v>
      </c>
      <c r="P10" s="510">
        <f ca="1">CORREL(OFFSET('MD-ratings-final'!$I$2,'MD-correl'!$A10,0,1,85),OFFSET('MD-ratings-final'!$I$2,'MD-correl'!P$1,0,1,85))</f>
        <v>-6.3450216208337157E-2</v>
      </c>
      <c r="Q10" s="501">
        <f ca="1">CORREL(OFFSET('MD-ratings-final'!$I$2,'MD-correl'!$A10,0,1,85),OFFSET('MD-ratings-final'!$I$2,'MD-correl'!Q$1,0,1,85))</f>
        <v>0.64627844621773922</v>
      </c>
    </row>
    <row r="11" spans="1:17" s="482" customFormat="1" x14ac:dyDescent="0.25">
      <c r="A11" s="482">
        <v>8</v>
      </c>
      <c r="B11" s="483" t="str">
        <f>'MD-ratings-final'!C10</f>
        <v>Profitability total</v>
      </c>
      <c r="C11" s="502">
        <f ca="1">CORREL(OFFSET('MD-ratings-final'!$I$2,'MD-correl'!$A11,0,1,85),OFFSET('MD-ratings-final'!$I$2,'MD-correl'!C$1,0,1,85))</f>
        <v>0.26606369977104588</v>
      </c>
      <c r="D11" s="503">
        <f ca="1">CORREL(OFFSET('MD-ratings-final'!$I$2,'MD-correl'!$A11,0,1,85),OFFSET('MD-ratings-final'!$I$2,'MD-correl'!D$1,0,1,85))</f>
        <v>0.25107224540262757</v>
      </c>
      <c r="E11" s="503">
        <f ca="1">CORREL(OFFSET('MD-ratings-final'!$I$2,'MD-correl'!$A11,0,1,85),OFFSET('MD-ratings-final'!$I$2,'MD-correl'!E$1,0,1,85))</f>
        <v>0.34859887758815528</v>
      </c>
      <c r="F11" s="504">
        <f ca="1">CORREL(OFFSET('MD-ratings-final'!$I$2,'MD-correl'!$A11,0,1,85),OFFSET('MD-ratings-final'!$I$2,'MD-correl'!F$1,0,1,85))</f>
        <v>0.30637766289737234</v>
      </c>
      <c r="G11" s="503">
        <f ca="1">CORREL(OFFSET('MD-ratings-final'!$I$2,'MD-correl'!$A11,0,1,85),OFFSET('MD-ratings-final'!$I$2,'MD-correl'!G$1,0,1,85))</f>
        <v>0.98454334648342556</v>
      </c>
      <c r="H11" s="503">
        <f ca="1">CORREL(OFFSET('MD-ratings-final'!$I$2,'MD-correl'!$A11,0,1,85),OFFSET('MD-ratings-final'!$I$2,'MD-correl'!H$1,0,1,85))</f>
        <v>0.87758017261593024</v>
      </c>
      <c r="I11" s="503">
        <f ca="1">CORREL(OFFSET('MD-ratings-final'!$I$2,'MD-correl'!$A11,0,1,85),OFFSET('MD-ratings-final'!$I$2,'MD-correl'!I$1,0,1,85))</f>
        <v>0.97657292717855693</v>
      </c>
      <c r="J11" s="504"/>
      <c r="K11" s="503">
        <f ca="1">CORREL(OFFSET('MD-ratings-final'!$I$2,'MD-correl'!$A11,0,1,85),OFFSET('MD-ratings-final'!$I$2,'MD-correl'!K$1,0,1,85))</f>
        <v>0.16404565174515062</v>
      </c>
      <c r="L11" s="503">
        <f ca="1">CORREL(OFFSET('MD-ratings-final'!$I$2,'MD-correl'!$A11,0,1,85),OFFSET('MD-ratings-final'!$I$2,'MD-correl'!L$1,0,1,85))</f>
        <v>0.60555513925704874</v>
      </c>
      <c r="M11" s="504">
        <f ca="1">CORREL(OFFSET('MD-ratings-final'!$I$2,'MD-correl'!$A11,0,1,85),OFFSET('MD-ratings-final'!$I$2,'MD-correl'!M$1,0,1,85))</f>
        <v>0.40263565391589662</v>
      </c>
      <c r="N11" s="503">
        <f ca="1">CORREL(OFFSET('MD-ratings-final'!$I$2,'MD-correl'!$A11,0,1,85),OFFSET('MD-ratings-final'!$I$2,'MD-correl'!N$1,0,1,85))</f>
        <v>-0.28759309762841645</v>
      </c>
      <c r="O11" s="503">
        <f ca="1">CORREL(OFFSET('MD-ratings-final'!$I$2,'MD-correl'!$A11,0,1,85),OFFSET('MD-ratings-final'!$I$2,'MD-correl'!O$1,0,1,85))</f>
        <v>0.24473229648968206</v>
      </c>
      <c r="P11" s="504">
        <f ca="1">CORREL(OFFSET('MD-ratings-final'!$I$2,'MD-correl'!$A11,0,1,85),OFFSET('MD-ratings-final'!$I$2,'MD-correl'!P$1,0,1,85))</f>
        <v>1.0120521471712834E-2</v>
      </c>
      <c r="Q11" s="505">
        <f ca="1">CORREL(OFFSET('MD-ratings-final'!$I$2,'MD-correl'!$A11,0,1,85),OFFSET('MD-ratings-final'!$I$2,'MD-correl'!Q$1,0,1,85))</f>
        <v>0.72203870891879229</v>
      </c>
    </row>
    <row r="12" spans="1:17" x14ac:dyDescent="0.25">
      <c r="A12" s="307">
        <v>9</v>
      </c>
      <c r="B12" s="476" t="str">
        <f>'MD-ratings-final'!D11</f>
        <v>Total Debt to Total Assets</v>
      </c>
      <c r="C12" s="500">
        <f ca="1">CORREL(OFFSET('MD-ratings-final'!$I$2,'MD-correl'!$A12,0,1,85),OFFSET('MD-ratings-final'!$I$2,'MD-correl'!C$1,0,1,85))</f>
        <v>0.33172181502278575</v>
      </c>
      <c r="D12" s="456">
        <f ca="1">CORREL(OFFSET('MD-ratings-final'!$I$2,'MD-correl'!$A12,0,1,85),OFFSET('MD-ratings-final'!$I$2,'MD-correl'!D$1,0,1,85))</f>
        <v>0.32274709129230988</v>
      </c>
      <c r="E12" s="456">
        <f ca="1">CORREL(OFFSET('MD-ratings-final'!$I$2,'MD-correl'!$A12,0,1,85),OFFSET('MD-ratings-final'!$I$2,'MD-correl'!E$1,0,1,85))</f>
        <v>0.27676020856498335</v>
      </c>
      <c r="F12" s="510">
        <f ca="1">CORREL(OFFSET('MD-ratings-final'!$I$2,'MD-correl'!$A12,0,1,85),OFFSET('MD-ratings-final'!$I$2,'MD-correl'!F$1,0,1,85))</f>
        <v>0.32487844001936328</v>
      </c>
      <c r="G12" s="456">
        <f ca="1">CORREL(OFFSET('MD-ratings-final'!$I$2,'MD-correl'!$A12,0,1,85),OFFSET('MD-ratings-final'!$I$2,'MD-correl'!G$1,0,1,85))</f>
        <v>0.24872743079041476</v>
      </c>
      <c r="H12" s="456">
        <f ca="1">CORREL(OFFSET('MD-ratings-final'!$I$2,'MD-correl'!$A12,0,1,85),OFFSET('MD-ratings-final'!$I$2,'MD-correl'!H$1,0,1,85))</f>
        <v>0.12963531402691503</v>
      </c>
      <c r="I12" s="456">
        <f ca="1">CORREL(OFFSET('MD-ratings-final'!$I$2,'MD-correl'!$A12,0,1,85),OFFSET('MD-ratings-final'!$I$2,'MD-correl'!I$1,0,1,85))</f>
        <v>8.4445128494176167E-2</v>
      </c>
      <c r="J12" s="510">
        <f ca="1">CORREL(OFFSET('MD-ratings-final'!$I$2,'MD-correl'!$A12,0,1,85),OFFSET('MD-ratings-final'!$I$2,'MD-correl'!J$1,0,1,85))</f>
        <v>0.16404565174515062</v>
      </c>
      <c r="K12" s="456"/>
      <c r="L12" s="456">
        <f ca="1">CORREL(OFFSET('MD-ratings-final'!$I$2,'MD-correl'!$A12,0,1,85),OFFSET('MD-ratings-final'!$I$2,'MD-correl'!L$1,0,1,85))</f>
        <v>0.68197213525057732</v>
      </c>
      <c r="M12" s="510">
        <f ca="1">CORREL(OFFSET('MD-ratings-final'!$I$2,'MD-correl'!$A12,0,1,85),OFFSET('MD-ratings-final'!$I$2,'MD-correl'!M$1,0,1,85))</f>
        <v>0.92871654019427619</v>
      </c>
      <c r="N12" s="456">
        <f ca="1">CORREL(OFFSET('MD-ratings-final'!$I$2,'MD-correl'!$A12,0,1,85),OFFSET('MD-ratings-final'!$I$2,'MD-correl'!N$1,0,1,85))</f>
        <v>-1.8299679302470406E-2</v>
      </c>
      <c r="O12" s="456">
        <f ca="1">CORREL(OFFSET('MD-ratings-final'!$I$2,'MD-correl'!$A12,0,1,85),OFFSET('MD-ratings-final'!$I$2,'MD-correl'!O$1,0,1,85))</f>
        <v>0.1716627973937418</v>
      </c>
      <c r="P12" s="510">
        <f ca="1">CORREL(OFFSET('MD-ratings-final'!$I$2,'MD-correl'!$A12,0,1,85),OFFSET('MD-ratings-final'!$I$2,'MD-correl'!P$1,0,1,85))</f>
        <v>0.11775732983675952</v>
      </c>
      <c r="Q12" s="501">
        <f ca="1">CORREL(OFFSET('MD-ratings-final'!$I$2,'MD-correl'!$A12,0,1,85),OFFSET('MD-ratings-final'!$I$2,'MD-correl'!Q$1,0,1,85))</f>
        <v>0.6686715476715247</v>
      </c>
    </row>
    <row r="13" spans="1:17" x14ac:dyDescent="0.25">
      <c r="A13" s="307">
        <v>10</v>
      </c>
      <c r="B13" s="476" t="str">
        <f>'MD-ratings-final'!D12</f>
        <v>Debt-to-EBITDA Ratio</v>
      </c>
      <c r="C13" s="500">
        <f ca="1">CORREL(OFFSET('MD-ratings-final'!$I$2,'MD-correl'!$A13,0,1,85),OFFSET('MD-ratings-final'!$I$2,'MD-correl'!C$1,0,1,85))</f>
        <v>0.19571516795244434</v>
      </c>
      <c r="D13" s="456">
        <f ca="1">CORREL(OFFSET('MD-ratings-final'!$I$2,'MD-correl'!$A13,0,1,85),OFFSET('MD-ratings-final'!$I$2,'MD-correl'!D$1,0,1,85))</f>
        <v>0.19409661860559757</v>
      </c>
      <c r="E13" s="456">
        <f ca="1">CORREL(OFFSET('MD-ratings-final'!$I$2,'MD-correl'!$A13,0,1,85),OFFSET('MD-ratings-final'!$I$2,'MD-correl'!E$1,0,1,85))</f>
        <v>0.19227156542483143</v>
      </c>
      <c r="F13" s="510">
        <f ca="1">CORREL(OFFSET('MD-ratings-final'!$I$2,'MD-correl'!$A13,0,1,85),OFFSET('MD-ratings-final'!$I$2,'MD-correl'!F$1,0,1,85))</f>
        <v>0.20409437025374519</v>
      </c>
      <c r="G13" s="456">
        <f ca="1">CORREL(OFFSET('MD-ratings-final'!$I$2,'MD-correl'!$A13,0,1,85),OFFSET('MD-ratings-final'!$I$2,'MD-correl'!G$1,0,1,85))</f>
        <v>0.66276721414295559</v>
      </c>
      <c r="H13" s="456">
        <f ca="1">CORREL(OFFSET('MD-ratings-final'!$I$2,'MD-correl'!$A13,0,1,85),OFFSET('MD-ratings-final'!$I$2,'MD-correl'!H$1,0,1,85))</f>
        <v>0.55848531696302017</v>
      </c>
      <c r="I13" s="456">
        <f ca="1">CORREL(OFFSET('MD-ratings-final'!$I$2,'MD-correl'!$A13,0,1,85),OFFSET('MD-ratings-final'!$I$2,'MD-correl'!I$1,0,1,85))</f>
        <v>0.51773675049764289</v>
      </c>
      <c r="J13" s="510">
        <f ca="1">CORREL(OFFSET('MD-ratings-final'!$I$2,'MD-correl'!$A13,0,1,85),OFFSET('MD-ratings-final'!$I$2,'MD-correl'!J$1,0,1,85))</f>
        <v>0.60555513925704874</v>
      </c>
      <c r="K13" s="456">
        <f ca="1">CORREL(OFFSET('MD-ratings-final'!$I$2,'MD-correl'!$A13,0,1,85),OFFSET('MD-ratings-final'!$I$2,'MD-correl'!K$1,0,1,85))</f>
        <v>0.68197213525057732</v>
      </c>
      <c r="L13" s="456"/>
      <c r="M13" s="510">
        <f ca="1">CORREL(OFFSET('MD-ratings-final'!$I$2,'MD-correl'!$A13,0,1,85),OFFSET('MD-ratings-final'!$I$2,'MD-correl'!M$1,0,1,85))</f>
        <v>0.90454686720147015</v>
      </c>
      <c r="N13" s="456">
        <f ca="1">CORREL(OFFSET('MD-ratings-final'!$I$2,'MD-correl'!$A13,0,1,85),OFFSET('MD-ratings-final'!$I$2,'MD-correl'!N$1,0,1,85))</f>
        <v>-2.6467941103622633E-2</v>
      </c>
      <c r="O13" s="456">
        <f ca="1">CORREL(OFFSET('MD-ratings-final'!$I$2,'MD-correl'!$A13,0,1,85),OFFSET('MD-ratings-final'!$I$2,'MD-correl'!O$1,0,1,85))</f>
        <v>0.33343015751872057</v>
      </c>
      <c r="P13" s="510">
        <f ca="1">CORREL(OFFSET('MD-ratings-final'!$I$2,'MD-correl'!$A13,0,1,85),OFFSET('MD-ratings-final'!$I$2,'MD-correl'!P$1,0,1,85))</f>
        <v>0.23420230898734312</v>
      </c>
      <c r="Q13" s="501">
        <f ca="1">CORREL(OFFSET('MD-ratings-final'!$I$2,'MD-correl'!$A13,0,1,85),OFFSET('MD-ratings-final'!$I$2,'MD-correl'!Q$1,0,1,85))</f>
        <v>0.81620717921165675</v>
      </c>
    </row>
    <row r="14" spans="1:17" s="482" customFormat="1" x14ac:dyDescent="0.25">
      <c r="A14" s="482">
        <v>11</v>
      </c>
      <c r="B14" s="483" t="str">
        <f>'MD-ratings-final'!C13</f>
        <v>Leverage total</v>
      </c>
      <c r="C14" s="502">
        <f ca="1">CORREL(OFFSET('MD-ratings-final'!$I$2,'MD-correl'!$A14,0,1,85),OFFSET('MD-ratings-final'!$I$2,'MD-correl'!C$1,0,1,85))</f>
        <v>0.29260779467001935</v>
      </c>
      <c r="D14" s="503">
        <f ca="1">CORREL(OFFSET('MD-ratings-final'!$I$2,'MD-correl'!$A14,0,1,85),OFFSET('MD-ratings-final'!$I$2,'MD-correl'!D$1,0,1,85))</f>
        <v>0.28655520287202896</v>
      </c>
      <c r="E14" s="503">
        <f ca="1">CORREL(OFFSET('MD-ratings-final'!$I$2,'MD-correl'!$A14,0,1,85),OFFSET('MD-ratings-final'!$I$2,'MD-correl'!E$1,0,1,85))</f>
        <v>0.25882080460743301</v>
      </c>
      <c r="F14" s="504">
        <f ca="1">CORREL(OFFSET('MD-ratings-final'!$I$2,'MD-correl'!$A14,0,1,85),OFFSET('MD-ratings-final'!$I$2,'MD-correl'!F$1,0,1,85))</f>
        <v>0.2928663338891328</v>
      </c>
      <c r="G14" s="503">
        <f ca="1">CORREL(OFFSET('MD-ratings-final'!$I$2,'MD-correl'!$A14,0,1,85),OFFSET('MD-ratings-final'!$I$2,'MD-correl'!G$1,0,1,85))</f>
        <v>0.48100799703014724</v>
      </c>
      <c r="H14" s="503">
        <f ca="1">CORREL(OFFSET('MD-ratings-final'!$I$2,'MD-correl'!$A14,0,1,85),OFFSET('MD-ratings-final'!$I$2,'MD-correl'!H$1,0,1,85))</f>
        <v>0.35871210665985337</v>
      </c>
      <c r="I14" s="503">
        <f ca="1">CORREL(OFFSET('MD-ratings-final'!$I$2,'MD-correl'!$A14,0,1,85),OFFSET('MD-ratings-final'!$I$2,'MD-correl'!I$1,0,1,85))</f>
        <v>0.31170891106666143</v>
      </c>
      <c r="J14" s="504">
        <f ca="1">CORREL(OFFSET('MD-ratings-final'!$I$2,'MD-correl'!$A14,0,1,85),OFFSET('MD-ratings-final'!$I$2,'MD-correl'!J$1,0,1,85))</f>
        <v>0.40263565391589662</v>
      </c>
      <c r="K14" s="503">
        <f ca="1">CORREL(OFFSET('MD-ratings-final'!$I$2,'MD-correl'!$A14,0,1,85),OFFSET('MD-ratings-final'!$I$2,'MD-correl'!K$1,0,1,85))</f>
        <v>0.92871654019427619</v>
      </c>
      <c r="L14" s="503">
        <f ca="1">CORREL(OFFSET('MD-ratings-final'!$I$2,'MD-correl'!$A14,0,1,85),OFFSET('MD-ratings-final'!$I$2,'MD-correl'!L$1,0,1,85))</f>
        <v>0.90454686720147015</v>
      </c>
      <c r="M14" s="504"/>
      <c r="N14" s="503">
        <f ca="1">CORREL(OFFSET('MD-ratings-final'!$I$2,'MD-correl'!$A14,0,1,85),OFFSET('MD-ratings-final'!$I$2,'MD-correl'!N$1,0,1,85))</f>
        <v>-2.4086817461566181E-2</v>
      </c>
      <c r="O14" s="503">
        <f ca="1">CORREL(OFFSET('MD-ratings-final'!$I$2,'MD-correl'!$A14,0,1,85),OFFSET('MD-ratings-final'!$I$2,'MD-correl'!O$1,0,1,85))</f>
        <v>0.26911566799665615</v>
      </c>
      <c r="P14" s="504">
        <f ca="1">CORREL(OFFSET('MD-ratings-final'!$I$2,'MD-correl'!$A14,0,1,85),OFFSET('MD-ratings-final'!$I$2,'MD-correl'!P$1,0,1,85))</f>
        <v>0.18738415442037581</v>
      </c>
      <c r="Q14" s="505">
        <f ca="1">CORREL(OFFSET('MD-ratings-final'!$I$2,'MD-correl'!$A14,0,1,85),OFFSET('MD-ratings-final'!$I$2,'MD-correl'!Q$1,0,1,85))</f>
        <v>0.80361459692475212</v>
      </c>
    </row>
    <row r="15" spans="1:17" x14ac:dyDescent="0.25">
      <c r="A15" s="307">
        <v>12</v>
      </c>
      <c r="B15" s="476" t="str">
        <f>'MD-ratings-final'!D14</f>
        <v>Working capital turnover ratio</v>
      </c>
      <c r="C15" s="500">
        <f ca="1">CORREL(OFFSET('MD-ratings-final'!$I$2,'MD-correl'!$A15,0,1,85),OFFSET('MD-ratings-final'!$I$2,'MD-correl'!C$1,0,1,85))</f>
        <v>-0.41801922874444863</v>
      </c>
      <c r="D15" s="456">
        <f ca="1">CORREL(OFFSET('MD-ratings-final'!$I$2,'MD-correl'!$A15,0,1,85),OFFSET('MD-ratings-final'!$I$2,'MD-correl'!D$1,0,1,85))</f>
        <v>-0.27316416812361316</v>
      </c>
      <c r="E15" s="456">
        <f ca="1">CORREL(OFFSET('MD-ratings-final'!$I$2,'MD-correl'!$A15,0,1,85),OFFSET('MD-ratings-final'!$I$2,'MD-correl'!E$1,0,1,85))</f>
        <v>-0.29064894209034486</v>
      </c>
      <c r="F15" s="510">
        <f ca="1">CORREL(OFFSET('MD-ratings-final'!$I$2,'MD-correl'!$A15,0,1,85),OFFSET('MD-ratings-final'!$I$2,'MD-correl'!F$1,0,1,85))</f>
        <v>-0.33985191252942448</v>
      </c>
      <c r="G15" s="456">
        <f ca="1">CORREL(OFFSET('MD-ratings-final'!$I$2,'MD-correl'!$A15,0,1,85),OFFSET('MD-ratings-final'!$I$2,'MD-correl'!G$1,0,1,85))</f>
        <v>-0.23660390551796648</v>
      </c>
      <c r="H15" s="456">
        <f ca="1">CORREL(OFFSET('MD-ratings-final'!$I$2,'MD-correl'!$A15,0,1,85),OFFSET('MD-ratings-final'!$I$2,'MD-correl'!H$1,0,1,85))</f>
        <v>-0.25013730286819225</v>
      </c>
      <c r="I15" s="456">
        <f ca="1">CORREL(OFFSET('MD-ratings-final'!$I$2,'MD-correl'!$A15,0,1,85),OFFSET('MD-ratings-final'!$I$2,'MD-correl'!I$1,0,1,85))</f>
        <v>-0.3254001839788781</v>
      </c>
      <c r="J15" s="510">
        <f ca="1">CORREL(OFFSET('MD-ratings-final'!$I$2,'MD-correl'!$A15,0,1,85),OFFSET('MD-ratings-final'!$I$2,'MD-correl'!J$1,0,1,85))</f>
        <v>-0.28759309762841645</v>
      </c>
      <c r="K15" s="456">
        <f ca="1">CORREL(OFFSET('MD-ratings-final'!$I$2,'MD-correl'!$A15,0,1,85),OFFSET('MD-ratings-final'!$I$2,'MD-correl'!K$1,0,1,85))</f>
        <v>-1.8299679302470406E-2</v>
      </c>
      <c r="L15" s="456">
        <f ca="1">CORREL(OFFSET('MD-ratings-final'!$I$2,'MD-correl'!$A15,0,1,85),OFFSET('MD-ratings-final'!$I$2,'MD-correl'!L$1,0,1,85))</f>
        <v>-2.6467941103622633E-2</v>
      </c>
      <c r="M15" s="510">
        <f ca="1">CORREL(OFFSET('MD-ratings-final'!$I$2,'MD-correl'!$A15,0,1,85),OFFSET('MD-ratings-final'!$I$2,'MD-correl'!M$1,0,1,85))</f>
        <v>-2.4086817461566181E-2</v>
      </c>
      <c r="N15" s="456"/>
      <c r="O15" s="456">
        <f ca="1">CORREL(OFFSET('MD-ratings-final'!$I$2,'MD-correl'!$A15,0,1,85),OFFSET('MD-ratings-final'!$I$2,'MD-correl'!O$1,0,1,85))</f>
        <v>8.0760825225516295E-2</v>
      </c>
      <c r="P15" s="510">
        <f ca="1">CORREL(OFFSET('MD-ratings-final'!$I$2,'MD-correl'!$A15,0,1,85),OFFSET('MD-ratings-final'!$I$2,'MD-correl'!P$1,0,1,85))</f>
        <v>0.66387767601885828</v>
      </c>
      <c r="Q15" s="501">
        <f ca="1">CORREL(OFFSET('MD-ratings-final'!$I$2,'MD-correl'!$A15,0,1,85),OFFSET('MD-ratings-final'!$I$2,'MD-correl'!Q$1,0,1,85))</f>
        <v>-0.109921980455471</v>
      </c>
    </row>
    <row r="16" spans="1:17" x14ac:dyDescent="0.25">
      <c r="A16" s="307">
        <v>13</v>
      </c>
      <c r="B16" s="476" t="str">
        <f>'MD-ratings-final'!D15</f>
        <v>Accounts receivable turnover ratio</v>
      </c>
      <c r="C16" s="500">
        <f ca="1">CORREL(OFFSET('MD-ratings-final'!$I$2,'MD-correl'!$A16,0,1,85),OFFSET('MD-ratings-final'!$I$2,'MD-correl'!C$1,0,1,85))</f>
        <v>0.16205842122001393</v>
      </c>
      <c r="D16" s="456">
        <f ca="1">CORREL(OFFSET('MD-ratings-final'!$I$2,'MD-correl'!$A16,0,1,85),OFFSET('MD-ratings-final'!$I$2,'MD-correl'!D$1,0,1,85))</f>
        <v>0.12183071763252185</v>
      </c>
      <c r="E16" s="456">
        <f ca="1">CORREL(OFFSET('MD-ratings-final'!$I$2,'MD-correl'!$A16,0,1,85),OFFSET('MD-ratings-final'!$I$2,'MD-correl'!E$1,0,1,85))</f>
        <v>0.34639331560111047</v>
      </c>
      <c r="F16" s="510">
        <f ca="1">CORREL(OFFSET('MD-ratings-final'!$I$2,'MD-correl'!$A16,0,1,85),OFFSET('MD-ratings-final'!$I$2,'MD-correl'!F$1,0,1,85))</f>
        <v>0.22702532383163498</v>
      </c>
      <c r="G16" s="456">
        <f ca="1">CORREL(OFFSET('MD-ratings-final'!$I$2,'MD-correl'!$A16,0,1,85),OFFSET('MD-ratings-final'!$I$2,'MD-correl'!G$1,0,1,85))</f>
        <v>0.31370369768163686</v>
      </c>
      <c r="H16" s="456">
        <f ca="1">CORREL(OFFSET('MD-ratings-final'!$I$2,'MD-correl'!$A16,0,1,85),OFFSET('MD-ratings-final'!$I$2,'MD-correl'!H$1,0,1,85))</f>
        <v>0.19976463387305218</v>
      </c>
      <c r="I16" s="456">
        <f ca="1">CORREL(OFFSET('MD-ratings-final'!$I$2,'MD-correl'!$A16,0,1,85),OFFSET('MD-ratings-final'!$I$2,'MD-correl'!I$1,0,1,85))</f>
        <v>0.17707550805330291</v>
      </c>
      <c r="J16" s="510">
        <f ca="1">CORREL(OFFSET('MD-ratings-final'!$I$2,'MD-correl'!$A16,0,1,85),OFFSET('MD-ratings-final'!$I$2,'MD-correl'!J$1,0,1,85))</f>
        <v>0.24473229648968206</v>
      </c>
      <c r="K16" s="456">
        <f ca="1">CORREL(OFFSET('MD-ratings-final'!$I$2,'MD-correl'!$A16,0,1,85),OFFSET('MD-ratings-final'!$I$2,'MD-correl'!K$1,0,1,85))</f>
        <v>0.1716627973937418</v>
      </c>
      <c r="L16" s="456">
        <f ca="1">CORREL(OFFSET('MD-ratings-final'!$I$2,'MD-correl'!$A16,0,1,85),OFFSET('MD-ratings-final'!$I$2,'MD-correl'!L$1,0,1,85))</f>
        <v>0.33343015751872057</v>
      </c>
      <c r="M16" s="510">
        <f ca="1">CORREL(OFFSET('MD-ratings-final'!$I$2,'MD-correl'!$A16,0,1,85),OFFSET('MD-ratings-final'!$I$2,'MD-correl'!M$1,0,1,85))</f>
        <v>0.26911566799665615</v>
      </c>
      <c r="N16" s="456">
        <f ca="1">CORREL(OFFSET('MD-ratings-final'!$I$2,'MD-correl'!$A16,0,1,85),OFFSET('MD-ratings-final'!$I$2,'MD-correl'!N$1,0,1,85))</f>
        <v>8.0760825225516295E-2</v>
      </c>
      <c r="O16" s="456"/>
      <c r="P16" s="510">
        <f ca="1">CORREL(OFFSET('MD-ratings-final'!$I$2,'MD-correl'!$A16,0,1,85),OFFSET('MD-ratings-final'!$I$2,'MD-correl'!P$1,0,1,85))</f>
        <v>0.79901367342969143</v>
      </c>
      <c r="Q16" s="501">
        <f ca="1">CORREL(OFFSET('MD-ratings-final'!$I$2,'MD-correl'!$A16,0,1,85),OFFSET('MD-ratings-final'!$I$2,'MD-correl'!Q$1,0,1,85))</f>
        <v>0.49724088461439808</v>
      </c>
    </row>
    <row r="17" spans="1:17" s="482" customFormat="1" x14ac:dyDescent="0.25">
      <c r="A17" s="482">
        <v>14</v>
      </c>
      <c r="B17" s="483" t="str">
        <f>'MD-ratings-final'!C16</f>
        <v>Activity total</v>
      </c>
      <c r="C17" s="502">
        <f ca="1">CORREL(OFFSET('MD-ratings-final'!$I$2,'MD-correl'!$A17,0,1,85),OFFSET('MD-ratings-final'!$I$2,'MD-correl'!C$1,0,1,85))</f>
        <v>-0.13059295551064201</v>
      </c>
      <c r="D17" s="503">
        <f ca="1">CORREL(OFFSET('MD-ratings-final'!$I$2,'MD-correl'!$A17,0,1,85),OFFSET('MD-ratings-final'!$I$2,'MD-correl'!D$1,0,1,85))</f>
        <v>-7.33868154692148E-2</v>
      </c>
      <c r="E17" s="503">
        <f ca="1">CORREL(OFFSET('MD-ratings-final'!$I$2,'MD-correl'!$A17,0,1,85),OFFSET('MD-ratings-final'!$I$2,'MD-correl'!E$1,0,1,85))</f>
        <v>8.4552430577409118E-2</v>
      </c>
      <c r="F17" s="504">
        <f ca="1">CORREL(OFFSET('MD-ratings-final'!$I$2,'MD-correl'!$A17,0,1,85),OFFSET('MD-ratings-final'!$I$2,'MD-correl'!F$1,0,1,85))</f>
        <v>-3.4691757936668753E-2</v>
      </c>
      <c r="G17" s="503">
        <f ca="1">CORREL(OFFSET('MD-ratings-final'!$I$2,'MD-correl'!$A17,0,1,85),OFFSET('MD-ratings-final'!$I$2,'MD-correl'!G$1,0,1,85))</f>
        <v>9.2630149155805877E-2</v>
      </c>
      <c r="H17" s="503">
        <f ca="1">CORREL(OFFSET('MD-ratings-final'!$I$2,'MD-correl'!$A17,0,1,85),OFFSET('MD-ratings-final'!$I$2,'MD-correl'!H$1,0,1,85))</f>
        <v>-1.0218941325024311E-3</v>
      </c>
      <c r="I17" s="503">
        <f ca="1">CORREL(OFFSET('MD-ratings-final'!$I$2,'MD-correl'!$A17,0,1,85),OFFSET('MD-ratings-final'!$I$2,'MD-correl'!I$1,0,1,85))</f>
        <v>-6.3450216208337157E-2</v>
      </c>
      <c r="J17" s="504">
        <f ca="1">CORREL(OFFSET('MD-ratings-final'!$I$2,'MD-correl'!$A17,0,1,85),OFFSET('MD-ratings-final'!$I$2,'MD-correl'!J$1,0,1,85))</f>
        <v>1.0120521471712834E-2</v>
      </c>
      <c r="K17" s="503">
        <f ca="1">CORREL(OFFSET('MD-ratings-final'!$I$2,'MD-correl'!$A17,0,1,85),OFFSET('MD-ratings-final'!$I$2,'MD-correl'!K$1,0,1,85))</f>
        <v>0.11775732983675952</v>
      </c>
      <c r="L17" s="503">
        <f ca="1">CORREL(OFFSET('MD-ratings-final'!$I$2,'MD-correl'!$A17,0,1,85),OFFSET('MD-ratings-final'!$I$2,'MD-correl'!L$1,0,1,85))</f>
        <v>0.23420230898734312</v>
      </c>
      <c r="M17" s="504">
        <f ca="1">CORREL(OFFSET('MD-ratings-final'!$I$2,'MD-correl'!$A17,0,1,85),OFFSET('MD-ratings-final'!$I$2,'MD-correl'!M$1,0,1,85))</f>
        <v>0.18738415442037581</v>
      </c>
      <c r="N17" s="503">
        <f ca="1">CORREL(OFFSET('MD-ratings-final'!$I$2,'MD-correl'!$A17,0,1,85),OFFSET('MD-ratings-final'!$I$2,'MD-correl'!N$1,0,1,85))</f>
        <v>0.66387767601885828</v>
      </c>
      <c r="O17" s="503">
        <f ca="1">CORREL(OFFSET('MD-ratings-final'!$I$2,'MD-correl'!$A17,0,1,85),OFFSET('MD-ratings-final'!$I$2,'MD-correl'!O$1,0,1,85))</f>
        <v>0.79901367342969143</v>
      </c>
      <c r="P17" s="504"/>
      <c r="Q17" s="505">
        <f ca="1">CORREL(OFFSET('MD-ratings-final'!$I$2,'MD-correl'!$A17,0,1,85),OFFSET('MD-ratings-final'!$I$2,'MD-correl'!Q$1,0,1,85))</f>
        <v>0.306761744552426</v>
      </c>
    </row>
    <row r="18" spans="1:17" s="484" customFormat="1" x14ac:dyDescent="0.25">
      <c r="A18" s="484">
        <v>15</v>
      </c>
      <c r="B18" s="485" t="str">
        <f>'MD-ratings-final'!B17</f>
        <v>Total</v>
      </c>
      <c r="C18" s="506">
        <f ca="1">CORREL(OFFSET('MD-ratings-final'!$I$2,'MD-correl'!$A18,0,1,85),OFFSET('MD-ratings-final'!$I$2,'MD-correl'!C$1,0,1,85))</f>
        <v>0.5807490777161024</v>
      </c>
      <c r="D18" s="501">
        <f ca="1">CORREL(OFFSET('MD-ratings-final'!$I$2,'MD-correl'!$A18,0,1,85),OFFSET('MD-ratings-final'!$I$2,'MD-correl'!D$1,0,1,85))</f>
        <v>0.59776892231383028</v>
      </c>
      <c r="E18" s="501">
        <f ca="1">CORREL(OFFSET('MD-ratings-final'!$I$2,'MD-correl'!$A18,0,1,85),OFFSET('MD-ratings-final'!$I$2,'MD-correl'!E$1,0,1,85))</f>
        <v>0.64926228460549795</v>
      </c>
      <c r="F18" s="507">
        <f ca="1">CORREL(OFFSET('MD-ratings-final'!$I$2,'MD-correl'!$A18,0,1,85),OFFSET('MD-ratings-final'!$I$2,'MD-correl'!F$1,0,1,85))</f>
        <v>0.64353014691670674</v>
      </c>
      <c r="G18" s="501">
        <f ca="1">CORREL(OFFSET('MD-ratings-final'!$I$2,'MD-correl'!$A18,0,1,85),OFFSET('MD-ratings-final'!$I$2,'MD-correl'!G$1,0,1,85))</f>
        <v>0.78076808687796817</v>
      </c>
      <c r="H18" s="501">
        <f ca="1">CORREL(OFFSET('MD-ratings-final'!$I$2,'MD-correl'!$A18,0,1,85),OFFSET('MD-ratings-final'!$I$2,'MD-correl'!H$1,0,1,85))</f>
        <v>0.6176907765720222</v>
      </c>
      <c r="I18" s="501">
        <f ca="1">CORREL(OFFSET('MD-ratings-final'!$I$2,'MD-correl'!$A18,0,1,85),OFFSET('MD-ratings-final'!$I$2,'MD-correl'!I$1,0,1,85))</f>
        <v>0.64627844621773922</v>
      </c>
      <c r="J18" s="507">
        <f ca="1">CORREL(OFFSET('MD-ratings-final'!$I$2,'MD-correl'!$A18,0,1,85),OFFSET('MD-ratings-final'!$I$2,'MD-correl'!J$1,0,1,85))</f>
        <v>0.72203870891879229</v>
      </c>
      <c r="K18" s="501">
        <f ca="1">CORREL(OFFSET('MD-ratings-final'!$I$2,'MD-correl'!$A18,0,1,85),OFFSET('MD-ratings-final'!$I$2,'MD-correl'!K$1,0,1,85))</f>
        <v>0.6686715476715247</v>
      </c>
      <c r="L18" s="501">
        <f ca="1">CORREL(OFFSET('MD-ratings-final'!$I$2,'MD-correl'!$A18,0,1,85),OFFSET('MD-ratings-final'!$I$2,'MD-correl'!L$1,0,1,85))</f>
        <v>0.81620717921165675</v>
      </c>
      <c r="M18" s="507">
        <f ca="1">CORREL(OFFSET('MD-ratings-final'!$I$2,'MD-correl'!$A18,0,1,85),OFFSET('MD-ratings-final'!$I$2,'MD-correl'!M$1,0,1,85))</f>
        <v>0.80361459692475212</v>
      </c>
      <c r="N18" s="501">
        <f ca="1">CORREL(OFFSET('MD-ratings-final'!$I$2,'MD-correl'!$A18,0,1,85),OFFSET('MD-ratings-final'!$I$2,'MD-correl'!N$1,0,1,85))</f>
        <v>-0.109921980455471</v>
      </c>
      <c r="O18" s="501">
        <f ca="1">CORREL(OFFSET('MD-ratings-final'!$I$2,'MD-correl'!$A18,0,1,85),OFFSET('MD-ratings-final'!$I$2,'MD-correl'!O$1,0,1,85))</f>
        <v>0.49724088461439808</v>
      </c>
      <c r="P18" s="507">
        <f ca="1">CORREL(OFFSET('MD-ratings-final'!$I$2,'MD-correl'!$A18,0,1,85),OFFSET('MD-ratings-final'!$I$2,'MD-correl'!P$1,0,1,85))</f>
        <v>0.306761744552426</v>
      </c>
      <c r="Q18" s="501"/>
    </row>
    <row r="21" spans="1:17" ht="15.75" thickBot="1" x14ac:dyDescent="0.3">
      <c r="B21" s="493">
        <v>2016</v>
      </c>
      <c r="C21" s="494"/>
      <c r="D21" s="495"/>
      <c r="E21" s="495"/>
      <c r="F21" s="511"/>
      <c r="G21" s="495"/>
      <c r="H21" s="495"/>
      <c r="I21" s="495"/>
      <c r="J21" s="511"/>
      <c r="K21" s="495"/>
      <c r="L21" s="495"/>
      <c r="M21" s="511"/>
      <c r="N21" s="495"/>
      <c r="O21" s="495"/>
      <c r="P21" s="511"/>
      <c r="Q21" s="496"/>
    </row>
    <row r="22" spans="1:17" s="449" customFormat="1" x14ac:dyDescent="0.25">
      <c r="A22" s="449">
        <v>1</v>
      </c>
      <c r="B22" s="478" t="str">
        <f>B4</f>
        <v>Current Ratio</v>
      </c>
      <c r="C22" s="497"/>
      <c r="D22" s="498">
        <f ca="1">CORREL(OFFSET('MD-ratings-final'!$I$19,'MD-correl'!$A22,0,1,85),OFFSET('MD-ratings-final'!$I$19,'MD-correl'!D$1,0,1,85))</f>
        <v>0.92344572632553845</v>
      </c>
      <c r="E22" s="498">
        <f ca="1">CORREL(OFFSET('MD-ratings-final'!$I$19,'MD-correl'!$A22,0,1,85),OFFSET('MD-ratings-final'!$I$19,'MD-correl'!E$1,0,1,85))</f>
        <v>0.82306702387657638</v>
      </c>
      <c r="F22" s="509">
        <f ca="1">CORREL(OFFSET('MD-ratings-final'!$I$19,'MD-correl'!$A22,0,1,85),OFFSET('MD-ratings-final'!$I$19,'MD-correl'!F$1,0,1,85))</f>
        <v>0.95085174746296885</v>
      </c>
      <c r="G22" s="498">
        <f ca="1">CORREL(OFFSET('MD-ratings-final'!$I$19,'MD-correl'!$A22,0,1,85),OFFSET('MD-ratings-final'!$I$19,'MD-correl'!G$1,0,1,85))</f>
        <v>0.23408571071296391</v>
      </c>
      <c r="H22" s="498">
        <f ca="1">CORREL(OFFSET('MD-ratings-final'!$I$19,'MD-correl'!$A22,0,1,85),OFFSET('MD-ratings-final'!$I$19,'MD-correl'!H$1,0,1,85))</f>
        <v>0.16418368205817127</v>
      </c>
      <c r="I22" s="498">
        <f ca="1">CORREL(OFFSET('MD-ratings-final'!$I$19,'MD-correl'!$A22,0,1,85),OFFSET('MD-ratings-final'!$I$19,'MD-correl'!I$1,0,1,85))</f>
        <v>0.22424715701383316</v>
      </c>
      <c r="J22" s="509">
        <f ca="1">CORREL(OFFSET('MD-ratings-final'!$I$19,'MD-correl'!$A22,0,1,85),OFFSET('MD-ratings-final'!$I$19,'MD-correl'!J$1,0,1,85))</f>
        <v>0.22308818049009843</v>
      </c>
      <c r="K22" s="498">
        <f ca="1">CORREL(OFFSET('MD-ratings-final'!$I$19,'MD-correl'!$A22,0,1,85),OFFSET('MD-ratings-final'!$I$19,'MD-correl'!K$1,0,1,85))</f>
        <v>0.33366932345856626</v>
      </c>
      <c r="L22" s="498">
        <f ca="1">CORREL(OFFSET('MD-ratings-final'!$I$19,'MD-correl'!$A22,0,1,85),OFFSET('MD-ratings-final'!$I$19,'MD-correl'!L$1,0,1,85))</f>
        <v>0.18969930424339759</v>
      </c>
      <c r="M22" s="509">
        <f ca="1">CORREL(OFFSET('MD-ratings-final'!$I$19,'MD-correl'!$A22,0,1,85),OFFSET('MD-ratings-final'!$I$19,'MD-correl'!M$1,0,1,85))</f>
        <v>0.28581441492311022</v>
      </c>
      <c r="N22" s="498">
        <f ca="1">CORREL(OFFSET('MD-ratings-final'!$I$19,'MD-correl'!$A22,0,1,85),OFFSET('MD-ratings-final'!$I$19,'MD-correl'!N$1,0,1,85))</f>
        <v>-0.42002776426786792</v>
      </c>
      <c r="O22" s="498">
        <f ca="1">CORREL(OFFSET('MD-ratings-final'!$I$19,'MD-correl'!$A22,0,1,85),OFFSET('MD-ratings-final'!$I$19,'MD-correl'!O$1,0,1,85))</f>
        <v>8.8931659669295032E-2</v>
      </c>
      <c r="P22" s="509">
        <f ca="1">CORREL(OFFSET('MD-ratings-final'!$I$19,'MD-correl'!$A22,0,1,85),OFFSET('MD-ratings-final'!$I$19,'MD-correl'!P$1,0,1,85))</f>
        <v>-0.19119793260962542</v>
      </c>
      <c r="Q22" s="499">
        <f ca="1">CORREL(OFFSET('MD-ratings-final'!$I$19,'MD-correl'!$A22,0,1,85),OFFSET('MD-ratings-final'!$I$19,'MD-correl'!Q$1,0,1,85))</f>
        <v>0.56305089396814278</v>
      </c>
    </row>
    <row r="23" spans="1:17" s="307" customFormat="1" x14ac:dyDescent="0.25">
      <c r="A23" s="307">
        <v>2</v>
      </c>
      <c r="B23" s="476" t="str">
        <f t="shared" ref="B23:B36" si="1">B5</f>
        <v>Quick Asset Ratio</v>
      </c>
      <c r="C23" s="500">
        <f ca="1">CORREL(OFFSET('MD-ratings-final'!$I$19,'MD-correl'!$A23,0,1,85),OFFSET('MD-ratings-final'!$I$19,'MD-correl'!C$1,0,1,85))</f>
        <v>0.92344572632553845</v>
      </c>
      <c r="D23" s="456"/>
      <c r="E23" s="456">
        <f ca="1">CORREL(OFFSET('MD-ratings-final'!$I$19,'MD-correl'!$A23,0,1,85),OFFSET('MD-ratings-final'!$I$19,'MD-correl'!E$1,0,1,85))</f>
        <v>0.89379920686436987</v>
      </c>
      <c r="F23" s="510">
        <f ca="1">CORREL(OFFSET('MD-ratings-final'!$I$19,'MD-correl'!$A23,0,1,85),OFFSET('MD-ratings-final'!$I$19,'MD-correl'!F$1,0,1,85))</f>
        <v>0.97835726243545107</v>
      </c>
      <c r="G23" s="456">
        <f ca="1">CORREL(OFFSET('MD-ratings-final'!$I$19,'MD-correl'!$A23,0,1,85),OFFSET('MD-ratings-final'!$I$19,'MD-correl'!G$1,0,1,85))</f>
        <v>0.29082895842636247</v>
      </c>
      <c r="H23" s="456">
        <f ca="1">CORREL(OFFSET('MD-ratings-final'!$I$19,'MD-correl'!$A23,0,1,85),OFFSET('MD-ratings-final'!$I$19,'MD-correl'!H$1,0,1,85))</f>
        <v>0.23210319572998128</v>
      </c>
      <c r="I23" s="456">
        <f ca="1">CORREL(OFFSET('MD-ratings-final'!$I$19,'MD-correl'!$A23,0,1,85),OFFSET('MD-ratings-final'!$I$19,'MD-correl'!I$1,0,1,85))</f>
        <v>0.2409864497996696</v>
      </c>
      <c r="J23" s="510">
        <f ca="1">CORREL(OFFSET('MD-ratings-final'!$I$19,'MD-correl'!$A23,0,1,85),OFFSET('MD-ratings-final'!$I$19,'MD-correl'!J$1,0,1,85))</f>
        <v>0.26620650695840314</v>
      </c>
      <c r="K23" s="456">
        <f ca="1">CORREL(OFFSET('MD-ratings-final'!$I$19,'MD-correl'!$A23,0,1,85),OFFSET('MD-ratings-final'!$I$19,'MD-correl'!K$1,0,1,85))</f>
        <v>0.35419696921819266</v>
      </c>
      <c r="L23" s="456">
        <f ca="1">CORREL(OFFSET('MD-ratings-final'!$I$19,'MD-correl'!$A23,0,1,85),OFFSET('MD-ratings-final'!$I$19,'MD-correl'!L$1,0,1,85))</f>
        <v>0.23636427586664863</v>
      </c>
      <c r="M23" s="510">
        <f ca="1">CORREL(OFFSET('MD-ratings-final'!$I$19,'MD-correl'!$A23,0,1,85),OFFSET('MD-ratings-final'!$I$19,'MD-correl'!M$1,0,1,85))</f>
        <v>0.32098165114715987</v>
      </c>
      <c r="N23" s="456">
        <f ca="1">CORREL(OFFSET('MD-ratings-final'!$I$19,'MD-correl'!$A23,0,1,85),OFFSET('MD-ratings-final'!$I$19,'MD-correl'!N$1,0,1,85))</f>
        <v>-0.33556144156317746</v>
      </c>
      <c r="O23" s="456">
        <f ca="1">CORREL(OFFSET('MD-ratings-final'!$I$19,'MD-correl'!$A23,0,1,85),OFFSET('MD-ratings-final'!$I$19,'MD-correl'!O$1,0,1,85))</f>
        <v>5.9337873014067503E-2</v>
      </c>
      <c r="P23" s="510">
        <f ca="1">CORREL(OFFSET('MD-ratings-final'!$I$19,'MD-correl'!$A23,0,1,85),OFFSET('MD-ratings-final'!$I$19,'MD-correl'!P$1,0,1,85))</f>
        <v>-0.16088273217664831</v>
      </c>
      <c r="Q23" s="501">
        <f ca="1">CORREL(OFFSET('MD-ratings-final'!$I$19,'MD-correl'!$A23,0,1,85),OFFSET('MD-ratings-final'!$I$19,'MD-correl'!Q$1,0,1,85))</f>
        <v>0.61440030737079765</v>
      </c>
    </row>
    <row r="24" spans="1:17" s="307" customFormat="1" x14ac:dyDescent="0.25">
      <c r="A24" s="307">
        <v>3</v>
      </c>
      <c r="B24" s="476" t="str">
        <f t="shared" si="1"/>
        <v>Cash Position Ratio</v>
      </c>
      <c r="C24" s="500">
        <f ca="1">CORREL(OFFSET('MD-ratings-final'!$I$19,'MD-correl'!$A24,0,1,85),OFFSET('MD-ratings-final'!$I$19,'MD-correl'!C$1,0,1,85))</f>
        <v>0.82306702387657638</v>
      </c>
      <c r="D24" s="456">
        <f ca="1">CORREL(OFFSET('MD-ratings-final'!$I$19,'MD-correl'!$A24,0,1,85),OFFSET('MD-ratings-final'!$I$19,'MD-correl'!D$1,0,1,85))</f>
        <v>0.89379920686436987</v>
      </c>
      <c r="E24" s="456"/>
      <c r="F24" s="510">
        <f ca="1">CORREL(OFFSET('MD-ratings-final'!$I$19,'MD-correl'!$A24,0,1,85),OFFSET('MD-ratings-final'!$I$19,'MD-correl'!F$1,0,1,85))</f>
        <v>0.94816170104270781</v>
      </c>
      <c r="G24" s="456">
        <f ca="1">CORREL(OFFSET('MD-ratings-final'!$I$19,'MD-correl'!$A24,0,1,85),OFFSET('MD-ratings-final'!$I$19,'MD-correl'!G$1,0,1,85))</f>
        <v>0.38879250358161804</v>
      </c>
      <c r="H24" s="456">
        <f ca="1">CORREL(OFFSET('MD-ratings-final'!$I$19,'MD-correl'!$A24,0,1,85),OFFSET('MD-ratings-final'!$I$19,'MD-correl'!H$1,0,1,85))</f>
        <v>0.35784404256647429</v>
      </c>
      <c r="I24" s="456">
        <f ca="1">CORREL(OFFSET('MD-ratings-final'!$I$19,'MD-correl'!$A24,0,1,85),OFFSET('MD-ratings-final'!$I$19,'MD-correl'!I$1,0,1,85))</f>
        <v>0.31322429270339663</v>
      </c>
      <c r="J24" s="510">
        <f ca="1">CORREL(OFFSET('MD-ratings-final'!$I$19,'MD-correl'!$A24,0,1,85),OFFSET('MD-ratings-final'!$I$19,'MD-correl'!J$1,0,1,85))</f>
        <v>0.36100777819274971</v>
      </c>
      <c r="K24" s="456">
        <f ca="1">CORREL(OFFSET('MD-ratings-final'!$I$19,'MD-correl'!$A24,0,1,85),OFFSET('MD-ratings-final'!$I$19,'MD-correl'!K$1,0,1,85))</f>
        <v>0.31706713807314935</v>
      </c>
      <c r="L24" s="456">
        <f ca="1">CORREL(OFFSET('MD-ratings-final'!$I$19,'MD-correl'!$A24,0,1,85),OFFSET('MD-ratings-final'!$I$19,'MD-correl'!L$1,0,1,85))</f>
        <v>0.24964316276482929</v>
      </c>
      <c r="M24" s="510">
        <f ca="1">CORREL(OFFSET('MD-ratings-final'!$I$19,'MD-correl'!$A24,0,1,85),OFFSET('MD-ratings-final'!$I$19,'MD-correl'!M$1,0,1,85))</f>
        <v>0.30645596970537214</v>
      </c>
      <c r="N24" s="456">
        <f ca="1">CORREL(OFFSET('MD-ratings-final'!$I$19,'MD-correl'!$A24,0,1,85),OFFSET('MD-ratings-final'!$I$19,'MD-correl'!N$1,0,1,85))</f>
        <v>-0.31363747754183419</v>
      </c>
      <c r="O24" s="456">
        <f ca="1">CORREL(OFFSET('MD-ratings-final'!$I$19,'MD-correl'!$A24,0,1,85),OFFSET('MD-ratings-final'!$I$19,'MD-correl'!O$1,0,1,85))</f>
        <v>0.30662009911835542</v>
      </c>
      <c r="P24" s="510">
        <f ca="1">CORREL(OFFSET('MD-ratings-final'!$I$19,'MD-correl'!$A24,0,1,85),OFFSET('MD-ratings-final'!$I$19,'MD-correl'!P$1,0,1,85))</f>
        <v>2.4093006125634159E-2</v>
      </c>
      <c r="Q24" s="501">
        <f ca="1">CORREL(OFFSET('MD-ratings-final'!$I$19,'MD-correl'!$A24,0,1,85),OFFSET('MD-ratings-final'!$I$19,'MD-correl'!Q$1,0,1,85))</f>
        <v>0.67152642474310642</v>
      </c>
    </row>
    <row r="25" spans="1:17" s="482" customFormat="1" x14ac:dyDescent="0.25">
      <c r="A25" s="482">
        <v>4</v>
      </c>
      <c r="B25" s="483" t="str">
        <f t="shared" si="1"/>
        <v>Liquidity total</v>
      </c>
      <c r="C25" s="502">
        <f ca="1">CORREL(OFFSET('MD-ratings-final'!$I$19,'MD-correl'!$A25,0,1,85),OFFSET('MD-ratings-final'!$I$19,'MD-correl'!C$1,0,1,85))</f>
        <v>0.95085174746296885</v>
      </c>
      <c r="D25" s="503">
        <f ca="1">CORREL(OFFSET('MD-ratings-final'!$I$19,'MD-correl'!$A25,0,1,85),OFFSET('MD-ratings-final'!$I$19,'MD-correl'!D$1,0,1,85))</f>
        <v>0.97835726243545107</v>
      </c>
      <c r="E25" s="503">
        <f ca="1">CORREL(OFFSET('MD-ratings-final'!$I$19,'MD-correl'!$A25,0,1,85),OFFSET('MD-ratings-final'!$I$19,'MD-correl'!E$1,0,1,85))</f>
        <v>0.94816170104270781</v>
      </c>
      <c r="F25" s="504"/>
      <c r="G25" s="503">
        <f ca="1">CORREL(OFFSET('MD-ratings-final'!$I$19,'MD-correl'!$A25,0,1,85),OFFSET('MD-ratings-final'!$I$19,'MD-correl'!G$1,0,1,85))</f>
        <v>0.32094227192135127</v>
      </c>
      <c r="H25" s="503">
        <f ca="1">CORREL(OFFSET('MD-ratings-final'!$I$19,'MD-correl'!$A25,0,1,85),OFFSET('MD-ratings-final'!$I$19,'MD-correl'!H$1,0,1,85))</f>
        <v>0.26632760699337893</v>
      </c>
      <c r="I25" s="503">
        <f ca="1">CORREL(OFFSET('MD-ratings-final'!$I$19,'MD-correl'!$A25,0,1,85),OFFSET('MD-ratings-final'!$I$19,'MD-correl'!I$1,0,1,85))</f>
        <v>0.27255138127042605</v>
      </c>
      <c r="J25" s="504">
        <f ca="1">CORREL(OFFSET('MD-ratings-final'!$I$19,'MD-correl'!$A25,0,1,85),OFFSET('MD-ratings-final'!$I$19,'MD-correl'!J$1,0,1,85))</f>
        <v>0.29856044073482052</v>
      </c>
      <c r="K25" s="503">
        <f ca="1">CORREL(OFFSET('MD-ratings-final'!$I$19,'MD-correl'!$A25,0,1,85),OFFSET('MD-ratings-final'!$I$19,'MD-correl'!K$1,0,1,85))</f>
        <v>0.34886964439101037</v>
      </c>
      <c r="L25" s="503">
        <f ca="1">CORREL(OFFSET('MD-ratings-final'!$I$19,'MD-correl'!$A25,0,1,85),OFFSET('MD-ratings-final'!$I$19,'MD-correl'!L$1,0,1,85))</f>
        <v>0.23609755129897364</v>
      </c>
      <c r="M25" s="504">
        <f ca="1">CORREL(OFFSET('MD-ratings-final'!$I$19,'MD-correl'!$A25,0,1,85),OFFSET('MD-ratings-final'!$I$19,'MD-correl'!M$1,0,1,85))</f>
        <v>0.31780618905299246</v>
      </c>
      <c r="N25" s="503">
        <f ca="1">CORREL(OFFSET('MD-ratings-final'!$I$19,'MD-correl'!$A25,0,1,85),OFFSET('MD-ratings-final'!$I$19,'MD-correl'!N$1,0,1,85))</f>
        <v>-0.36946874520093115</v>
      </c>
      <c r="O25" s="503">
        <f ca="1">CORREL(OFFSET('MD-ratings-final'!$I$19,'MD-correl'!$A25,0,1,85),OFFSET('MD-ratings-final'!$I$19,'MD-correl'!O$1,0,1,85))</f>
        <v>0.16312450342200963</v>
      </c>
      <c r="P25" s="504">
        <f ca="1">CORREL(OFFSET('MD-ratings-final'!$I$19,'MD-correl'!$A25,0,1,85),OFFSET('MD-ratings-final'!$I$19,'MD-correl'!P$1,0,1,85))</f>
        <v>-0.10921027576465181</v>
      </c>
      <c r="Q25" s="505">
        <f ca="1">CORREL(OFFSET('MD-ratings-final'!$I$19,'MD-correl'!$A25,0,1,85),OFFSET('MD-ratings-final'!$I$19,'MD-correl'!Q$1,0,1,85))</f>
        <v>0.64499734279520338</v>
      </c>
    </row>
    <row r="26" spans="1:17" s="307" customFormat="1" x14ac:dyDescent="0.25">
      <c r="A26" s="307">
        <v>5</v>
      </c>
      <c r="B26" s="476" t="str">
        <f t="shared" si="1"/>
        <v>ROA - Return on Assets</v>
      </c>
      <c r="C26" s="500">
        <f ca="1">CORREL(OFFSET('MD-ratings-final'!$I$19,'MD-correl'!$A26,0,1,85),OFFSET('MD-ratings-final'!$I$19,'MD-correl'!C$1,0,1,85))</f>
        <v>0.23408571071296391</v>
      </c>
      <c r="D26" s="456">
        <f ca="1">CORREL(OFFSET('MD-ratings-final'!$I$19,'MD-correl'!$A26,0,1,85),OFFSET('MD-ratings-final'!$I$19,'MD-correl'!D$1,0,1,85))</f>
        <v>0.29082895842636247</v>
      </c>
      <c r="E26" s="456">
        <f ca="1">CORREL(OFFSET('MD-ratings-final'!$I$19,'MD-correl'!$A26,0,1,85),OFFSET('MD-ratings-final'!$I$19,'MD-correl'!E$1,0,1,85))</f>
        <v>0.38879250358161804</v>
      </c>
      <c r="F26" s="510">
        <f ca="1">CORREL(OFFSET('MD-ratings-final'!$I$19,'MD-correl'!$A26,0,1,85),OFFSET('MD-ratings-final'!$I$19,'MD-correl'!F$1,0,1,85))</f>
        <v>0.32094227192135127</v>
      </c>
      <c r="G26" s="456"/>
      <c r="H26" s="456">
        <f ca="1">CORREL(OFFSET('MD-ratings-final'!$I$19,'MD-correl'!$A26,0,1,85),OFFSET('MD-ratings-final'!$I$19,'MD-correl'!H$1,0,1,85))</f>
        <v>0.95603916665738808</v>
      </c>
      <c r="I26" s="456">
        <f ca="1">CORREL(OFFSET('MD-ratings-final'!$I$19,'MD-correl'!$A26,0,1,85),OFFSET('MD-ratings-final'!$I$19,'MD-correl'!I$1,0,1,85))</f>
        <v>0.92056596965165993</v>
      </c>
      <c r="J26" s="510">
        <f ca="1">CORREL(OFFSET('MD-ratings-final'!$I$19,'MD-correl'!$A26,0,1,85),OFFSET('MD-ratings-final'!$I$19,'MD-correl'!J$1,0,1,85))</f>
        <v>0.98501814197665483</v>
      </c>
      <c r="K26" s="456">
        <f ca="1">CORREL(OFFSET('MD-ratings-final'!$I$19,'MD-correl'!$A26,0,1,85),OFFSET('MD-ratings-final'!$I$19,'MD-correl'!K$1,0,1,85))</f>
        <v>0.23318751100997362</v>
      </c>
      <c r="L26" s="456">
        <f ca="1">CORREL(OFFSET('MD-ratings-final'!$I$19,'MD-correl'!$A26,0,1,85),OFFSET('MD-ratings-final'!$I$19,'MD-correl'!L$1,0,1,85))</f>
        <v>0.68232230005382455</v>
      </c>
      <c r="M26" s="510">
        <f ca="1">CORREL(OFFSET('MD-ratings-final'!$I$19,'MD-correl'!$A26,0,1,85),OFFSET('MD-ratings-final'!$I$19,'MD-correl'!M$1,0,1,85))</f>
        <v>0.47597606711446477</v>
      </c>
      <c r="N26" s="456">
        <f ca="1">CORREL(OFFSET('MD-ratings-final'!$I$19,'MD-correl'!$A26,0,1,85),OFFSET('MD-ratings-final'!$I$19,'MD-correl'!N$1,0,1,85))</f>
        <v>-7.6409469097929145E-2</v>
      </c>
      <c r="O26" s="456">
        <f ca="1">CORREL(OFFSET('MD-ratings-final'!$I$19,'MD-correl'!$A26,0,1,85),OFFSET('MD-ratings-final'!$I$19,'MD-correl'!O$1,0,1,85))</f>
        <v>0.29459333116236758</v>
      </c>
      <c r="P26" s="510">
        <f ca="1">CORREL(OFFSET('MD-ratings-final'!$I$19,'MD-correl'!$A26,0,1,85),OFFSET('MD-ratings-final'!$I$19,'MD-correl'!P$1,0,1,85))</f>
        <v>0.15861580103690356</v>
      </c>
      <c r="Q26" s="501">
        <f ca="1">CORREL(OFFSET('MD-ratings-final'!$I$19,'MD-correl'!$A26,0,1,85),OFFSET('MD-ratings-final'!$I$19,'MD-correl'!Q$1,0,1,85))</f>
        <v>0.75901095201513846</v>
      </c>
    </row>
    <row r="27" spans="1:17" s="307" customFormat="1" x14ac:dyDescent="0.25">
      <c r="A27" s="307">
        <v>6</v>
      </c>
      <c r="B27" s="476" t="str">
        <f t="shared" si="1"/>
        <v>ROE - Return on Equity</v>
      </c>
      <c r="C27" s="500">
        <f ca="1">CORREL(OFFSET('MD-ratings-final'!$I$19,'MD-correl'!$A27,0,1,85),OFFSET('MD-ratings-final'!$I$19,'MD-correl'!C$1,0,1,85))</f>
        <v>0.16418368205817127</v>
      </c>
      <c r="D27" s="456">
        <f ca="1">CORREL(OFFSET('MD-ratings-final'!$I$19,'MD-correl'!$A27,0,1,85),OFFSET('MD-ratings-final'!$I$19,'MD-correl'!D$1,0,1,85))</f>
        <v>0.23210319572998128</v>
      </c>
      <c r="E27" s="456">
        <f ca="1">CORREL(OFFSET('MD-ratings-final'!$I$19,'MD-correl'!$A27,0,1,85),OFFSET('MD-ratings-final'!$I$19,'MD-correl'!E$1,0,1,85))</f>
        <v>0.35784404256647429</v>
      </c>
      <c r="F27" s="510">
        <f ca="1">CORREL(OFFSET('MD-ratings-final'!$I$19,'MD-correl'!$A27,0,1,85),OFFSET('MD-ratings-final'!$I$19,'MD-correl'!F$1,0,1,85))</f>
        <v>0.26632760699337893</v>
      </c>
      <c r="G27" s="456">
        <f ca="1">CORREL(OFFSET('MD-ratings-final'!$I$19,'MD-correl'!$A27,0,1,85),OFFSET('MD-ratings-final'!$I$19,'MD-correl'!G$1,0,1,85))</f>
        <v>0.95603916665738808</v>
      </c>
      <c r="H27" s="456"/>
      <c r="I27" s="456">
        <f ca="1">CORREL(OFFSET('MD-ratings-final'!$I$19,'MD-correl'!$A27,0,1,85),OFFSET('MD-ratings-final'!$I$19,'MD-correl'!I$1,0,1,85))</f>
        <v>0.86842821063481945</v>
      </c>
      <c r="J27" s="510">
        <f ca="1">CORREL(OFFSET('MD-ratings-final'!$I$19,'MD-correl'!$A27,0,1,85),OFFSET('MD-ratings-final'!$I$19,'MD-correl'!J$1,0,1,85))</f>
        <v>0.95293692532497487</v>
      </c>
      <c r="K27" s="456">
        <f ca="1">CORREL(OFFSET('MD-ratings-final'!$I$19,'MD-correl'!$A27,0,1,85),OFFSET('MD-ratings-final'!$I$19,'MD-correl'!K$1,0,1,85))</f>
        <v>0.18788371965640766</v>
      </c>
      <c r="L27" s="456">
        <f ca="1">CORREL(OFFSET('MD-ratings-final'!$I$19,'MD-correl'!$A27,0,1,85),OFFSET('MD-ratings-final'!$I$19,'MD-correl'!L$1,0,1,85))</f>
        <v>0.60830475126708805</v>
      </c>
      <c r="M27" s="510">
        <f ca="1">CORREL(OFFSET('MD-ratings-final'!$I$19,'MD-correl'!$A27,0,1,85),OFFSET('MD-ratings-final'!$I$19,'MD-correl'!M$1,0,1,85))</f>
        <v>0.41291995974129125</v>
      </c>
      <c r="N27" s="456">
        <f ca="1">CORREL(OFFSET('MD-ratings-final'!$I$19,'MD-correl'!$A27,0,1,85),OFFSET('MD-ratings-final'!$I$19,'MD-correl'!N$1,0,1,85))</f>
        <v>-2.7208493381853941E-2</v>
      </c>
      <c r="O27" s="456">
        <f ca="1">CORREL(OFFSET('MD-ratings-final'!$I$19,'MD-correl'!$A27,0,1,85),OFFSET('MD-ratings-final'!$I$19,'MD-correl'!O$1,0,1,85))</f>
        <v>0.25365467155340266</v>
      </c>
      <c r="P27" s="510">
        <f ca="1">CORREL(OFFSET('MD-ratings-final'!$I$19,'MD-correl'!$A27,0,1,85),OFFSET('MD-ratings-final'!$I$19,'MD-correl'!P$1,0,1,85))</f>
        <v>0.15981091406186002</v>
      </c>
      <c r="Q27" s="501">
        <f ca="1">CORREL(OFFSET('MD-ratings-final'!$I$19,'MD-correl'!$A27,0,1,85),OFFSET('MD-ratings-final'!$I$19,'MD-correl'!Q$1,0,1,85))</f>
        <v>0.69380411454537061</v>
      </c>
    </row>
    <row r="28" spans="1:17" s="307" customFormat="1" x14ac:dyDescent="0.25">
      <c r="A28" s="307">
        <v>7</v>
      </c>
      <c r="B28" s="476" t="str">
        <f t="shared" si="1"/>
        <v>ROS – Return on Sales</v>
      </c>
      <c r="C28" s="500">
        <f ca="1">CORREL(OFFSET('MD-ratings-final'!$I$19,'MD-correl'!$A28,0,1,85),OFFSET('MD-ratings-final'!$I$19,'MD-correl'!C$1,0,1,85))</f>
        <v>0.22424715701383316</v>
      </c>
      <c r="D28" s="456">
        <f ca="1">CORREL(OFFSET('MD-ratings-final'!$I$19,'MD-correl'!$A28,0,1,85),OFFSET('MD-ratings-final'!$I$19,'MD-correl'!D$1,0,1,85))</f>
        <v>0.2409864497996696</v>
      </c>
      <c r="E28" s="456">
        <f ca="1">CORREL(OFFSET('MD-ratings-final'!$I$19,'MD-correl'!$A28,0,1,85),OFFSET('MD-ratings-final'!$I$19,'MD-correl'!E$1,0,1,85))</f>
        <v>0.31322429270339663</v>
      </c>
      <c r="F28" s="510">
        <f ca="1">CORREL(OFFSET('MD-ratings-final'!$I$19,'MD-correl'!$A28,0,1,85),OFFSET('MD-ratings-final'!$I$19,'MD-correl'!F$1,0,1,85))</f>
        <v>0.27255138127042605</v>
      </c>
      <c r="G28" s="456">
        <f ca="1">CORREL(OFFSET('MD-ratings-final'!$I$19,'MD-correl'!$A28,0,1,85),OFFSET('MD-ratings-final'!$I$19,'MD-correl'!G$1,0,1,85))</f>
        <v>0.92056596965165993</v>
      </c>
      <c r="H28" s="456">
        <f ca="1">CORREL(OFFSET('MD-ratings-final'!$I$19,'MD-correl'!$A28,0,1,85),OFFSET('MD-ratings-final'!$I$19,'MD-correl'!H$1,0,1,85))</f>
        <v>0.86842821063481945</v>
      </c>
      <c r="I28" s="456"/>
      <c r="J28" s="510">
        <f ca="1">CORREL(OFFSET('MD-ratings-final'!$I$19,'MD-correl'!$A28,0,1,85),OFFSET('MD-ratings-final'!$I$19,'MD-correl'!J$1,0,1,85))</f>
        <v>0.97058760956769352</v>
      </c>
      <c r="K28" s="456">
        <f ca="1">CORREL(OFFSET('MD-ratings-final'!$I$19,'MD-correl'!$A28,0,1,85),OFFSET('MD-ratings-final'!$I$19,'MD-correl'!K$1,0,1,85))</f>
        <v>4.6668030505251423E-2</v>
      </c>
      <c r="L28" s="456">
        <f ca="1">CORREL(OFFSET('MD-ratings-final'!$I$19,'MD-correl'!$A28,0,1,85),OFFSET('MD-ratings-final'!$I$19,'MD-correl'!L$1,0,1,85))</f>
        <v>0.51809065712588553</v>
      </c>
      <c r="M28" s="510">
        <f ca="1">CORREL(OFFSET('MD-ratings-final'!$I$19,'MD-correl'!$A28,0,1,85),OFFSET('MD-ratings-final'!$I$19,'MD-correl'!M$1,0,1,85))</f>
        <v>0.28696819377502158</v>
      </c>
      <c r="N28" s="456">
        <f ca="1">CORREL(OFFSET('MD-ratings-final'!$I$19,'MD-correl'!$A28,0,1,85),OFFSET('MD-ratings-final'!$I$19,'MD-correl'!N$1,0,1,85))</f>
        <v>-0.21836569507509898</v>
      </c>
      <c r="O28" s="456">
        <f ca="1">CORREL(OFFSET('MD-ratings-final'!$I$19,'MD-correl'!$A28,0,1,85),OFFSET('MD-ratings-final'!$I$19,'MD-correl'!O$1,0,1,85))</f>
        <v>0.14450335850842144</v>
      </c>
      <c r="P28" s="510">
        <f ca="1">CORREL(OFFSET('MD-ratings-final'!$I$19,'MD-correl'!$A28,0,1,85),OFFSET('MD-ratings-final'!$I$19,'MD-correl'!P$1,0,1,85))</f>
        <v>-3.1139284466589524E-2</v>
      </c>
      <c r="Q28" s="501">
        <f ca="1">CORREL(OFFSET('MD-ratings-final'!$I$19,'MD-correl'!$A28,0,1,85),OFFSET('MD-ratings-final'!$I$19,'MD-correl'!Q$1,0,1,85))</f>
        <v>0.59423192674477043</v>
      </c>
    </row>
    <row r="29" spans="1:17" s="482" customFormat="1" x14ac:dyDescent="0.25">
      <c r="A29" s="482">
        <v>8</v>
      </c>
      <c r="B29" s="483" t="str">
        <f t="shared" si="1"/>
        <v>Profitability total</v>
      </c>
      <c r="C29" s="502">
        <f ca="1">CORREL(OFFSET('MD-ratings-final'!$I$19,'MD-correl'!$A29,0,1,85),OFFSET('MD-ratings-final'!$I$19,'MD-correl'!C$1,0,1,85))</f>
        <v>0.22308818049009843</v>
      </c>
      <c r="D29" s="503">
        <f ca="1">CORREL(OFFSET('MD-ratings-final'!$I$19,'MD-correl'!$A29,0,1,85),OFFSET('MD-ratings-final'!$I$19,'MD-correl'!D$1,0,1,85))</f>
        <v>0.26620650695840314</v>
      </c>
      <c r="E29" s="503">
        <f ca="1">CORREL(OFFSET('MD-ratings-final'!$I$19,'MD-correl'!$A29,0,1,85),OFFSET('MD-ratings-final'!$I$19,'MD-correl'!E$1,0,1,85))</f>
        <v>0.36100777819274971</v>
      </c>
      <c r="F29" s="504">
        <f ca="1">CORREL(OFFSET('MD-ratings-final'!$I$19,'MD-correl'!$A29,0,1,85),OFFSET('MD-ratings-final'!$I$19,'MD-correl'!F$1,0,1,85))</f>
        <v>0.29856044073482052</v>
      </c>
      <c r="G29" s="503">
        <f ca="1">CORREL(OFFSET('MD-ratings-final'!$I$19,'MD-correl'!$A29,0,1,85),OFFSET('MD-ratings-final'!$I$19,'MD-correl'!G$1,0,1,85))</f>
        <v>0.98501814197665483</v>
      </c>
      <c r="H29" s="503">
        <f ca="1">CORREL(OFFSET('MD-ratings-final'!$I$19,'MD-correl'!$A29,0,1,85),OFFSET('MD-ratings-final'!$I$19,'MD-correl'!H$1,0,1,85))</f>
        <v>0.95293692532497487</v>
      </c>
      <c r="I29" s="503">
        <f ca="1">CORREL(OFFSET('MD-ratings-final'!$I$19,'MD-correl'!$A29,0,1,85),OFFSET('MD-ratings-final'!$I$19,'MD-correl'!I$1,0,1,85))</f>
        <v>0.97058760956769352</v>
      </c>
      <c r="J29" s="504"/>
      <c r="K29" s="503">
        <f ca="1">CORREL(OFFSET('MD-ratings-final'!$I$19,'MD-correl'!$A29,0,1,85),OFFSET('MD-ratings-final'!$I$19,'MD-correl'!K$1,0,1,85))</f>
        <v>0.15035879211250305</v>
      </c>
      <c r="L29" s="503">
        <f ca="1">CORREL(OFFSET('MD-ratings-final'!$I$19,'MD-correl'!$A29,0,1,85),OFFSET('MD-ratings-final'!$I$19,'MD-correl'!L$1,0,1,85))</f>
        <v>0.61615230926585329</v>
      </c>
      <c r="M29" s="504">
        <f ca="1">CORREL(OFFSET('MD-ratings-final'!$I$19,'MD-correl'!$A29,0,1,85),OFFSET('MD-ratings-final'!$I$19,'MD-correl'!M$1,0,1,85))</f>
        <v>0.39543963497316525</v>
      </c>
      <c r="N29" s="503">
        <f ca="1">CORREL(OFFSET('MD-ratings-final'!$I$19,'MD-correl'!$A29,0,1,85),OFFSET('MD-ratings-final'!$I$19,'MD-correl'!N$1,0,1,85))</f>
        <v>-0.13065039993211852</v>
      </c>
      <c r="O29" s="503">
        <f ca="1">CORREL(OFFSET('MD-ratings-final'!$I$19,'MD-correl'!$A29,0,1,85),OFFSET('MD-ratings-final'!$I$19,'MD-correl'!O$1,0,1,85))</f>
        <v>0.2300575911117469</v>
      </c>
      <c r="P29" s="504">
        <f ca="1">CORREL(OFFSET('MD-ratings-final'!$I$19,'MD-correl'!$A29,0,1,85),OFFSET('MD-ratings-final'!$I$19,'MD-correl'!P$1,0,1,85))</f>
        <v>8.1118795935711488E-2</v>
      </c>
      <c r="Q29" s="505">
        <f ca="1">CORREL(OFFSET('MD-ratings-final'!$I$19,'MD-correl'!$A29,0,1,85),OFFSET('MD-ratings-final'!$I$19,'MD-correl'!Q$1,0,1,85))</f>
        <v>0.69639646738083694</v>
      </c>
    </row>
    <row r="30" spans="1:17" s="307" customFormat="1" x14ac:dyDescent="0.25">
      <c r="A30" s="307">
        <v>9</v>
      </c>
      <c r="B30" s="476" t="str">
        <f t="shared" si="1"/>
        <v>Total Debt to Total Assets</v>
      </c>
      <c r="C30" s="500">
        <f ca="1">CORREL(OFFSET('MD-ratings-final'!$I$19,'MD-correl'!$A30,0,1,85),OFFSET('MD-ratings-final'!$I$19,'MD-correl'!C$1,0,1,85))</f>
        <v>0.33366932345856626</v>
      </c>
      <c r="D30" s="456">
        <f ca="1">CORREL(OFFSET('MD-ratings-final'!$I$19,'MD-correl'!$A30,0,1,85),OFFSET('MD-ratings-final'!$I$19,'MD-correl'!D$1,0,1,85))</f>
        <v>0.35419696921819266</v>
      </c>
      <c r="E30" s="456">
        <f ca="1">CORREL(OFFSET('MD-ratings-final'!$I$19,'MD-correl'!$A30,0,1,85),OFFSET('MD-ratings-final'!$I$19,'MD-correl'!E$1,0,1,85))</f>
        <v>0.31706713807314935</v>
      </c>
      <c r="F30" s="510">
        <f ca="1">CORREL(OFFSET('MD-ratings-final'!$I$19,'MD-correl'!$A30,0,1,85),OFFSET('MD-ratings-final'!$I$19,'MD-correl'!F$1,0,1,85))</f>
        <v>0.34886964439101037</v>
      </c>
      <c r="G30" s="456">
        <f ca="1">CORREL(OFFSET('MD-ratings-final'!$I$19,'MD-correl'!$A30,0,1,85),OFFSET('MD-ratings-final'!$I$19,'MD-correl'!G$1,0,1,85))</f>
        <v>0.23318751100997362</v>
      </c>
      <c r="H30" s="456">
        <f ca="1">CORREL(OFFSET('MD-ratings-final'!$I$19,'MD-correl'!$A30,0,1,85),OFFSET('MD-ratings-final'!$I$19,'MD-correl'!H$1,0,1,85))</f>
        <v>0.18788371965640766</v>
      </c>
      <c r="I30" s="456">
        <f ca="1">CORREL(OFFSET('MD-ratings-final'!$I$19,'MD-correl'!$A30,0,1,85),OFFSET('MD-ratings-final'!$I$19,'MD-correl'!I$1,0,1,85))</f>
        <v>4.6668030505251423E-2</v>
      </c>
      <c r="J30" s="510">
        <f ca="1">CORREL(OFFSET('MD-ratings-final'!$I$19,'MD-correl'!$A30,0,1,85),OFFSET('MD-ratings-final'!$I$19,'MD-correl'!J$1,0,1,85))</f>
        <v>0.15035879211250305</v>
      </c>
      <c r="K30" s="456"/>
      <c r="L30" s="456">
        <f ca="1">CORREL(OFFSET('MD-ratings-final'!$I$19,'MD-correl'!$A30,0,1,85),OFFSET('MD-ratings-final'!$I$19,'MD-correl'!L$1,0,1,85))</f>
        <v>0.73480532368074403</v>
      </c>
      <c r="M30" s="510">
        <f ca="1">CORREL(OFFSET('MD-ratings-final'!$I$19,'MD-correl'!$A30,0,1,85),OFFSET('MD-ratings-final'!$I$19,'MD-correl'!M$1,0,1,85))</f>
        <v>0.94013071257762992</v>
      </c>
      <c r="N30" s="456">
        <f ca="1">CORREL(OFFSET('MD-ratings-final'!$I$19,'MD-correl'!$A30,0,1,85),OFFSET('MD-ratings-final'!$I$19,'MD-correl'!N$1,0,1,85))</f>
        <v>-4.8489836213002152E-2</v>
      </c>
      <c r="O30" s="456">
        <f ca="1">CORREL(OFFSET('MD-ratings-final'!$I$19,'MD-correl'!$A30,0,1,85),OFFSET('MD-ratings-final'!$I$19,'MD-correl'!O$1,0,1,85))</f>
        <v>0.18711308256720147</v>
      </c>
      <c r="P30" s="510">
        <f ca="1">CORREL(OFFSET('MD-ratings-final'!$I$19,'MD-correl'!$A30,0,1,85),OFFSET('MD-ratings-final'!$I$19,'MD-correl'!P$1,0,1,85))</f>
        <v>0.10077138208219596</v>
      </c>
      <c r="Q30" s="501">
        <f ca="1">CORREL(OFFSET('MD-ratings-final'!$I$19,'MD-correl'!$A30,0,1,85),OFFSET('MD-ratings-final'!$I$19,'MD-correl'!Q$1,0,1,85))</f>
        <v>0.69565039786767546</v>
      </c>
    </row>
    <row r="31" spans="1:17" s="307" customFormat="1" x14ac:dyDescent="0.25">
      <c r="A31" s="307">
        <v>10</v>
      </c>
      <c r="B31" s="476" t="str">
        <f t="shared" si="1"/>
        <v>Debt-to-EBITDA Ratio</v>
      </c>
      <c r="C31" s="500">
        <f ca="1">CORREL(OFFSET('MD-ratings-final'!$I$19,'MD-correl'!$A31,0,1,85),OFFSET('MD-ratings-final'!$I$19,'MD-correl'!C$1,0,1,85))</f>
        <v>0.18969930424339759</v>
      </c>
      <c r="D31" s="456">
        <f ca="1">CORREL(OFFSET('MD-ratings-final'!$I$19,'MD-correl'!$A31,0,1,85),OFFSET('MD-ratings-final'!$I$19,'MD-correl'!D$1,0,1,85))</f>
        <v>0.23636427586664863</v>
      </c>
      <c r="E31" s="456">
        <f ca="1">CORREL(OFFSET('MD-ratings-final'!$I$19,'MD-correl'!$A31,0,1,85),OFFSET('MD-ratings-final'!$I$19,'MD-correl'!E$1,0,1,85))</f>
        <v>0.24964316276482929</v>
      </c>
      <c r="F31" s="510">
        <f ca="1">CORREL(OFFSET('MD-ratings-final'!$I$19,'MD-correl'!$A31,0,1,85),OFFSET('MD-ratings-final'!$I$19,'MD-correl'!F$1,0,1,85))</f>
        <v>0.23609755129897364</v>
      </c>
      <c r="G31" s="456">
        <f ca="1">CORREL(OFFSET('MD-ratings-final'!$I$19,'MD-correl'!$A31,0,1,85),OFFSET('MD-ratings-final'!$I$19,'MD-correl'!G$1,0,1,85))</f>
        <v>0.68232230005382455</v>
      </c>
      <c r="H31" s="456">
        <f ca="1">CORREL(OFFSET('MD-ratings-final'!$I$19,'MD-correl'!$A31,0,1,85),OFFSET('MD-ratings-final'!$I$19,'MD-correl'!H$1,0,1,85))</f>
        <v>0.60830475126708805</v>
      </c>
      <c r="I31" s="456">
        <f ca="1">CORREL(OFFSET('MD-ratings-final'!$I$19,'MD-correl'!$A31,0,1,85),OFFSET('MD-ratings-final'!$I$19,'MD-correl'!I$1,0,1,85))</f>
        <v>0.51809065712588553</v>
      </c>
      <c r="J31" s="510">
        <f ca="1">CORREL(OFFSET('MD-ratings-final'!$I$19,'MD-correl'!$A31,0,1,85),OFFSET('MD-ratings-final'!$I$19,'MD-correl'!J$1,0,1,85))</f>
        <v>0.61615230926585329</v>
      </c>
      <c r="K31" s="456">
        <f ca="1">CORREL(OFFSET('MD-ratings-final'!$I$19,'MD-correl'!$A31,0,1,85),OFFSET('MD-ratings-final'!$I$19,'MD-correl'!K$1,0,1,85))</f>
        <v>0.73480532368074403</v>
      </c>
      <c r="L31" s="456"/>
      <c r="M31" s="510">
        <f ca="1">CORREL(OFFSET('MD-ratings-final'!$I$19,'MD-correl'!$A31,0,1,85),OFFSET('MD-ratings-final'!$I$19,'MD-correl'!M$1,0,1,85))</f>
        <v>0.92197977408788079</v>
      </c>
      <c r="N31" s="456">
        <f ca="1">CORREL(OFFSET('MD-ratings-final'!$I$19,'MD-correl'!$A31,0,1,85),OFFSET('MD-ratings-final'!$I$19,'MD-correl'!N$1,0,1,85))</f>
        <v>5.8463635314778255E-3</v>
      </c>
      <c r="O31" s="456">
        <f ca="1">CORREL(OFFSET('MD-ratings-final'!$I$19,'MD-correl'!$A31,0,1,85),OFFSET('MD-ratings-final'!$I$19,'MD-correl'!O$1,0,1,85))</f>
        <v>0.3947909454584394</v>
      </c>
      <c r="P31" s="510">
        <f ca="1">CORREL(OFFSET('MD-ratings-final'!$I$19,'MD-correl'!$A31,0,1,85),OFFSET('MD-ratings-final'!$I$19,'MD-correl'!P$1,0,1,85))</f>
        <v>0.2777576089714221</v>
      </c>
      <c r="Q31" s="501">
        <f ca="1">CORREL(OFFSET('MD-ratings-final'!$I$19,'MD-correl'!$A31,0,1,85),OFFSET('MD-ratings-final'!$I$19,'MD-correl'!Q$1,0,1,85))</f>
        <v>0.8480404905630603</v>
      </c>
    </row>
    <row r="32" spans="1:17" s="482" customFormat="1" x14ac:dyDescent="0.25">
      <c r="A32" s="482">
        <v>11</v>
      </c>
      <c r="B32" s="483" t="str">
        <f t="shared" si="1"/>
        <v>Leverage total</v>
      </c>
      <c r="C32" s="502">
        <f ca="1">CORREL(OFFSET('MD-ratings-final'!$I$19,'MD-correl'!$A32,0,1,85),OFFSET('MD-ratings-final'!$I$19,'MD-correl'!C$1,0,1,85))</f>
        <v>0.28581441492311022</v>
      </c>
      <c r="D32" s="503">
        <f ca="1">CORREL(OFFSET('MD-ratings-final'!$I$19,'MD-correl'!$A32,0,1,85),OFFSET('MD-ratings-final'!$I$19,'MD-correl'!D$1,0,1,85))</f>
        <v>0.32098165114715987</v>
      </c>
      <c r="E32" s="503">
        <f ca="1">CORREL(OFFSET('MD-ratings-final'!$I$19,'MD-correl'!$A32,0,1,85),OFFSET('MD-ratings-final'!$I$19,'MD-correl'!E$1,0,1,85))</f>
        <v>0.30645596970537214</v>
      </c>
      <c r="F32" s="504">
        <f ca="1">CORREL(OFFSET('MD-ratings-final'!$I$19,'MD-correl'!$A32,0,1,85),OFFSET('MD-ratings-final'!$I$19,'MD-correl'!F$1,0,1,85))</f>
        <v>0.31780618905299246</v>
      </c>
      <c r="G32" s="503">
        <f ca="1">CORREL(OFFSET('MD-ratings-final'!$I$19,'MD-correl'!$A32,0,1,85),OFFSET('MD-ratings-final'!$I$19,'MD-correl'!G$1,0,1,85))</f>
        <v>0.47597606711446477</v>
      </c>
      <c r="H32" s="503">
        <f ca="1">CORREL(OFFSET('MD-ratings-final'!$I$19,'MD-correl'!$A32,0,1,85),OFFSET('MD-ratings-final'!$I$19,'MD-correl'!H$1,0,1,85))</f>
        <v>0.41291995974129125</v>
      </c>
      <c r="I32" s="503">
        <f ca="1">CORREL(OFFSET('MD-ratings-final'!$I$19,'MD-correl'!$A32,0,1,85),OFFSET('MD-ratings-final'!$I$19,'MD-correl'!I$1,0,1,85))</f>
        <v>0.28696819377502158</v>
      </c>
      <c r="J32" s="504">
        <f ca="1">CORREL(OFFSET('MD-ratings-final'!$I$19,'MD-correl'!$A32,0,1,85),OFFSET('MD-ratings-final'!$I$19,'MD-correl'!J$1,0,1,85))</f>
        <v>0.39543963497316525</v>
      </c>
      <c r="K32" s="503">
        <f ca="1">CORREL(OFFSET('MD-ratings-final'!$I$19,'MD-correl'!$A32,0,1,85),OFFSET('MD-ratings-final'!$I$19,'MD-correl'!K$1,0,1,85))</f>
        <v>0.94013071257762992</v>
      </c>
      <c r="L32" s="503">
        <f ca="1">CORREL(OFFSET('MD-ratings-final'!$I$19,'MD-correl'!$A32,0,1,85),OFFSET('MD-ratings-final'!$I$19,'MD-correl'!L$1,0,1,85))</f>
        <v>0.92197977408788079</v>
      </c>
      <c r="M32" s="504"/>
      <c r="N32" s="503">
        <f ca="1">CORREL(OFFSET('MD-ratings-final'!$I$19,'MD-correl'!$A32,0,1,85),OFFSET('MD-ratings-final'!$I$19,'MD-correl'!N$1,0,1,85))</f>
        <v>-2.4745877351042712E-2</v>
      </c>
      <c r="O32" s="503">
        <f ca="1">CORREL(OFFSET('MD-ratings-final'!$I$19,'MD-correl'!$A32,0,1,85),OFFSET('MD-ratings-final'!$I$19,'MD-correl'!O$1,0,1,85))</f>
        <v>0.30519580241401989</v>
      </c>
      <c r="P32" s="504">
        <f ca="1">CORREL(OFFSET('MD-ratings-final'!$I$19,'MD-correl'!$A32,0,1,85),OFFSET('MD-ratings-final'!$I$19,'MD-correl'!P$1,0,1,85))</f>
        <v>0.19709647855541318</v>
      </c>
      <c r="Q32" s="505">
        <f ca="1">CORREL(OFFSET('MD-ratings-final'!$I$19,'MD-correl'!$A32,0,1,85),OFFSET('MD-ratings-final'!$I$19,'MD-correl'!Q$1,0,1,85))</f>
        <v>0.8232706729420175</v>
      </c>
    </row>
    <row r="33" spans="1:17" s="307" customFormat="1" x14ac:dyDescent="0.25">
      <c r="A33" s="307">
        <v>12</v>
      </c>
      <c r="B33" s="476" t="str">
        <f t="shared" si="1"/>
        <v>Working capital turnover ratio</v>
      </c>
      <c r="C33" s="500">
        <f ca="1">CORREL(OFFSET('MD-ratings-final'!$I$19,'MD-correl'!$A33,0,1,85),OFFSET('MD-ratings-final'!$I$19,'MD-correl'!C$1,0,1,85))</f>
        <v>-0.42002776426786792</v>
      </c>
      <c r="D33" s="456">
        <f ca="1">CORREL(OFFSET('MD-ratings-final'!$I$19,'MD-correl'!$A33,0,1,85),OFFSET('MD-ratings-final'!$I$19,'MD-correl'!D$1,0,1,85))</f>
        <v>-0.33556144156317746</v>
      </c>
      <c r="E33" s="456">
        <f ca="1">CORREL(OFFSET('MD-ratings-final'!$I$19,'MD-correl'!$A33,0,1,85),OFFSET('MD-ratings-final'!$I$19,'MD-correl'!E$1,0,1,85))</f>
        <v>-0.31363747754183419</v>
      </c>
      <c r="F33" s="510">
        <f ca="1">CORREL(OFFSET('MD-ratings-final'!$I$19,'MD-correl'!$A33,0,1,85),OFFSET('MD-ratings-final'!$I$19,'MD-correl'!F$1,0,1,85))</f>
        <v>-0.36946874520093115</v>
      </c>
      <c r="G33" s="456">
        <f ca="1">CORREL(OFFSET('MD-ratings-final'!$I$19,'MD-correl'!$A33,0,1,85),OFFSET('MD-ratings-final'!$I$19,'MD-correl'!G$1,0,1,85))</f>
        <v>-7.6409469097929145E-2</v>
      </c>
      <c r="H33" s="456">
        <f ca="1">CORREL(OFFSET('MD-ratings-final'!$I$19,'MD-correl'!$A33,0,1,85),OFFSET('MD-ratings-final'!$I$19,'MD-correl'!H$1,0,1,85))</f>
        <v>-2.7208493381853941E-2</v>
      </c>
      <c r="I33" s="456">
        <f ca="1">CORREL(OFFSET('MD-ratings-final'!$I$19,'MD-correl'!$A33,0,1,85),OFFSET('MD-ratings-final'!$I$19,'MD-correl'!I$1,0,1,85))</f>
        <v>-0.21836569507509898</v>
      </c>
      <c r="J33" s="510">
        <f ca="1">CORREL(OFFSET('MD-ratings-final'!$I$19,'MD-correl'!$A33,0,1,85),OFFSET('MD-ratings-final'!$I$19,'MD-correl'!J$1,0,1,85))</f>
        <v>-0.13065039993211852</v>
      </c>
      <c r="K33" s="456">
        <f ca="1">CORREL(OFFSET('MD-ratings-final'!$I$19,'MD-correl'!$A33,0,1,85),OFFSET('MD-ratings-final'!$I$19,'MD-correl'!K$1,0,1,85))</f>
        <v>-4.8489836213002152E-2</v>
      </c>
      <c r="L33" s="456">
        <f ca="1">CORREL(OFFSET('MD-ratings-final'!$I$19,'MD-correl'!$A33,0,1,85),OFFSET('MD-ratings-final'!$I$19,'MD-correl'!L$1,0,1,85))</f>
        <v>5.8463635314778255E-3</v>
      </c>
      <c r="M33" s="510">
        <f ca="1">CORREL(OFFSET('MD-ratings-final'!$I$19,'MD-correl'!$A33,0,1,85),OFFSET('MD-ratings-final'!$I$19,'MD-correl'!M$1,0,1,85))</f>
        <v>-2.4745877351042712E-2</v>
      </c>
      <c r="N33" s="456"/>
      <c r="O33" s="456">
        <f ca="1">CORREL(OFFSET('MD-ratings-final'!$I$19,'MD-correl'!$A33,0,1,85),OFFSET('MD-ratings-final'!$I$19,'MD-correl'!O$1,0,1,85))</f>
        <v>0.18493607114729599</v>
      </c>
      <c r="P33" s="510">
        <f ca="1">CORREL(OFFSET('MD-ratings-final'!$I$19,'MD-correl'!$A33,0,1,85),OFFSET('MD-ratings-final'!$I$19,'MD-correl'!P$1,0,1,85))</f>
        <v>0.7307407364900329</v>
      </c>
      <c r="Q33" s="501">
        <f ca="1">CORREL(OFFSET('MD-ratings-final'!$I$19,'MD-correl'!$A33,0,1,85),OFFSET('MD-ratings-final'!$I$19,'MD-correl'!Q$1,0,1,85))</f>
        <v>-3.8325113815246385E-2</v>
      </c>
    </row>
    <row r="34" spans="1:17" s="307" customFormat="1" x14ac:dyDescent="0.25">
      <c r="A34" s="307">
        <v>13</v>
      </c>
      <c r="B34" s="476" t="str">
        <f t="shared" si="1"/>
        <v>Accounts receivable turnover ratio</v>
      </c>
      <c r="C34" s="500">
        <f ca="1">CORREL(OFFSET('MD-ratings-final'!$I$19,'MD-correl'!$A34,0,1,85),OFFSET('MD-ratings-final'!$I$19,'MD-correl'!C$1,0,1,85))</f>
        <v>8.8931659669295032E-2</v>
      </c>
      <c r="D34" s="456">
        <f ca="1">CORREL(OFFSET('MD-ratings-final'!$I$19,'MD-correl'!$A34,0,1,85),OFFSET('MD-ratings-final'!$I$19,'MD-correl'!D$1,0,1,85))</f>
        <v>5.9337873014067503E-2</v>
      </c>
      <c r="E34" s="456">
        <f ca="1">CORREL(OFFSET('MD-ratings-final'!$I$19,'MD-correl'!$A34,0,1,85),OFFSET('MD-ratings-final'!$I$19,'MD-correl'!E$1,0,1,85))</f>
        <v>0.30662009911835542</v>
      </c>
      <c r="F34" s="510">
        <f ca="1">CORREL(OFFSET('MD-ratings-final'!$I$19,'MD-correl'!$A34,0,1,85),OFFSET('MD-ratings-final'!$I$19,'MD-correl'!F$1,0,1,85))</f>
        <v>0.16312450342200963</v>
      </c>
      <c r="G34" s="456">
        <f ca="1">CORREL(OFFSET('MD-ratings-final'!$I$19,'MD-correl'!$A34,0,1,85),OFFSET('MD-ratings-final'!$I$19,'MD-correl'!G$1,0,1,85))</f>
        <v>0.29459333116236758</v>
      </c>
      <c r="H34" s="456">
        <f ca="1">CORREL(OFFSET('MD-ratings-final'!$I$19,'MD-correl'!$A34,0,1,85),OFFSET('MD-ratings-final'!$I$19,'MD-correl'!H$1,0,1,85))</f>
        <v>0.25365467155340266</v>
      </c>
      <c r="I34" s="456">
        <f ca="1">CORREL(OFFSET('MD-ratings-final'!$I$19,'MD-correl'!$A34,0,1,85),OFFSET('MD-ratings-final'!$I$19,'MD-correl'!I$1,0,1,85))</f>
        <v>0.14450335850842144</v>
      </c>
      <c r="J34" s="510">
        <f ca="1">CORREL(OFFSET('MD-ratings-final'!$I$19,'MD-correl'!$A34,0,1,85),OFFSET('MD-ratings-final'!$I$19,'MD-correl'!J$1,0,1,85))</f>
        <v>0.2300575911117469</v>
      </c>
      <c r="K34" s="456">
        <f ca="1">CORREL(OFFSET('MD-ratings-final'!$I$19,'MD-correl'!$A34,0,1,85),OFFSET('MD-ratings-final'!$I$19,'MD-correl'!K$1,0,1,85))</f>
        <v>0.18711308256720147</v>
      </c>
      <c r="L34" s="456">
        <f ca="1">CORREL(OFFSET('MD-ratings-final'!$I$19,'MD-correl'!$A34,0,1,85),OFFSET('MD-ratings-final'!$I$19,'MD-correl'!L$1,0,1,85))</f>
        <v>0.3947909454584394</v>
      </c>
      <c r="M34" s="510">
        <f ca="1">CORREL(OFFSET('MD-ratings-final'!$I$19,'MD-correl'!$A34,0,1,85),OFFSET('MD-ratings-final'!$I$19,'MD-correl'!M$1,0,1,85))</f>
        <v>0.30519580241401989</v>
      </c>
      <c r="N34" s="456">
        <f ca="1">CORREL(OFFSET('MD-ratings-final'!$I$19,'MD-correl'!$A34,0,1,85),OFFSET('MD-ratings-final'!$I$19,'MD-correl'!N$1,0,1,85))</f>
        <v>0.18493607114729599</v>
      </c>
      <c r="O34" s="456"/>
      <c r="P34" s="510">
        <f ca="1">CORREL(OFFSET('MD-ratings-final'!$I$19,'MD-correl'!$A34,0,1,85),OFFSET('MD-ratings-final'!$I$19,'MD-correl'!P$1,0,1,85))</f>
        <v>0.80601999107100863</v>
      </c>
      <c r="Q34" s="501">
        <f ca="1">CORREL(OFFSET('MD-ratings-final'!$I$19,'MD-correl'!$A34,0,1,85),OFFSET('MD-ratings-final'!$I$19,'MD-correl'!Q$1,0,1,85))</f>
        <v>0.48975871109533986</v>
      </c>
    </row>
    <row r="35" spans="1:17" s="482" customFormat="1" x14ac:dyDescent="0.25">
      <c r="A35" s="482">
        <v>14</v>
      </c>
      <c r="B35" s="483" t="str">
        <f t="shared" si="1"/>
        <v>Activity total</v>
      </c>
      <c r="C35" s="502">
        <f ca="1">CORREL(OFFSET('MD-ratings-final'!$I$19,'MD-correl'!$A35,0,1,85),OFFSET('MD-ratings-final'!$I$19,'MD-correl'!C$1,0,1,85))</f>
        <v>-0.19119793260962542</v>
      </c>
      <c r="D35" s="503">
        <f ca="1">CORREL(OFFSET('MD-ratings-final'!$I$19,'MD-correl'!$A35,0,1,85),OFFSET('MD-ratings-final'!$I$19,'MD-correl'!D$1,0,1,85))</f>
        <v>-0.16088273217664831</v>
      </c>
      <c r="E35" s="503">
        <f ca="1">CORREL(OFFSET('MD-ratings-final'!$I$19,'MD-correl'!$A35,0,1,85),OFFSET('MD-ratings-final'!$I$19,'MD-correl'!E$1,0,1,85))</f>
        <v>2.4093006125634159E-2</v>
      </c>
      <c r="F35" s="504">
        <f ca="1">CORREL(OFFSET('MD-ratings-final'!$I$19,'MD-correl'!$A35,0,1,85),OFFSET('MD-ratings-final'!$I$19,'MD-correl'!F$1,0,1,85))</f>
        <v>-0.10921027576465181</v>
      </c>
      <c r="G35" s="503">
        <f ca="1">CORREL(OFFSET('MD-ratings-final'!$I$19,'MD-correl'!$A35,0,1,85),OFFSET('MD-ratings-final'!$I$19,'MD-correl'!G$1,0,1,85))</f>
        <v>0.15861580103690356</v>
      </c>
      <c r="H35" s="503">
        <f ca="1">CORREL(OFFSET('MD-ratings-final'!$I$19,'MD-correl'!$A35,0,1,85),OFFSET('MD-ratings-final'!$I$19,'MD-correl'!H$1,0,1,85))</f>
        <v>0.15981091406186002</v>
      </c>
      <c r="I35" s="503">
        <f ca="1">CORREL(OFFSET('MD-ratings-final'!$I$19,'MD-correl'!$A35,0,1,85),OFFSET('MD-ratings-final'!$I$19,'MD-correl'!I$1,0,1,85))</f>
        <v>-3.1139284466589524E-2</v>
      </c>
      <c r="J35" s="504">
        <f ca="1">CORREL(OFFSET('MD-ratings-final'!$I$19,'MD-correl'!$A35,0,1,85),OFFSET('MD-ratings-final'!$I$19,'MD-correl'!J$1,0,1,85))</f>
        <v>8.1118795935711488E-2</v>
      </c>
      <c r="K35" s="503">
        <f ca="1">CORREL(OFFSET('MD-ratings-final'!$I$19,'MD-correl'!$A35,0,1,85),OFFSET('MD-ratings-final'!$I$19,'MD-correl'!K$1,0,1,85))</f>
        <v>0.10077138208219596</v>
      </c>
      <c r="L35" s="503">
        <f ca="1">CORREL(OFFSET('MD-ratings-final'!$I$19,'MD-correl'!$A35,0,1,85),OFFSET('MD-ratings-final'!$I$19,'MD-correl'!L$1,0,1,85))</f>
        <v>0.2777576089714221</v>
      </c>
      <c r="M35" s="504">
        <f ca="1">CORREL(OFFSET('MD-ratings-final'!$I$19,'MD-correl'!$A35,0,1,85),OFFSET('MD-ratings-final'!$I$19,'MD-correl'!M$1,0,1,85))</f>
        <v>0.19709647855541318</v>
      </c>
      <c r="N35" s="503">
        <f ca="1">CORREL(OFFSET('MD-ratings-final'!$I$19,'MD-correl'!$A35,0,1,85),OFFSET('MD-ratings-final'!$I$19,'MD-correl'!N$1,0,1,85))</f>
        <v>0.7307407364900329</v>
      </c>
      <c r="O35" s="503">
        <f ca="1">CORREL(OFFSET('MD-ratings-final'!$I$19,'MD-correl'!$A35,0,1,85),OFFSET('MD-ratings-final'!$I$19,'MD-correl'!O$1,0,1,85))</f>
        <v>0.80601999107100863</v>
      </c>
      <c r="P35" s="504"/>
      <c r="Q35" s="505">
        <f ca="1">CORREL(OFFSET('MD-ratings-final'!$I$19,'MD-correl'!$A35,0,1,85),OFFSET('MD-ratings-final'!$I$19,'MD-correl'!Q$1,0,1,85))</f>
        <v>0.31712227541135007</v>
      </c>
    </row>
    <row r="36" spans="1:17" s="484" customFormat="1" x14ac:dyDescent="0.25">
      <c r="A36" s="484">
        <v>15</v>
      </c>
      <c r="B36" s="485" t="str">
        <f t="shared" si="1"/>
        <v>Total</v>
      </c>
      <c r="C36" s="506">
        <f ca="1">CORREL(OFFSET('MD-ratings-final'!$I$19,'MD-correl'!$A36,0,1,85),OFFSET('MD-ratings-final'!$I$19,'MD-correl'!C$1,0,1,85))</f>
        <v>0.56305089396814278</v>
      </c>
      <c r="D36" s="501">
        <f ca="1">CORREL(OFFSET('MD-ratings-final'!$I$19,'MD-correl'!$A36,0,1,85),OFFSET('MD-ratings-final'!$I$19,'MD-correl'!D$1,0,1,85))</f>
        <v>0.61440030737079765</v>
      </c>
      <c r="E36" s="501">
        <f ca="1">CORREL(OFFSET('MD-ratings-final'!$I$19,'MD-correl'!$A36,0,1,85),OFFSET('MD-ratings-final'!$I$19,'MD-correl'!E$1,0,1,85))</f>
        <v>0.67152642474310642</v>
      </c>
      <c r="F36" s="507">
        <f ca="1">CORREL(OFFSET('MD-ratings-final'!$I$19,'MD-correl'!$A36,0,1,85),OFFSET('MD-ratings-final'!$I$19,'MD-correl'!F$1,0,1,85))</f>
        <v>0.64499734279520338</v>
      </c>
      <c r="G36" s="501">
        <f ca="1">CORREL(OFFSET('MD-ratings-final'!$I$19,'MD-correl'!$A36,0,1,85),OFFSET('MD-ratings-final'!$I$19,'MD-correl'!G$1,0,1,85))</f>
        <v>0.75901095201513846</v>
      </c>
      <c r="H36" s="501">
        <f ca="1">CORREL(OFFSET('MD-ratings-final'!$I$19,'MD-correl'!$A36,0,1,85),OFFSET('MD-ratings-final'!$I$19,'MD-correl'!H$1,0,1,85))</f>
        <v>0.69380411454537061</v>
      </c>
      <c r="I36" s="501">
        <f ca="1">CORREL(OFFSET('MD-ratings-final'!$I$19,'MD-correl'!$A36,0,1,85),OFFSET('MD-ratings-final'!$I$19,'MD-correl'!I$1,0,1,85))</f>
        <v>0.59423192674477043</v>
      </c>
      <c r="J36" s="507">
        <f ca="1">CORREL(OFFSET('MD-ratings-final'!$I$19,'MD-correl'!$A36,0,1,85),OFFSET('MD-ratings-final'!$I$19,'MD-correl'!J$1,0,1,85))</f>
        <v>0.69639646738083694</v>
      </c>
      <c r="K36" s="501">
        <f ca="1">CORREL(OFFSET('MD-ratings-final'!$I$19,'MD-correl'!$A36,0,1,85),OFFSET('MD-ratings-final'!$I$19,'MD-correl'!K$1,0,1,85))</f>
        <v>0.69565039786767546</v>
      </c>
      <c r="L36" s="501">
        <f ca="1">CORREL(OFFSET('MD-ratings-final'!$I$19,'MD-correl'!$A36,0,1,85),OFFSET('MD-ratings-final'!$I$19,'MD-correl'!L$1,0,1,85))</f>
        <v>0.8480404905630603</v>
      </c>
      <c r="M36" s="507">
        <f ca="1">CORREL(OFFSET('MD-ratings-final'!$I$19,'MD-correl'!$A36,0,1,85),OFFSET('MD-ratings-final'!$I$19,'MD-correl'!M$1,0,1,85))</f>
        <v>0.8232706729420175</v>
      </c>
      <c r="N36" s="501">
        <f ca="1">CORREL(OFFSET('MD-ratings-final'!$I$19,'MD-correl'!$A36,0,1,85),OFFSET('MD-ratings-final'!$I$19,'MD-correl'!N$1,0,1,85))</f>
        <v>-3.8325113815246385E-2</v>
      </c>
      <c r="O36" s="501">
        <f ca="1">CORREL(OFFSET('MD-ratings-final'!$I$19,'MD-correl'!$A36,0,1,85),OFFSET('MD-ratings-final'!$I$19,'MD-correl'!O$1,0,1,85))</f>
        <v>0.48975871109533986</v>
      </c>
      <c r="P36" s="507">
        <f ca="1">CORREL(OFFSET('MD-ratings-final'!$I$19,'MD-correl'!$A36,0,1,85),OFFSET('MD-ratings-final'!$I$19,'MD-correl'!P$1,0,1,85))</f>
        <v>0.31712227541135007</v>
      </c>
      <c r="Q36" s="501"/>
    </row>
  </sheetData>
  <conditionalFormatting sqref="C4:Q1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:Q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pane ySplit="1" topLeftCell="A2" activePane="bottomLeft" state="frozen"/>
      <selection pane="bottomLeft" activeCell="E13" sqref="E12:E13"/>
    </sheetView>
  </sheetViews>
  <sheetFormatPr defaultRowHeight="15" x14ac:dyDescent="0.25"/>
  <cols>
    <col min="1" max="1" width="2.85546875" bestFit="1" customWidth="1"/>
    <col min="2" max="2" width="21.140625" bestFit="1" customWidth="1"/>
    <col min="3" max="3" width="22.85546875" bestFit="1" customWidth="1"/>
  </cols>
  <sheetData>
    <row r="1" spans="1:3" x14ac:dyDescent="0.25">
      <c r="A1" s="284" t="s">
        <v>484</v>
      </c>
      <c r="B1" s="284" t="s">
        <v>485</v>
      </c>
      <c r="C1" s="284" t="s">
        <v>486</v>
      </c>
    </row>
    <row r="2" spans="1:3" x14ac:dyDescent="0.25">
      <c r="A2">
        <v>1</v>
      </c>
      <c r="B2" s="283" t="s">
        <v>239</v>
      </c>
      <c r="C2" s="283" t="s">
        <v>240</v>
      </c>
    </row>
    <row r="3" spans="1:3" x14ac:dyDescent="0.25">
      <c r="A3">
        <v>2</v>
      </c>
      <c r="B3" s="283" t="s">
        <v>238</v>
      </c>
      <c r="C3" s="283" t="s">
        <v>241</v>
      </c>
    </row>
    <row r="4" spans="1:3" x14ac:dyDescent="0.25">
      <c r="A4">
        <v>3</v>
      </c>
      <c r="B4" s="283" t="s">
        <v>243</v>
      </c>
      <c r="C4" s="283" t="s">
        <v>242</v>
      </c>
    </row>
    <row r="5" spans="1:3" x14ac:dyDescent="0.25">
      <c r="A5">
        <v>4</v>
      </c>
      <c r="B5" s="283" t="s">
        <v>245</v>
      </c>
      <c r="C5" s="283" t="s">
        <v>244</v>
      </c>
    </row>
    <row r="6" spans="1:3" x14ac:dyDescent="0.25">
      <c r="A6">
        <v>5</v>
      </c>
      <c r="B6" s="283" t="s">
        <v>247</v>
      </c>
      <c r="C6" s="283" t="s">
        <v>246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0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8.140625" style="315" bestFit="1" customWidth="1"/>
    <col min="2" max="2" width="7.5703125" style="315" bestFit="1" customWidth="1"/>
    <col min="3" max="3" width="114.42578125" style="315" bestFit="1" customWidth="1"/>
    <col min="4" max="16384" width="9.140625" style="316"/>
  </cols>
  <sheetData>
    <row r="1" spans="1:3" s="314" customFormat="1" x14ac:dyDescent="0.25">
      <c r="A1" s="313" t="s">
        <v>1530</v>
      </c>
      <c r="B1" s="313" t="s">
        <v>1531</v>
      </c>
      <c r="C1" s="313" t="s">
        <v>1532</v>
      </c>
    </row>
    <row r="2" spans="1:3" s="314" customFormat="1" x14ac:dyDescent="0.25">
      <c r="A2" s="313"/>
      <c r="B2" s="315" t="s">
        <v>428</v>
      </c>
      <c r="C2" s="323" t="s">
        <v>1509</v>
      </c>
    </row>
    <row r="3" spans="1:3" hidden="1" x14ac:dyDescent="0.25">
      <c r="A3" s="315" t="s">
        <v>429</v>
      </c>
      <c r="B3" s="315" t="s">
        <v>428</v>
      </c>
      <c r="C3" s="315" t="s">
        <v>704</v>
      </c>
    </row>
    <row r="4" spans="1:3" hidden="1" x14ac:dyDescent="0.25">
      <c r="A4" s="315" t="s">
        <v>705</v>
      </c>
      <c r="B4" s="315" t="s">
        <v>428</v>
      </c>
      <c r="C4" s="315" t="s">
        <v>706</v>
      </c>
    </row>
    <row r="5" spans="1:3" hidden="1" x14ac:dyDescent="0.25">
      <c r="A5" s="315" t="s">
        <v>707</v>
      </c>
      <c r="B5" s="315" t="s">
        <v>428</v>
      </c>
      <c r="C5" s="315" t="s">
        <v>708</v>
      </c>
    </row>
    <row r="6" spans="1:3" x14ac:dyDescent="0.25">
      <c r="B6" s="315" t="s">
        <v>710</v>
      </c>
      <c r="C6" s="323" t="s">
        <v>1510</v>
      </c>
    </row>
    <row r="7" spans="1:3" hidden="1" x14ac:dyDescent="0.25">
      <c r="A7" s="315" t="s">
        <v>709</v>
      </c>
      <c r="B7" s="315" t="s">
        <v>710</v>
      </c>
      <c r="C7" s="315" t="s">
        <v>711</v>
      </c>
    </row>
    <row r="8" spans="1:3" hidden="1" x14ac:dyDescent="0.25">
      <c r="A8" s="315" t="s">
        <v>712</v>
      </c>
      <c r="B8" s="315" t="s">
        <v>710</v>
      </c>
      <c r="C8" s="315" t="s">
        <v>713</v>
      </c>
    </row>
    <row r="9" spans="1:3" hidden="1" x14ac:dyDescent="0.25">
      <c r="A9" s="315" t="s">
        <v>714</v>
      </c>
      <c r="B9" s="315" t="s">
        <v>710</v>
      </c>
      <c r="C9" s="315" t="s">
        <v>715</v>
      </c>
    </row>
    <row r="10" spans="1:3" hidden="1" x14ac:dyDescent="0.25">
      <c r="A10" s="315" t="s">
        <v>716</v>
      </c>
      <c r="B10" s="315" t="s">
        <v>710</v>
      </c>
      <c r="C10" s="315" t="s">
        <v>717</v>
      </c>
    </row>
    <row r="11" spans="1:3" hidden="1" x14ac:dyDescent="0.25">
      <c r="A11" s="315" t="s">
        <v>718</v>
      </c>
      <c r="B11" s="315" t="s">
        <v>710</v>
      </c>
      <c r="C11" s="315" t="s">
        <v>719</v>
      </c>
    </row>
    <row r="12" spans="1:3" x14ac:dyDescent="0.25">
      <c r="B12" s="315" t="s">
        <v>409</v>
      </c>
      <c r="C12" s="323" t="s">
        <v>1511</v>
      </c>
    </row>
    <row r="13" spans="1:3" hidden="1" x14ac:dyDescent="0.25">
      <c r="A13" s="315" t="s">
        <v>720</v>
      </c>
      <c r="B13" s="315" t="s">
        <v>409</v>
      </c>
      <c r="C13" s="315" t="s">
        <v>721</v>
      </c>
    </row>
    <row r="14" spans="1:3" hidden="1" x14ac:dyDescent="0.25">
      <c r="A14" s="315" t="s">
        <v>435</v>
      </c>
      <c r="B14" s="315" t="s">
        <v>409</v>
      </c>
      <c r="C14" s="315" t="s">
        <v>722</v>
      </c>
    </row>
    <row r="15" spans="1:3" hidden="1" x14ac:dyDescent="0.25">
      <c r="A15" s="315" t="s">
        <v>723</v>
      </c>
      <c r="B15" s="315" t="s">
        <v>409</v>
      </c>
      <c r="C15" s="315" t="s">
        <v>724</v>
      </c>
    </row>
    <row r="16" spans="1:3" hidden="1" x14ac:dyDescent="0.25">
      <c r="A16" s="315" t="s">
        <v>725</v>
      </c>
      <c r="B16" s="315" t="s">
        <v>409</v>
      </c>
      <c r="C16" s="315" t="s">
        <v>726</v>
      </c>
    </row>
    <row r="17" spans="1:3" hidden="1" x14ac:dyDescent="0.25">
      <c r="A17" s="315" t="s">
        <v>727</v>
      </c>
      <c r="B17" s="315" t="s">
        <v>409</v>
      </c>
      <c r="C17" s="315" t="s">
        <v>728</v>
      </c>
    </row>
    <row r="18" spans="1:3" hidden="1" x14ac:dyDescent="0.25">
      <c r="A18" s="315" t="s">
        <v>729</v>
      </c>
      <c r="B18" s="315" t="s">
        <v>409</v>
      </c>
      <c r="C18" s="315" t="s">
        <v>730</v>
      </c>
    </row>
    <row r="19" spans="1:3" hidden="1" x14ac:dyDescent="0.25">
      <c r="A19" s="315" t="s">
        <v>731</v>
      </c>
      <c r="B19" s="315" t="s">
        <v>409</v>
      </c>
      <c r="C19" s="315" t="s">
        <v>732</v>
      </c>
    </row>
    <row r="20" spans="1:3" hidden="1" x14ac:dyDescent="0.25">
      <c r="A20" s="315" t="s">
        <v>733</v>
      </c>
      <c r="B20" s="315" t="s">
        <v>409</v>
      </c>
      <c r="C20" s="315" t="s">
        <v>734</v>
      </c>
    </row>
    <row r="21" spans="1:3" hidden="1" x14ac:dyDescent="0.25">
      <c r="A21" s="315" t="s">
        <v>452</v>
      </c>
      <c r="B21" s="315" t="s">
        <v>409</v>
      </c>
      <c r="C21" s="315" t="s">
        <v>735</v>
      </c>
    </row>
    <row r="22" spans="1:3" hidden="1" x14ac:dyDescent="0.25">
      <c r="A22" s="315" t="s">
        <v>736</v>
      </c>
      <c r="B22" s="315" t="s">
        <v>409</v>
      </c>
      <c r="C22" s="315" t="s">
        <v>737</v>
      </c>
    </row>
    <row r="23" spans="1:3" hidden="1" x14ac:dyDescent="0.25">
      <c r="A23" s="315" t="s">
        <v>738</v>
      </c>
      <c r="B23" s="315" t="s">
        <v>409</v>
      </c>
      <c r="C23" s="315" t="s">
        <v>739</v>
      </c>
    </row>
    <row r="24" spans="1:3" hidden="1" x14ac:dyDescent="0.25">
      <c r="A24" s="315" t="s">
        <v>740</v>
      </c>
      <c r="B24" s="315" t="s">
        <v>409</v>
      </c>
      <c r="C24" s="315" t="s">
        <v>741</v>
      </c>
    </row>
    <row r="25" spans="1:3" hidden="1" x14ac:dyDescent="0.25">
      <c r="A25" s="315" t="s">
        <v>742</v>
      </c>
      <c r="B25" s="315" t="s">
        <v>409</v>
      </c>
      <c r="C25" s="315" t="s">
        <v>743</v>
      </c>
    </row>
    <row r="26" spans="1:3" hidden="1" x14ac:dyDescent="0.25">
      <c r="A26" s="315" t="s">
        <v>744</v>
      </c>
      <c r="B26" s="315" t="s">
        <v>409</v>
      </c>
      <c r="C26" s="315" t="s">
        <v>745</v>
      </c>
    </row>
    <row r="27" spans="1:3" hidden="1" x14ac:dyDescent="0.25">
      <c r="A27" s="315" t="s">
        <v>746</v>
      </c>
      <c r="B27" s="315" t="s">
        <v>409</v>
      </c>
      <c r="C27" s="315" t="s">
        <v>747</v>
      </c>
    </row>
    <row r="28" spans="1:3" hidden="1" x14ac:dyDescent="0.25">
      <c r="A28" s="315" t="s">
        <v>748</v>
      </c>
      <c r="B28" s="315" t="s">
        <v>409</v>
      </c>
      <c r="C28" s="315" t="s">
        <v>749</v>
      </c>
    </row>
    <row r="29" spans="1:3" hidden="1" x14ac:dyDescent="0.25">
      <c r="A29" s="315" t="s">
        <v>750</v>
      </c>
      <c r="B29" s="315" t="s">
        <v>409</v>
      </c>
      <c r="C29" s="315" t="s">
        <v>751</v>
      </c>
    </row>
    <row r="30" spans="1:3" hidden="1" x14ac:dyDescent="0.25">
      <c r="A30" s="315" t="s">
        <v>752</v>
      </c>
      <c r="B30" s="315" t="s">
        <v>409</v>
      </c>
      <c r="C30" s="315" t="s">
        <v>753</v>
      </c>
    </row>
    <row r="31" spans="1:3" hidden="1" x14ac:dyDescent="0.25">
      <c r="A31" s="315" t="s">
        <v>754</v>
      </c>
      <c r="B31" s="315" t="s">
        <v>409</v>
      </c>
      <c r="C31" s="315" t="s">
        <v>755</v>
      </c>
    </row>
    <row r="32" spans="1:3" hidden="1" x14ac:dyDescent="0.25">
      <c r="A32" s="315" t="s">
        <v>756</v>
      </c>
      <c r="B32" s="315" t="s">
        <v>409</v>
      </c>
      <c r="C32" s="315" t="s">
        <v>757</v>
      </c>
    </row>
    <row r="33" spans="1:3" hidden="1" x14ac:dyDescent="0.25">
      <c r="A33" s="315" t="s">
        <v>758</v>
      </c>
      <c r="B33" s="315" t="s">
        <v>409</v>
      </c>
      <c r="C33" s="315" t="s">
        <v>759</v>
      </c>
    </row>
    <row r="34" spans="1:3" hidden="1" x14ac:dyDescent="0.25">
      <c r="A34" s="315" t="s">
        <v>760</v>
      </c>
      <c r="B34" s="315" t="s">
        <v>409</v>
      </c>
      <c r="C34" s="315" t="s">
        <v>761</v>
      </c>
    </row>
    <row r="35" spans="1:3" hidden="1" x14ac:dyDescent="0.25">
      <c r="A35" s="315" t="s">
        <v>762</v>
      </c>
      <c r="B35" s="315" t="s">
        <v>409</v>
      </c>
      <c r="C35" s="315" t="s">
        <v>763</v>
      </c>
    </row>
    <row r="36" spans="1:3" hidden="1" x14ac:dyDescent="0.25">
      <c r="A36" s="315" t="s">
        <v>764</v>
      </c>
      <c r="B36" s="315" t="s">
        <v>409</v>
      </c>
      <c r="C36" s="315" t="s">
        <v>765</v>
      </c>
    </row>
    <row r="37" spans="1:3" x14ac:dyDescent="0.25">
      <c r="B37" s="315" t="s">
        <v>419</v>
      </c>
      <c r="C37" s="323" t="s">
        <v>1512</v>
      </c>
    </row>
    <row r="38" spans="1:3" hidden="1" x14ac:dyDescent="0.25">
      <c r="A38" s="315" t="s">
        <v>458</v>
      </c>
      <c r="B38" s="315" t="s">
        <v>419</v>
      </c>
      <c r="C38" s="315" t="s">
        <v>766</v>
      </c>
    </row>
    <row r="39" spans="1:3" x14ac:dyDescent="0.25">
      <c r="B39" s="315" t="s">
        <v>417</v>
      </c>
      <c r="C39" s="323" t="s">
        <v>1513</v>
      </c>
    </row>
    <row r="40" spans="1:3" hidden="1" x14ac:dyDescent="0.25">
      <c r="A40" s="315" t="s">
        <v>767</v>
      </c>
      <c r="B40" s="315" t="s">
        <v>417</v>
      </c>
      <c r="C40" s="315" t="s">
        <v>768</v>
      </c>
    </row>
    <row r="41" spans="1:3" hidden="1" x14ac:dyDescent="0.25">
      <c r="A41" s="315" t="s">
        <v>769</v>
      </c>
      <c r="B41" s="315" t="s">
        <v>417</v>
      </c>
      <c r="C41" s="315" t="s">
        <v>770</v>
      </c>
    </row>
    <row r="42" spans="1:3" hidden="1" x14ac:dyDescent="0.25">
      <c r="A42" s="315" t="s">
        <v>771</v>
      </c>
      <c r="B42" s="315" t="s">
        <v>417</v>
      </c>
      <c r="C42" s="315" t="s">
        <v>772</v>
      </c>
    </row>
    <row r="43" spans="1:3" hidden="1" x14ac:dyDescent="0.25">
      <c r="A43" s="315" t="s">
        <v>773</v>
      </c>
      <c r="B43" s="315" t="s">
        <v>417</v>
      </c>
      <c r="C43" s="315" t="s">
        <v>774</v>
      </c>
    </row>
    <row r="44" spans="1:3" x14ac:dyDescent="0.25">
      <c r="B44" s="315" t="s">
        <v>412</v>
      </c>
      <c r="C44" s="323" t="s">
        <v>1514</v>
      </c>
    </row>
    <row r="45" spans="1:3" hidden="1" x14ac:dyDescent="0.25">
      <c r="A45" s="315" t="s">
        <v>456</v>
      </c>
      <c r="B45" s="315" t="s">
        <v>412</v>
      </c>
      <c r="C45" s="315" t="s">
        <v>775</v>
      </c>
    </row>
    <row r="46" spans="1:3" hidden="1" x14ac:dyDescent="0.25">
      <c r="A46" s="315" t="s">
        <v>445</v>
      </c>
      <c r="B46" s="315" t="s">
        <v>412</v>
      </c>
      <c r="C46" s="315" t="s">
        <v>776</v>
      </c>
    </row>
    <row r="47" spans="1:3" hidden="1" x14ac:dyDescent="0.25">
      <c r="A47" s="315" t="s">
        <v>439</v>
      </c>
      <c r="B47" s="315" t="s">
        <v>412</v>
      </c>
      <c r="C47" s="315" t="s">
        <v>777</v>
      </c>
    </row>
    <row r="48" spans="1:3" x14ac:dyDescent="0.25">
      <c r="B48" s="315" t="s">
        <v>453</v>
      </c>
      <c r="C48" s="323" t="s">
        <v>1515</v>
      </c>
    </row>
    <row r="49" spans="1:3" hidden="1" x14ac:dyDescent="0.25">
      <c r="A49" s="315" t="s">
        <v>778</v>
      </c>
      <c r="B49" s="315" t="s">
        <v>453</v>
      </c>
      <c r="C49" s="315" t="s">
        <v>779</v>
      </c>
    </row>
    <row r="50" spans="1:3" hidden="1" x14ac:dyDescent="0.25">
      <c r="A50" s="315" t="s">
        <v>780</v>
      </c>
      <c r="B50" s="315" t="s">
        <v>453</v>
      </c>
      <c r="C50" s="315" t="s">
        <v>781</v>
      </c>
    </row>
    <row r="51" spans="1:3" hidden="1" x14ac:dyDescent="0.25">
      <c r="A51" s="315" t="s">
        <v>454</v>
      </c>
      <c r="B51" s="315" t="s">
        <v>453</v>
      </c>
      <c r="C51" s="315" t="s">
        <v>782</v>
      </c>
    </row>
    <row r="52" spans="1:3" x14ac:dyDescent="0.25">
      <c r="B52" s="315" t="s">
        <v>414</v>
      </c>
      <c r="C52" s="323" t="s">
        <v>1516</v>
      </c>
    </row>
    <row r="53" spans="1:3" hidden="1" x14ac:dyDescent="0.25">
      <c r="A53" s="315" t="s">
        <v>443</v>
      </c>
      <c r="B53" s="315" t="s">
        <v>414</v>
      </c>
      <c r="C53" s="315" t="s">
        <v>783</v>
      </c>
    </row>
    <row r="54" spans="1:3" hidden="1" x14ac:dyDescent="0.25">
      <c r="A54" s="315" t="s">
        <v>446</v>
      </c>
      <c r="B54" s="315" t="s">
        <v>414</v>
      </c>
      <c r="C54" s="315" t="s">
        <v>784</v>
      </c>
    </row>
    <row r="55" spans="1:3" hidden="1" x14ac:dyDescent="0.25">
      <c r="A55" s="315" t="s">
        <v>441</v>
      </c>
      <c r="B55" s="315" t="s">
        <v>414</v>
      </c>
      <c r="C55" s="315" t="s">
        <v>785</v>
      </c>
    </row>
    <row r="56" spans="1:3" hidden="1" x14ac:dyDescent="0.25">
      <c r="A56" s="315" t="s">
        <v>448</v>
      </c>
      <c r="B56" s="315" t="s">
        <v>414</v>
      </c>
      <c r="C56" s="315" t="s">
        <v>786</v>
      </c>
    </row>
    <row r="57" spans="1:3" hidden="1" x14ac:dyDescent="0.25">
      <c r="A57" s="315" t="s">
        <v>472</v>
      </c>
      <c r="B57" s="315" t="s">
        <v>414</v>
      </c>
      <c r="C57" s="315" t="s">
        <v>787</v>
      </c>
    </row>
    <row r="58" spans="1:3" x14ac:dyDescent="0.25">
      <c r="B58" s="315" t="s">
        <v>789</v>
      </c>
      <c r="C58" s="323" t="s">
        <v>1517</v>
      </c>
    </row>
    <row r="59" spans="1:3" hidden="1" x14ac:dyDescent="0.25">
      <c r="A59" s="315" t="s">
        <v>788</v>
      </c>
      <c r="B59" s="315" t="s">
        <v>789</v>
      </c>
      <c r="C59" s="315" t="s">
        <v>790</v>
      </c>
    </row>
    <row r="60" spans="1:3" hidden="1" x14ac:dyDescent="0.25">
      <c r="A60" s="315" t="s">
        <v>791</v>
      </c>
      <c r="B60" s="315" t="s">
        <v>789</v>
      </c>
      <c r="C60" s="315" t="s">
        <v>792</v>
      </c>
    </row>
    <row r="61" spans="1:3" x14ac:dyDescent="0.25">
      <c r="B61" s="315" t="s">
        <v>426</v>
      </c>
      <c r="C61" s="323" t="s">
        <v>1518</v>
      </c>
    </row>
    <row r="62" spans="1:3" hidden="1" x14ac:dyDescent="0.25">
      <c r="A62" s="315" t="s">
        <v>477</v>
      </c>
      <c r="B62" s="315" t="s">
        <v>426</v>
      </c>
      <c r="C62" s="315" t="s">
        <v>793</v>
      </c>
    </row>
    <row r="63" spans="1:3" hidden="1" x14ac:dyDescent="0.25">
      <c r="A63" s="315" t="s">
        <v>794</v>
      </c>
      <c r="B63" s="315" t="s">
        <v>426</v>
      </c>
      <c r="C63" s="315" t="s">
        <v>795</v>
      </c>
    </row>
    <row r="64" spans="1:3" hidden="1" x14ac:dyDescent="0.25">
      <c r="A64" s="315" t="s">
        <v>796</v>
      </c>
      <c r="B64" s="315" t="s">
        <v>426</v>
      </c>
      <c r="C64" s="315" t="s">
        <v>797</v>
      </c>
    </row>
    <row r="65" spans="1:3" hidden="1" x14ac:dyDescent="0.25">
      <c r="A65" s="315" t="s">
        <v>476</v>
      </c>
      <c r="B65" s="315" t="s">
        <v>426</v>
      </c>
      <c r="C65" s="315" t="s">
        <v>798</v>
      </c>
    </row>
    <row r="66" spans="1:3" hidden="1" x14ac:dyDescent="0.25">
      <c r="A66" s="315" t="s">
        <v>799</v>
      </c>
      <c r="B66" s="315" t="s">
        <v>426</v>
      </c>
      <c r="C66" s="315" t="s">
        <v>800</v>
      </c>
    </row>
    <row r="67" spans="1:3" hidden="1" x14ac:dyDescent="0.25">
      <c r="A67" s="315" t="s">
        <v>474</v>
      </c>
      <c r="B67" s="315" t="s">
        <v>426</v>
      </c>
      <c r="C67" s="315" t="s">
        <v>801</v>
      </c>
    </row>
    <row r="68" spans="1:3" x14ac:dyDescent="0.25">
      <c r="B68" s="315" t="s">
        <v>803</v>
      </c>
      <c r="C68" s="323" t="s">
        <v>1519</v>
      </c>
    </row>
    <row r="69" spans="1:3" hidden="1" x14ac:dyDescent="0.25">
      <c r="A69" s="315" t="s">
        <v>802</v>
      </c>
      <c r="B69" s="315" t="s">
        <v>803</v>
      </c>
      <c r="C69" s="315" t="s">
        <v>804</v>
      </c>
    </row>
    <row r="70" spans="1:3" hidden="1" x14ac:dyDescent="0.25">
      <c r="A70" s="315" t="s">
        <v>805</v>
      </c>
      <c r="B70" s="315" t="s">
        <v>803</v>
      </c>
      <c r="C70" s="315" t="s">
        <v>806</v>
      </c>
    </row>
    <row r="71" spans="1:3" hidden="1" x14ac:dyDescent="0.25">
      <c r="A71" s="315" t="s">
        <v>807</v>
      </c>
      <c r="B71" s="315" t="s">
        <v>803</v>
      </c>
      <c r="C71" s="315" t="s">
        <v>808</v>
      </c>
    </row>
    <row r="72" spans="1:3" x14ac:dyDescent="0.25">
      <c r="B72" s="315" t="s">
        <v>480</v>
      </c>
      <c r="C72" s="323" t="s">
        <v>1520</v>
      </c>
    </row>
    <row r="73" spans="1:3" hidden="1" x14ac:dyDescent="0.25">
      <c r="A73" s="315" t="s">
        <v>481</v>
      </c>
      <c r="B73" s="315" t="s">
        <v>480</v>
      </c>
      <c r="C73" s="315" t="s">
        <v>809</v>
      </c>
    </row>
    <row r="74" spans="1:3" x14ac:dyDescent="0.25">
      <c r="B74" s="315" t="s">
        <v>432</v>
      </c>
      <c r="C74" s="323" t="s">
        <v>1521</v>
      </c>
    </row>
    <row r="75" spans="1:3" hidden="1" x14ac:dyDescent="0.25">
      <c r="A75" s="315" t="s">
        <v>810</v>
      </c>
      <c r="B75" s="315" t="s">
        <v>432</v>
      </c>
      <c r="C75" s="315" t="s">
        <v>811</v>
      </c>
    </row>
    <row r="76" spans="1:3" hidden="1" x14ac:dyDescent="0.25">
      <c r="A76" s="315" t="s">
        <v>812</v>
      </c>
      <c r="B76" s="315" t="s">
        <v>432</v>
      </c>
      <c r="C76" s="315" t="s">
        <v>813</v>
      </c>
    </row>
    <row r="77" spans="1:3" hidden="1" x14ac:dyDescent="0.25">
      <c r="A77" s="315" t="s">
        <v>433</v>
      </c>
      <c r="B77" s="315" t="s">
        <v>432</v>
      </c>
      <c r="C77" s="315" t="s">
        <v>814</v>
      </c>
    </row>
    <row r="78" spans="1:3" hidden="1" x14ac:dyDescent="0.25">
      <c r="A78" s="315" t="s">
        <v>815</v>
      </c>
      <c r="B78" s="315" t="s">
        <v>432</v>
      </c>
      <c r="C78" s="315" t="s">
        <v>816</v>
      </c>
    </row>
    <row r="79" spans="1:3" hidden="1" x14ac:dyDescent="0.25">
      <c r="A79" s="315" t="s">
        <v>817</v>
      </c>
      <c r="B79" s="315" t="s">
        <v>432</v>
      </c>
      <c r="C79" s="315" t="s">
        <v>818</v>
      </c>
    </row>
    <row r="80" spans="1:3" hidden="1" x14ac:dyDescent="0.25">
      <c r="A80" s="315" t="s">
        <v>460</v>
      </c>
      <c r="B80" s="315" t="s">
        <v>432</v>
      </c>
      <c r="C80" s="315" t="s">
        <v>819</v>
      </c>
    </row>
    <row r="81" spans="1:3" hidden="1" x14ac:dyDescent="0.25">
      <c r="A81" s="315" t="s">
        <v>820</v>
      </c>
      <c r="B81" s="315" t="s">
        <v>432</v>
      </c>
      <c r="C81" s="315" t="s">
        <v>821</v>
      </c>
    </row>
    <row r="82" spans="1:3" x14ac:dyDescent="0.25">
      <c r="B82" s="315" t="s">
        <v>420</v>
      </c>
      <c r="C82" s="323" t="s">
        <v>1522</v>
      </c>
    </row>
    <row r="83" spans="1:3" hidden="1" x14ac:dyDescent="0.25">
      <c r="A83" s="315" t="s">
        <v>822</v>
      </c>
      <c r="B83" s="315" t="s">
        <v>420</v>
      </c>
      <c r="C83" s="315" t="s">
        <v>823</v>
      </c>
    </row>
    <row r="84" spans="1:3" hidden="1" x14ac:dyDescent="0.25">
      <c r="A84" s="315" t="s">
        <v>824</v>
      </c>
      <c r="B84" s="315" t="s">
        <v>420</v>
      </c>
      <c r="C84" s="315" t="s">
        <v>825</v>
      </c>
    </row>
    <row r="85" spans="1:3" hidden="1" x14ac:dyDescent="0.25">
      <c r="A85" s="315" t="s">
        <v>826</v>
      </c>
      <c r="B85" s="315" t="s">
        <v>420</v>
      </c>
      <c r="C85" s="315" t="s">
        <v>827</v>
      </c>
    </row>
    <row r="86" spans="1:3" hidden="1" x14ac:dyDescent="0.25">
      <c r="A86" s="315" t="s">
        <v>467</v>
      </c>
      <c r="B86" s="315" t="s">
        <v>420</v>
      </c>
      <c r="C86" s="315" t="s">
        <v>828</v>
      </c>
    </row>
    <row r="87" spans="1:3" hidden="1" x14ac:dyDescent="0.25">
      <c r="A87" s="315" t="s">
        <v>829</v>
      </c>
      <c r="B87" s="315" t="s">
        <v>420</v>
      </c>
      <c r="C87" s="315" t="s">
        <v>830</v>
      </c>
    </row>
    <row r="88" spans="1:3" hidden="1" x14ac:dyDescent="0.25">
      <c r="A88" s="315" t="s">
        <v>464</v>
      </c>
      <c r="B88" s="315" t="s">
        <v>420</v>
      </c>
      <c r="C88" s="315" t="s">
        <v>831</v>
      </c>
    </row>
    <row r="89" spans="1:3" x14ac:dyDescent="0.25">
      <c r="B89" s="315" t="s">
        <v>468</v>
      </c>
      <c r="C89" s="323" t="s">
        <v>1523</v>
      </c>
    </row>
    <row r="90" spans="1:3" hidden="1" x14ac:dyDescent="0.25">
      <c r="A90" s="315" t="s">
        <v>469</v>
      </c>
      <c r="B90" s="315" t="s">
        <v>468</v>
      </c>
      <c r="C90" s="315" t="s">
        <v>832</v>
      </c>
    </row>
    <row r="91" spans="1:3" x14ac:dyDescent="0.25">
      <c r="B91" s="315" t="s">
        <v>437</v>
      </c>
      <c r="C91" s="323" t="s">
        <v>1524</v>
      </c>
    </row>
    <row r="92" spans="1:3" hidden="1" x14ac:dyDescent="0.25">
      <c r="A92" s="315" t="s">
        <v>438</v>
      </c>
      <c r="B92" s="315" t="s">
        <v>437</v>
      </c>
      <c r="C92" s="315" t="s">
        <v>833</v>
      </c>
    </row>
    <row r="93" spans="1:3" x14ac:dyDescent="0.25">
      <c r="B93" s="315" t="s">
        <v>415</v>
      </c>
      <c r="C93" s="323" t="s">
        <v>1525</v>
      </c>
    </row>
    <row r="94" spans="1:3" hidden="1" x14ac:dyDescent="0.25">
      <c r="A94" s="315" t="s">
        <v>834</v>
      </c>
      <c r="B94" s="315" t="s">
        <v>415</v>
      </c>
      <c r="C94" s="315" t="s">
        <v>835</v>
      </c>
    </row>
    <row r="95" spans="1:3" hidden="1" x14ac:dyDescent="0.25">
      <c r="A95" s="315" t="s">
        <v>836</v>
      </c>
      <c r="B95" s="315" t="s">
        <v>415</v>
      </c>
      <c r="C95" s="315" t="s">
        <v>837</v>
      </c>
    </row>
    <row r="96" spans="1:3" hidden="1" x14ac:dyDescent="0.25">
      <c r="A96" s="315" t="s">
        <v>838</v>
      </c>
      <c r="B96" s="315" t="s">
        <v>415</v>
      </c>
      <c r="C96" s="315" t="s">
        <v>839</v>
      </c>
    </row>
    <row r="97" spans="1:3" x14ac:dyDescent="0.25">
      <c r="B97" s="315" t="s">
        <v>841</v>
      </c>
      <c r="C97" s="323" t="s">
        <v>1526</v>
      </c>
    </row>
    <row r="98" spans="1:3" hidden="1" x14ac:dyDescent="0.25">
      <c r="A98" s="315" t="s">
        <v>840</v>
      </c>
      <c r="B98" s="315" t="s">
        <v>841</v>
      </c>
      <c r="C98" s="315" t="s">
        <v>842</v>
      </c>
    </row>
    <row r="99" spans="1:3" hidden="1" x14ac:dyDescent="0.25">
      <c r="A99" s="315" t="s">
        <v>843</v>
      </c>
      <c r="B99" s="315" t="s">
        <v>841</v>
      </c>
      <c r="C99" s="315" t="s">
        <v>844</v>
      </c>
    </row>
    <row r="100" spans="1:3" hidden="1" x14ac:dyDescent="0.25">
      <c r="A100" s="315" t="s">
        <v>845</v>
      </c>
      <c r="B100" s="315" t="s">
        <v>841</v>
      </c>
      <c r="C100" s="315" t="s">
        <v>846</v>
      </c>
    </row>
    <row r="101" spans="1:3" hidden="1" x14ac:dyDescent="0.25">
      <c r="A101" s="315" t="s">
        <v>847</v>
      </c>
      <c r="B101" s="315" t="s">
        <v>841</v>
      </c>
      <c r="C101" s="315" t="s">
        <v>848</v>
      </c>
    </row>
    <row r="102" spans="1:3" x14ac:dyDescent="0.25">
      <c r="B102" s="315" t="s">
        <v>850</v>
      </c>
      <c r="C102" s="323" t="s">
        <v>1527</v>
      </c>
    </row>
    <row r="103" spans="1:3" hidden="1" x14ac:dyDescent="0.25">
      <c r="A103" s="315" t="s">
        <v>849</v>
      </c>
      <c r="B103" s="315" t="s">
        <v>850</v>
      </c>
      <c r="C103" s="315" t="s">
        <v>851</v>
      </c>
    </row>
    <row r="104" spans="1:3" hidden="1" x14ac:dyDescent="0.25">
      <c r="A104" s="315" t="s">
        <v>852</v>
      </c>
      <c r="B104" s="315" t="s">
        <v>850</v>
      </c>
      <c r="C104" s="315" t="s">
        <v>853</v>
      </c>
    </row>
    <row r="105" spans="1:3" hidden="1" x14ac:dyDescent="0.25">
      <c r="A105" s="315" t="s">
        <v>854</v>
      </c>
      <c r="B105" s="315" t="s">
        <v>850</v>
      </c>
      <c r="C105" s="315" t="s">
        <v>855</v>
      </c>
    </row>
    <row r="106" spans="1:3" x14ac:dyDescent="0.25">
      <c r="B106" s="592" t="s">
        <v>857</v>
      </c>
      <c r="C106" s="323" t="s">
        <v>1528</v>
      </c>
    </row>
    <row r="107" spans="1:3" hidden="1" x14ac:dyDescent="0.25">
      <c r="A107" s="315" t="s">
        <v>856</v>
      </c>
      <c r="B107" s="315" t="s">
        <v>857</v>
      </c>
      <c r="C107" s="315" t="s">
        <v>858</v>
      </c>
    </row>
    <row r="108" spans="1:3" hidden="1" x14ac:dyDescent="0.25">
      <c r="A108" s="315" t="s">
        <v>859</v>
      </c>
      <c r="B108" s="315" t="s">
        <v>857</v>
      </c>
      <c r="C108" s="315" t="s">
        <v>860</v>
      </c>
    </row>
    <row r="109" spans="1:3" x14ac:dyDescent="0.25">
      <c r="B109" s="592" t="s">
        <v>862</v>
      </c>
      <c r="C109" s="323" t="s">
        <v>1529</v>
      </c>
    </row>
    <row r="110" spans="1:3" hidden="1" x14ac:dyDescent="0.25">
      <c r="A110" s="315" t="s">
        <v>861</v>
      </c>
      <c r="B110" s="315" t="s">
        <v>862</v>
      </c>
      <c r="C110" s="315" t="s">
        <v>863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workbookViewId="0">
      <pane ySplit="1" topLeftCell="A2" activePane="bottomLeft" state="frozen"/>
      <selection pane="bottomLeft" activeCell="D23" sqref="D23"/>
    </sheetView>
  </sheetViews>
  <sheetFormatPr defaultRowHeight="15" x14ac:dyDescent="0.25"/>
  <cols>
    <col min="1" max="1" width="11" style="310" bestFit="1" customWidth="1"/>
    <col min="2" max="2" width="44" style="303" customWidth="1"/>
    <col min="3" max="3" width="7.28515625" style="561" bestFit="1" customWidth="1"/>
    <col min="4" max="4" width="11.5703125" style="306" bestFit="1" customWidth="1"/>
    <col min="5" max="6" width="3.7109375" style="306" customWidth="1"/>
    <col min="7" max="7" width="6" style="303" bestFit="1" customWidth="1"/>
    <col min="8" max="8" width="6" style="303" customWidth="1"/>
    <col min="9" max="9" width="17.85546875" style="303" bestFit="1" customWidth="1"/>
    <col min="10" max="16384" width="9.140625" style="303"/>
  </cols>
  <sheetData>
    <row r="1" spans="1:10" s="301" customFormat="1" x14ac:dyDescent="0.25">
      <c r="A1" s="309" t="s">
        <v>588</v>
      </c>
      <c r="B1" s="301" t="s">
        <v>1486</v>
      </c>
      <c r="C1" s="559" t="s">
        <v>1487</v>
      </c>
      <c r="D1" s="304" t="s">
        <v>1488</v>
      </c>
      <c r="E1" s="675" t="s">
        <v>589</v>
      </c>
      <c r="F1" s="675"/>
      <c r="G1" s="675"/>
      <c r="H1" s="317"/>
    </row>
    <row r="2" spans="1:10" x14ac:dyDescent="0.25">
      <c r="A2" s="312" t="s">
        <v>591</v>
      </c>
      <c r="B2" s="302" t="s">
        <v>516</v>
      </c>
      <c r="C2" s="560" t="s">
        <v>1483</v>
      </c>
      <c r="D2" s="305">
        <v>1</v>
      </c>
      <c r="E2" s="305" t="s">
        <v>437</v>
      </c>
      <c r="F2" s="318" t="s">
        <v>438</v>
      </c>
      <c r="G2" s="311" t="s">
        <v>668</v>
      </c>
      <c r="H2" s="311"/>
      <c r="I2" s="303" t="s">
        <v>1489</v>
      </c>
      <c r="J2" s="303">
        <v>4</v>
      </c>
    </row>
    <row r="3" spans="1:10" x14ac:dyDescent="0.25">
      <c r="A3" s="312" t="s">
        <v>592</v>
      </c>
      <c r="B3" s="302" t="s">
        <v>517</v>
      </c>
      <c r="C3" s="560" t="s">
        <v>1483</v>
      </c>
      <c r="D3" s="305">
        <v>1</v>
      </c>
      <c r="E3" s="305" t="s">
        <v>420</v>
      </c>
      <c r="F3" s="318" t="s">
        <v>464</v>
      </c>
      <c r="G3" s="311" t="s">
        <v>669</v>
      </c>
      <c r="H3" s="311"/>
      <c r="I3" s="303" t="s">
        <v>1490</v>
      </c>
      <c r="J3" s="303">
        <v>5</v>
      </c>
    </row>
    <row r="4" spans="1:10" x14ac:dyDescent="0.25">
      <c r="A4" s="312" t="s">
        <v>593</v>
      </c>
      <c r="B4" s="302" t="s">
        <v>518</v>
      </c>
      <c r="C4" s="560" t="s">
        <v>1483</v>
      </c>
      <c r="D4" s="305">
        <v>1</v>
      </c>
      <c r="E4" s="305" t="s">
        <v>453</v>
      </c>
      <c r="F4" s="318" t="s">
        <v>778</v>
      </c>
      <c r="G4" s="311" t="s">
        <v>670</v>
      </c>
      <c r="H4" s="311"/>
      <c r="I4" s="303" t="s">
        <v>1491</v>
      </c>
      <c r="J4" s="303">
        <v>11</v>
      </c>
    </row>
    <row r="5" spans="1:10" x14ac:dyDescent="0.25">
      <c r="A5" s="312" t="s">
        <v>594</v>
      </c>
      <c r="B5" s="302" t="s">
        <v>590</v>
      </c>
      <c r="C5" s="560" t="s">
        <v>1483</v>
      </c>
      <c r="D5" s="305">
        <v>1</v>
      </c>
      <c r="E5" s="305" t="s">
        <v>415</v>
      </c>
      <c r="F5" s="318" t="s">
        <v>834</v>
      </c>
      <c r="G5" s="311" t="s">
        <v>671</v>
      </c>
      <c r="H5" s="311"/>
      <c r="I5" s="303" t="s">
        <v>1492</v>
      </c>
      <c r="J5" s="303">
        <v>5</v>
      </c>
    </row>
    <row r="6" spans="1:10" x14ac:dyDescent="0.25">
      <c r="A6" s="312" t="s">
        <v>595</v>
      </c>
      <c r="B6" s="302" t="s">
        <v>519</v>
      </c>
      <c r="C6" s="560" t="s">
        <v>1483</v>
      </c>
      <c r="D6" s="305">
        <v>1</v>
      </c>
      <c r="E6" s="305" t="s">
        <v>480</v>
      </c>
      <c r="F6" s="318" t="s">
        <v>481</v>
      </c>
      <c r="G6" s="311" t="s">
        <v>672</v>
      </c>
      <c r="H6" s="311"/>
      <c r="I6" s="303" t="s">
        <v>1493</v>
      </c>
      <c r="J6" s="303">
        <v>12</v>
      </c>
    </row>
    <row r="7" spans="1:10" x14ac:dyDescent="0.25">
      <c r="A7" s="312" t="s">
        <v>1473</v>
      </c>
      <c r="B7" s="302" t="s">
        <v>1465</v>
      </c>
      <c r="C7" s="560" t="s">
        <v>1483</v>
      </c>
      <c r="D7" s="305">
        <v>0.51</v>
      </c>
      <c r="E7" s="305" t="s">
        <v>419</v>
      </c>
      <c r="F7" s="318" t="s">
        <v>443</v>
      </c>
      <c r="G7" s="311" t="s">
        <v>1474</v>
      </c>
      <c r="H7" s="311"/>
      <c r="I7" s="303" t="s">
        <v>1498</v>
      </c>
      <c r="J7" s="303">
        <v>15</v>
      </c>
    </row>
    <row r="8" spans="1:10" x14ac:dyDescent="0.25">
      <c r="A8" s="312" t="s">
        <v>596</v>
      </c>
      <c r="B8" s="302" t="s">
        <v>520</v>
      </c>
      <c r="C8" s="560" t="s">
        <v>1483</v>
      </c>
      <c r="D8" s="305">
        <v>1</v>
      </c>
      <c r="E8" s="305" t="s">
        <v>415</v>
      </c>
      <c r="F8" s="318" t="s">
        <v>834</v>
      </c>
      <c r="G8" s="311" t="s">
        <v>673</v>
      </c>
      <c r="H8" s="311"/>
      <c r="I8" s="303" t="s">
        <v>1494</v>
      </c>
      <c r="J8" s="303">
        <v>13</v>
      </c>
    </row>
    <row r="9" spans="1:10" x14ac:dyDescent="0.25">
      <c r="A9" s="312" t="s">
        <v>597</v>
      </c>
      <c r="B9" s="302" t="s">
        <v>521</v>
      </c>
      <c r="C9" s="560" t="s">
        <v>1483</v>
      </c>
      <c r="D9" s="305">
        <v>1</v>
      </c>
      <c r="E9" s="305" t="s">
        <v>432</v>
      </c>
      <c r="F9" s="318" t="s">
        <v>433</v>
      </c>
      <c r="G9" s="311" t="s">
        <v>674</v>
      </c>
      <c r="H9" s="311"/>
      <c r="I9" s="303" t="s">
        <v>1495</v>
      </c>
      <c r="J9" s="303">
        <v>8</v>
      </c>
    </row>
    <row r="10" spans="1:10" x14ac:dyDescent="0.25">
      <c r="A10" s="312" t="s">
        <v>598</v>
      </c>
      <c r="B10" s="302" t="s">
        <v>522</v>
      </c>
      <c r="C10" s="560" t="s">
        <v>1483</v>
      </c>
      <c r="D10" s="305">
        <v>1</v>
      </c>
      <c r="E10" s="305" t="s">
        <v>417</v>
      </c>
      <c r="F10" s="318" t="s">
        <v>771</v>
      </c>
      <c r="G10" s="311" t="s">
        <v>675</v>
      </c>
      <c r="H10" s="311"/>
      <c r="I10" s="303" t="s">
        <v>1496</v>
      </c>
      <c r="J10" s="303">
        <v>5</v>
      </c>
    </row>
    <row r="11" spans="1:10" x14ac:dyDescent="0.25">
      <c r="A11" s="312" t="s">
        <v>599</v>
      </c>
      <c r="B11" s="302" t="s">
        <v>523</v>
      </c>
      <c r="C11" s="560" t="s">
        <v>1483</v>
      </c>
      <c r="D11" s="305">
        <v>1</v>
      </c>
      <c r="E11" s="305" t="s">
        <v>428</v>
      </c>
      <c r="F11" s="318" t="s">
        <v>705</v>
      </c>
      <c r="G11" s="311" t="s">
        <v>676</v>
      </c>
      <c r="H11" s="311"/>
      <c r="I11" s="303" t="s">
        <v>1499</v>
      </c>
      <c r="J11" s="303">
        <v>2</v>
      </c>
    </row>
    <row r="12" spans="1:10" x14ac:dyDescent="0.25">
      <c r="A12" s="312" t="s">
        <v>600</v>
      </c>
      <c r="B12" s="302" t="s">
        <v>524</v>
      </c>
      <c r="C12" s="560" t="s">
        <v>1483</v>
      </c>
      <c r="D12" s="305">
        <v>1</v>
      </c>
      <c r="E12" s="305" t="s">
        <v>428</v>
      </c>
      <c r="F12" s="318" t="s">
        <v>705</v>
      </c>
      <c r="G12" s="311" t="s">
        <v>677</v>
      </c>
      <c r="H12" s="311"/>
      <c r="I12" s="303" t="s">
        <v>1483</v>
      </c>
      <c r="J12" s="303">
        <v>52</v>
      </c>
    </row>
    <row r="13" spans="1:10" x14ac:dyDescent="0.25">
      <c r="A13" s="312" t="s">
        <v>601</v>
      </c>
      <c r="B13" s="302" t="s">
        <v>525</v>
      </c>
      <c r="C13" s="560" t="s">
        <v>1483</v>
      </c>
      <c r="D13" s="305">
        <v>1</v>
      </c>
      <c r="E13" s="305" t="s">
        <v>415</v>
      </c>
      <c r="F13" s="318" t="s">
        <v>834</v>
      </c>
      <c r="G13" s="311" t="s">
        <v>671</v>
      </c>
      <c r="H13" s="311"/>
      <c r="I13" s="303" t="s">
        <v>1485</v>
      </c>
      <c r="J13" s="303">
        <v>28</v>
      </c>
    </row>
    <row r="14" spans="1:10" x14ac:dyDescent="0.25">
      <c r="A14" s="312" t="s">
        <v>602</v>
      </c>
      <c r="B14" s="302" t="s">
        <v>526</v>
      </c>
      <c r="C14" s="560" t="s">
        <v>1483</v>
      </c>
      <c r="D14" s="305">
        <v>1</v>
      </c>
      <c r="E14" s="305" t="s">
        <v>409</v>
      </c>
      <c r="F14" s="318" t="s">
        <v>764</v>
      </c>
      <c r="G14" s="311" t="s">
        <v>678</v>
      </c>
      <c r="H14" s="311"/>
      <c r="I14" s="303" t="s">
        <v>1497</v>
      </c>
      <c r="J14" s="303">
        <v>80</v>
      </c>
    </row>
    <row r="15" spans="1:10" x14ac:dyDescent="0.25">
      <c r="A15" s="312" t="s">
        <v>603</v>
      </c>
      <c r="B15" s="302" t="s">
        <v>527</v>
      </c>
      <c r="C15" s="560" t="s">
        <v>1483</v>
      </c>
      <c r="D15" s="305">
        <v>1</v>
      </c>
      <c r="E15" s="305" t="s">
        <v>414</v>
      </c>
      <c r="F15" s="318" t="s">
        <v>448</v>
      </c>
      <c r="G15" s="311" t="s">
        <v>679</v>
      </c>
      <c r="H15" s="311"/>
    </row>
    <row r="16" spans="1:10" x14ac:dyDescent="0.25">
      <c r="A16" s="312" t="s">
        <v>604</v>
      </c>
      <c r="B16" s="302" t="s">
        <v>528</v>
      </c>
      <c r="C16" s="560" t="s">
        <v>1483</v>
      </c>
      <c r="D16" s="305">
        <v>0.97609999999999997</v>
      </c>
      <c r="E16" s="305" t="s">
        <v>414</v>
      </c>
      <c r="F16" s="318" t="s">
        <v>448</v>
      </c>
      <c r="G16" s="311" t="s">
        <v>679</v>
      </c>
      <c r="H16" s="311"/>
    </row>
    <row r="17" spans="1:9" x14ac:dyDescent="0.25">
      <c r="A17" s="312" t="s">
        <v>605</v>
      </c>
      <c r="B17" s="302" t="s">
        <v>529</v>
      </c>
      <c r="C17" s="560" t="s">
        <v>1483</v>
      </c>
      <c r="D17" s="305">
        <v>1</v>
      </c>
      <c r="E17" s="305" t="s">
        <v>414</v>
      </c>
      <c r="F17" s="318" t="s">
        <v>448</v>
      </c>
      <c r="G17" s="311" t="s">
        <v>679</v>
      </c>
      <c r="H17" s="311"/>
    </row>
    <row r="18" spans="1:9" x14ac:dyDescent="0.25">
      <c r="A18" s="312" t="s">
        <v>606</v>
      </c>
      <c r="B18" s="302" t="s">
        <v>530</v>
      </c>
      <c r="C18" s="560" t="s">
        <v>1483</v>
      </c>
      <c r="D18" s="305">
        <v>0.99529999999999996</v>
      </c>
      <c r="E18" s="305" t="s">
        <v>414</v>
      </c>
      <c r="F18" s="318" t="s">
        <v>448</v>
      </c>
      <c r="G18" s="311" t="s">
        <v>679</v>
      </c>
      <c r="H18" s="311"/>
    </row>
    <row r="19" spans="1:9" x14ac:dyDescent="0.25">
      <c r="A19" s="312" t="s">
        <v>607</v>
      </c>
      <c r="B19" s="302" t="s">
        <v>531</v>
      </c>
      <c r="C19" s="560" t="s">
        <v>1483</v>
      </c>
      <c r="D19" s="305">
        <v>1</v>
      </c>
      <c r="E19" s="305" t="s">
        <v>414</v>
      </c>
      <c r="F19" s="318" t="s">
        <v>448</v>
      </c>
      <c r="G19" s="311" t="s">
        <v>679</v>
      </c>
      <c r="H19" s="311"/>
    </row>
    <row r="20" spans="1:9" x14ac:dyDescent="0.25">
      <c r="A20" s="312" t="s">
        <v>608</v>
      </c>
      <c r="B20" s="302" t="s">
        <v>532</v>
      </c>
      <c r="C20" s="560" t="s">
        <v>1483</v>
      </c>
      <c r="D20" s="305">
        <v>1</v>
      </c>
      <c r="E20" s="305" t="s">
        <v>409</v>
      </c>
      <c r="F20" s="318" t="s">
        <v>762</v>
      </c>
      <c r="G20" s="311" t="s">
        <v>680</v>
      </c>
      <c r="H20" s="311"/>
      <c r="I20"/>
    </row>
    <row r="21" spans="1:9" x14ac:dyDescent="0.25">
      <c r="A21" s="312" t="s">
        <v>609</v>
      </c>
      <c r="B21" s="302" t="s">
        <v>533</v>
      </c>
      <c r="C21" s="560" t="s">
        <v>1483</v>
      </c>
      <c r="D21" s="305">
        <v>1</v>
      </c>
      <c r="E21" s="305" t="s">
        <v>414</v>
      </c>
      <c r="F21" s="318" t="s">
        <v>448</v>
      </c>
      <c r="G21" s="311" t="s">
        <v>681</v>
      </c>
      <c r="H21" s="311"/>
      <c r="I21"/>
    </row>
    <row r="22" spans="1:9" x14ac:dyDescent="0.25">
      <c r="A22" s="312" t="s">
        <v>610</v>
      </c>
      <c r="B22" s="302" t="s">
        <v>534</v>
      </c>
      <c r="C22" s="560" t="s">
        <v>1483</v>
      </c>
      <c r="D22" s="305">
        <v>1</v>
      </c>
      <c r="E22" s="305" t="s">
        <v>415</v>
      </c>
      <c r="F22" s="318" t="s">
        <v>834</v>
      </c>
      <c r="G22" s="311" t="s">
        <v>682</v>
      </c>
      <c r="H22" s="311"/>
      <c r="I22"/>
    </row>
    <row r="23" spans="1:9" x14ac:dyDescent="0.25">
      <c r="A23" s="312" t="s">
        <v>611</v>
      </c>
      <c r="B23" s="302" t="s">
        <v>535</v>
      </c>
      <c r="C23" s="560" t="s">
        <v>1483</v>
      </c>
      <c r="D23" s="305">
        <v>1</v>
      </c>
      <c r="E23" s="305" t="s">
        <v>415</v>
      </c>
      <c r="F23" s="318" t="s">
        <v>834</v>
      </c>
      <c r="G23" s="311" t="s">
        <v>682</v>
      </c>
      <c r="H23" s="311"/>
      <c r="I23"/>
    </row>
    <row r="24" spans="1:9" x14ac:dyDescent="0.25">
      <c r="A24" s="312" t="s">
        <v>612</v>
      </c>
      <c r="B24" s="302" t="s">
        <v>536</v>
      </c>
      <c r="C24" s="560" t="s">
        <v>1483</v>
      </c>
      <c r="D24" s="305">
        <v>1</v>
      </c>
      <c r="E24" s="305" t="s">
        <v>415</v>
      </c>
      <c r="F24" s="318" t="s">
        <v>834</v>
      </c>
      <c r="G24" s="311" t="s">
        <v>682</v>
      </c>
      <c r="H24" s="311"/>
      <c r="I24"/>
    </row>
    <row r="25" spans="1:9" x14ac:dyDescent="0.25">
      <c r="A25" s="312" t="s">
        <v>613</v>
      </c>
      <c r="B25" s="302" t="s">
        <v>537</v>
      </c>
      <c r="C25" s="560" t="s">
        <v>1483</v>
      </c>
      <c r="D25" s="305">
        <v>1</v>
      </c>
      <c r="E25" s="305" t="s">
        <v>428</v>
      </c>
      <c r="F25" s="318" t="s">
        <v>429</v>
      </c>
      <c r="G25" s="311" t="s">
        <v>683</v>
      </c>
      <c r="H25" s="311"/>
      <c r="I25"/>
    </row>
    <row r="26" spans="1:9" x14ac:dyDescent="0.25">
      <c r="A26" s="312" t="s">
        <v>614</v>
      </c>
      <c r="B26" s="302" t="s">
        <v>538</v>
      </c>
      <c r="C26" s="560" t="s">
        <v>1483</v>
      </c>
      <c r="D26" s="305">
        <v>1</v>
      </c>
      <c r="E26" s="305" t="s">
        <v>409</v>
      </c>
      <c r="F26" s="318" t="s">
        <v>720</v>
      </c>
      <c r="G26" s="311" t="s">
        <v>684</v>
      </c>
      <c r="H26" s="311"/>
      <c r="I26"/>
    </row>
    <row r="27" spans="1:9" x14ac:dyDescent="0.25">
      <c r="A27" s="312" t="s">
        <v>615</v>
      </c>
      <c r="B27" s="302" t="s">
        <v>539</v>
      </c>
      <c r="C27" s="560" t="s">
        <v>1483</v>
      </c>
      <c r="D27" s="305">
        <v>1</v>
      </c>
      <c r="E27" s="305" t="s">
        <v>480</v>
      </c>
      <c r="F27" s="318" t="s">
        <v>481</v>
      </c>
      <c r="G27" s="311" t="s">
        <v>685</v>
      </c>
      <c r="H27" s="311"/>
      <c r="I27"/>
    </row>
    <row r="28" spans="1:9" x14ac:dyDescent="0.25">
      <c r="A28" s="312" t="s">
        <v>616</v>
      </c>
      <c r="B28" s="302" t="s">
        <v>540</v>
      </c>
      <c r="C28" s="560" t="s">
        <v>1483</v>
      </c>
      <c r="D28" s="305">
        <v>1</v>
      </c>
      <c r="E28" s="305" t="s">
        <v>419</v>
      </c>
      <c r="F28" s="318" t="s">
        <v>458</v>
      </c>
      <c r="G28" s="311" t="s">
        <v>686</v>
      </c>
      <c r="H28" s="311"/>
      <c r="I28"/>
    </row>
    <row r="29" spans="1:9" x14ac:dyDescent="0.25">
      <c r="A29" s="312" t="s">
        <v>617</v>
      </c>
      <c r="B29" s="302" t="s">
        <v>541</v>
      </c>
      <c r="C29" s="560" t="s">
        <v>1483</v>
      </c>
      <c r="D29" s="305">
        <v>1</v>
      </c>
      <c r="E29" s="305" t="s">
        <v>420</v>
      </c>
      <c r="F29" s="318" t="s">
        <v>829</v>
      </c>
      <c r="G29" s="311" t="s">
        <v>687</v>
      </c>
      <c r="H29" s="311"/>
      <c r="I29"/>
    </row>
    <row r="30" spans="1:9" x14ac:dyDescent="0.25">
      <c r="A30" s="312" t="s">
        <v>618</v>
      </c>
      <c r="B30" s="302" t="s">
        <v>542</v>
      </c>
      <c r="C30" s="560" t="s">
        <v>1483</v>
      </c>
      <c r="D30" s="305">
        <v>1</v>
      </c>
      <c r="E30" s="305" t="s">
        <v>414</v>
      </c>
      <c r="F30" s="318" t="s">
        <v>472</v>
      </c>
      <c r="G30" s="311" t="s">
        <v>688</v>
      </c>
      <c r="H30" s="311"/>
      <c r="I30"/>
    </row>
    <row r="31" spans="1:9" x14ac:dyDescent="0.25">
      <c r="A31" s="312" t="s">
        <v>619</v>
      </c>
      <c r="B31" s="302" t="s">
        <v>543</v>
      </c>
      <c r="C31" s="560" t="s">
        <v>1483</v>
      </c>
      <c r="D31" s="305">
        <v>1</v>
      </c>
      <c r="E31" s="305" t="s">
        <v>419</v>
      </c>
      <c r="F31" s="318" t="s">
        <v>458</v>
      </c>
      <c r="G31" s="311" t="s">
        <v>689</v>
      </c>
      <c r="H31" s="311"/>
      <c r="I31"/>
    </row>
    <row r="32" spans="1:9" x14ac:dyDescent="0.25">
      <c r="A32" s="312" t="s">
        <v>620</v>
      </c>
      <c r="B32" s="302" t="s">
        <v>544</v>
      </c>
      <c r="C32" s="560" t="s">
        <v>1483</v>
      </c>
      <c r="D32" s="305">
        <v>1</v>
      </c>
      <c r="E32" s="305" t="s">
        <v>417</v>
      </c>
      <c r="F32" s="318" t="s">
        <v>767</v>
      </c>
      <c r="G32" s="311" t="s">
        <v>690</v>
      </c>
      <c r="H32" s="311"/>
      <c r="I32"/>
    </row>
    <row r="33" spans="1:9" x14ac:dyDescent="0.25">
      <c r="A33" s="312" t="s">
        <v>621</v>
      </c>
      <c r="B33" s="302" t="s">
        <v>545</v>
      </c>
      <c r="C33" s="560" t="s">
        <v>1483</v>
      </c>
      <c r="D33" s="305">
        <v>1</v>
      </c>
      <c r="E33" s="305" t="s">
        <v>415</v>
      </c>
      <c r="F33" s="318" t="s">
        <v>834</v>
      </c>
      <c r="G33" s="311" t="s">
        <v>673</v>
      </c>
      <c r="H33" s="311"/>
      <c r="I33"/>
    </row>
    <row r="34" spans="1:9" x14ac:dyDescent="0.25">
      <c r="A34" s="312" t="s">
        <v>622</v>
      </c>
      <c r="B34" s="302" t="s">
        <v>546</v>
      </c>
      <c r="C34" s="560" t="s">
        <v>1483</v>
      </c>
      <c r="D34" s="305">
        <v>1</v>
      </c>
      <c r="E34" s="305" t="s">
        <v>480</v>
      </c>
      <c r="F34" s="318" t="s">
        <v>481</v>
      </c>
      <c r="G34" s="311" t="s">
        <v>685</v>
      </c>
      <c r="H34" s="311"/>
      <c r="I34"/>
    </row>
    <row r="35" spans="1:9" x14ac:dyDescent="0.25">
      <c r="A35" s="312" t="s">
        <v>623</v>
      </c>
      <c r="B35" s="302" t="s">
        <v>547</v>
      </c>
      <c r="C35" s="560" t="s">
        <v>1483</v>
      </c>
      <c r="D35" s="305">
        <v>0.51</v>
      </c>
      <c r="E35" s="305" t="s">
        <v>419</v>
      </c>
      <c r="F35" s="318" t="s">
        <v>458</v>
      </c>
      <c r="G35" s="311" t="s">
        <v>691</v>
      </c>
      <c r="H35" s="311"/>
      <c r="I35"/>
    </row>
    <row r="36" spans="1:9" x14ac:dyDescent="0.25">
      <c r="A36" s="312" t="s">
        <v>624</v>
      </c>
      <c r="B36" s="302" t="s">
        <v>548</v>
      </c>
      <c r="C36" s="560" t="s">
        <v>1483</v>
      </c>
      <c r="D36" s="305">
        <v>1</v>
      </c>
      <c r="E36" s="305" t="s">
        <v>415</v>
      </c>
      <c r="F36" s="318" t="s">
        <v>834</v>
      </c>
      <c r="G36" s="311" t="s">
        <v>682</v>
      </c>
      <c r="H36" s="311"/>
      <c r="I36"/>
    </row>
    <row r="37" spans="1:9" x14ac:dyDescent="0.25">
      <c r="A37" s="312" t="s">
        <v>625</v>
      </c>
      <c r="B37" s="302" t="s">
        <v>549</v>
      </c>
      <c r="C37" s="560" t="s">
        <v>1483</v>
      </c>
      <c r="D37" s="305">
        <v>1</v>
      </c>
      <c r="E37" s="305" t="s">
        <v>415</v>
      </c>
      <c r="F37" s="318" t="s">
        <v>834</v>
      </c>
      <c r="G37" s="311" t="s">
        <v>673</v>
      </c>
      <c r="H37" s="311"/>
      <c r="I37"/>
    </row>
    <row r="38" spans="1:9" x14ac:dyDescent="0.25">
      <c r="A38" s="312" t="s">
        <v>626</v>
      </c>
      <c r="B38" s="302" t="s">
        <v>550</v>
      </c>
      <c r="C38" s="560" t="s">
        <v>1483</v>
      </c>
      <c r="D38" s="305">
        <v>1</v>
      </c>
      <c r="E38" s="305" t="s">
        <v>432</v>
      </c>
      <c r="F38" s="318" t="s">
        <v>433</v>
      </c>
      <c r="G38" s="311" t="s">
        <v>692</v>
      </c>
      <c r="H38" s="311"/>
      <c r="I38"/>
    </row>
    <row r="39" spans="1:9" x14ac:dyDescent="0.25">
      <c r="A39" s="312" t="s">
        <v>627</v>
      </c>
      <c r="B39" s="302" t="s">
        <v>1501</v>
      </c>
      <c r="C39" s="560" t="s">
        <v>1483</v>
      </c>
      <c r="D39" s="305">
        <v>1</v>
      </c>
      <c r="E39" s="305" t="s">
        <v>412</v>
      </c>
      <c r="F39" s="318" t="s">
        <v>445</v>
      </c>
      <c r="G39" s="311" t="s">
        <v>693</v>
      </c>
      <c r="H39" s="311"/>
      <c r="I39"/>
    </row>
    <row r="40" spans="1:9" x14ac:dyDescent="0.25">
      <c r="A40" s="312" t="s">
        <v>628</v>
      </c>
      <c r="B40" s="302" t="s">
        <v>551</v>
      </c>
      <c r="C40" s="560" t="s">
        <v>1483</v>
      </c>
      <c r="D40" s="305">
        <v>1</v>
      </c>
      <c r="E40" s="305" t="s">
        <v>432</v>
      </c>
      <c r="F40" s="318" t="s">
        <v>433</v>
      </c>
      <c r="G40" s="311" t="s">
        <v>692</v>
      </c>
      <c r="H40" s="311"/>
      <c r="I40"/>
    </row>
    <row r="41" spans="1:9" x14ac:dyDescent="0.25">
      <c r="A41" s="312" t="s">
        <v>629</v>
      </c>
      <c r="B41" s="302" t="s">
        <v>552</v>
      </c>
      <c r="C41" s="560" t="s">
        <v>1483</v>
      </c>
      <c r="D41" s="305">
        <v>1</v>
      </c>
      <c r="E41" s="305" t="s">
        <v>841</v>
      </c>
      <c r="F41" s="318" t="s">
        <v>845</v>
      </c>
      <c r="G41" s="311" t="s">
        <v>694</v>
      </c>
      <c r="H41" s="311"/>
      <c r="I41"/>
    </row>
    <row r="42" spans="1:9" x14ac:dyDescent="0.25">
      <c r="A42" s="312" t="s">
        <v>630</v>
      </c>
      <c r="B42" s="302" t="s">
        <v>553</v>
      </c>
      <c r="C42" s="560" t="s">
        <v>1483</v>
      </c>
      <c r="D42" s="305">
        <v>1</v>
      </c>
      <c r="E42" s="305" t="s">
        <v>414</v>
      </c>
      <c r="F42" s="318" t="s">
        <v>443</v>
      </c>
      <c r="G42" s="311" t="s">
        <v>695</v>
      </c>
      <c r="H42" s="311"/>
      <c r="I42"/>
    </row>
    <row r="43" spans="1:9" x14ac:dyDescent="0.25">
      <c r="A43" s="312" t="s">
        <v>631</v>
      </c>
      <c r="B43" s="302" t="s">
        <v>554</v>
      </c>
      <c r="C43" s="560" t="s">
        <v>1483</v>
      </c>
      <c r="D43" s="305">
        <v>1</v>
      </c>
      <c r="E43" s="305" t="s">
        <v>414</v>
      </c>
      <c r="F43" s="318" t="s">
        <v>448</v>
      </c>
      <c r="G43" s="311" t="s">
        <v>696</v>
      </c>
      <c r="H43" s="311"/>
      <c r="I43"/>
    </row>
    <row r="44" spans="1:9" x14ac:dyDescent="0.25">
      <c r="A44" s="312" t="s">
        <v>632</v>
      </c>
      <c r="B44" s="302" t="s">
        <v>555</v>
      </c>
      <c r="C44" s="560" t="s">
        <v>1483</v>
      </c>
      <c r="D44" s="305">
        <v>1</v>
      </c>
      <c r="E44" s="305" t="s">
        <v>419</v>
      </c>
      <c r="F44" s="318" t="s">
        <v>458</v>
      </c>
      <c r="G44" s="311" t="s">
        <v>697</v>
      </c>
      <c r="H44" s="311"/>
      <c r="I44"/>
    </row>
    <row r="45" spans="1:9" x14ac:dyDescent="0.25">
      <c r="A45" s="312" t="s">
        <v>633</v>
      </c>
      <c r="B45" s="302" t="s">
        <v>556</v>
      </c>
      <c r="C45" s="560" t="s">
        <v>1483</v>
      </c>
      <c r="D45" s="305">
        <v>1</v>
      </c>
      <c r="E45" s="305" t="s">
        <v>428</v>
      </c>
      <c r="F45" s="318" t="s">
        <v>705</v>
      </c>
      <c r="G45" s="311" t="s">
        <v>677</v>
      </c>
      <c r="H45" s="311"/>
      <c r="I45"/>
    </row>
    <row r="46" spans="1:9" x14ac:dyDescent="0.25">
      <c r="A46" s="312" t="s">
        <v>634</v>
      </c>
      <c r="B46" s="302" t="s">
        <v>557</v>
      </c>
      <c r="C46" s="560" t="s">
        <v>1483</v>
      </c>
      <c r="D46" s="305">
        <v>0.51</v>
      </c>
      <c r="E46" s="305" t="s">
        <v>432</v>
      </c>
      <c r="F46" s="318" t="s">
        <v>812</v>
      </c>
      <c r="G46" s="311" t="s">
        <v>698</v>
      </c>
      <c r="H46" s="311"/>
      <c r="I46"/>
    </row>
    <row r="47" spans="1:9" x14ac:dyDescent="0.25">
      <c r="A47" s="312" t="s">
        <v>635</v>
      </c>
      <c r="B47" s="302" t="s">
        <v>558</v>
      </c>
      <c r="C47" s="560" t="s">
        <v>1483</v>
      </c>
      <c r="D47" s="305">
        <v>1</v>
      </c>
      <c r="E47" s="305" t="s">
        <v>415</v>
      </c>
      <c r="F47" s="318" t="s">
        <v>834</v>
      </c>
      <c r="G47" s="311" t="s">
        <v>682</v>
      </c>
      <c r="H47" s="311"/>
      <c r="I47"/>
    </row>
    <row r="48" spans="1:9" x14ac:dyDescent="0.25">
      <c r="A48" s="312" t="s">
        <v>636</v>
      </c>
      <c r="B48" s="302" t="s">
        <v>559</v>
      </c>
      <c r="C48" s="560" t="s">
        <v>1483</v>
      </c>
      <c r="D48" s="305">
        <v>1</v>
      </c>
      <c r="E48" s="305" t="s">
        <v>415</v>
      </c>
      <c r="F48" s="318" t="s">
        <v>834</v>
      </c>
      <c r="G48" s="311" t="s">
        <v>682</v>
      </c>
      <c r="H48" s="311"/>
      <c r="I48"/>
    </row>
    <row r="49" spans="1:9" x14ac:dyDescent="0.25">
      <c r="A49" s="312" t="s">
        <v>637</v>
      </c>
      <c r="B49" s="302" t="s">
        <v>560</v>
      </c>
      <c r="C49" s="560" t="s">
        <v>1483</v>
      </c>
      <c r="D49" s="305">
        <v>0.51</v>
      </c>
      <c r="E49" s="305" t="s">
        <v>432</v>
      </c>
      <c r="F49" s="318" t="s">
        <v>812</v>
      </c>
      <c r="G49" s="311" t="s">
        <v>698</v>
      </c>
      <c r="H49" s="311"/>
      <c r="I49"/>
    </row>
    <row r="50" spans="1:9" x14ac:dyDescent="0.25">
      <c r="A50" s="312" t="s">
        <v>638</v>
      </c>
      <c r="B50" s="302" t="s">
        <v>561</v>
      </c>
      <c r="C50" s="560" t="s">
        <v>1483</v>
      </c>
      <c r="D50" s="305">
        <v>1</v>
      </c>
      <c r="E50" s="305" t="s">
        <v>841</v>
      </c>
      <c r="F50" s="318" t="s">
        <v>847</v>
      </c>
      <c r="G50" s="311" t="s">
        <v>699</v>
      </c>
      <c r="H50" s="311"/>
      <c r="I50"/>
    </row>
    <row r="51" spans="1:9" x14ac:dyDescent="0.25">
      <c r="A51" s="312" t="s">
        <v>639</v>
      </c>
      <c r="B51" s="302" t="s">
        <v>1500</v>
      </c>
      <c r="C51" s="560" t="s">
        <v>1483</v>
      </c>
      <c r="D51" s="305">
        <v>1</v>
      </c>
      <c r="E51" s="305" t="s">
        <v>414</v>
      </c>
      <c r="F51" s="318" t="s">
        <v>448</v>
      </c>
      <c r="G51" s="311" t="s">
        <v>681</v>
      </c>
      <c r="H51" s="311"/>
      <c r="I51"/>
    </row>
    <row r="52" spans="1:9" x14ac:dyDescent="0.25">
      <c r="A52" s="312" t="s">
        <v>640</v>
      </c>
      <c r="B52" s="302" t="s">
        <v>562</v>
      </c>
      <c r="C52" s="560" t="s">
        <v>1483</v>
      </c>
      <c r="D52" s="305">
        <v>1</v>
      </c>
      <c r="E52" s="305" t="s">
        <v>414</v>
      </c>
      <c r="F52" s="318" t="s">
        <v>443</v>
      </c>
      <c r="G52" s="311" t="s">
        <v>700</v>
      </c>
      <c r="H52" s="311"/>
      <c r="I52"/>
    </row>
    <row r="53" spans="1:9" x14ac:dyDescent="0.25">
      <c r="A53" s="312" t="s">
        <v>641</v>
      </c>
      <c r="B53" s="302" t="s">
        <v>563</v>
      </c>
      <c r="C53" s="560" t="s">
        <v>1483</v>
      </c>
      <c r="D53" s="305">
        <v>1</v>
      </c>
      <c r="E53" s="305" t="s">
        <v>414</v>
      </c>
      <c r="F53" s="318" t="s">
        <v>443</v>
      </c>
      <c r="G53" s="311" t="s">
        <v>701</v>
      </c>
      <c r="H53" s="311"/>
      <c r="I53"/>
    </row>
    <row r="54" spans="1:9" x14ac:dyDescent="0.25">
      <c r="A54" s="312" t="s">
        <v>643</v>
      </c>
      <c r="B54" s="303" t="s">
        <v>578</v>
      </c>
      <c r="C54" s="561" t="s">
        <v>1485</v>
      </c>
      <c r="D54" s="557">
        <v>0</v>
      </c>
      <c r="E54" s="305" t="s">
        <v>414</v>
      </c>
      <c r="F54" s="318" t="s">
        <v>443</v>
      </c>
      <c r="G54" s="311" t="s">
        <v>702</v>
      </c>
      <c r="H54" s="311"/>
      <c r="I54"/>
    </row>
    <row r="55" spans="1:9" x14ac:dyDescent="0.25">
      <c r="A55" s="312" t="s">
        <v>644</v>
      </c>
      <c r="B55" s="303" t="s">
        <v>579</v>
      </c>
      <c r="C55" s="561" t="s">
        <v>1485</v>
      </c>
      <c r="D55" s="557">
        <v>0</v>
      </c>
      <c r="E55" s="305" t="s">
        <v>414</v>
      </c>
      <c r="F55" s="318" t="s">
        <v>443</v>
      </c>
      <c r="G55" s="311" t="s">
        <v>702</v>
      </c>
      <c r="H55" s="311"/>
      <c r="I55"/>
    </row>
    <row r="56" spans="1:9" x14ac:dyDescent="0.25">
      <c r="A56" s="312" t="s">
        <v>645</v>
      </c>
      <c r="B56" s="303" t="s">
        <v>586</v>
      </c>
      <c r="C56" s="561" t="s">
        <v>1485</v>
      </c>
      <c r="D56" s="557">
        <v>0</v>
      </c>
      <c r="E56" s="305" t="s">
        <v>453</v>
      </c>
      <c r="F56" s="318" t="s">
        <v>778</v>
      </c>
      <c r="G56" s="311" t="s">
        <v>670</v>
      </c>
      <c r="H56" s="311"/>
      <c r="I56"/>
    </row>
    <row r="57" spans="1:9" x14ac:dyDescent="0.25">
      <c r="A57" s="312" t="s">
        <v>646</v>
      </c>
      <c r="B57" s="303" t="s">
        <v>575</v>
      </c>
      <c r="C57" s="561" t="s">
        <v>1485</v>
      </c>
      <c r="D57" s="557">
        <v>0</v>
      </c>
      <c r="E57" s="305" t="s">
        <v>414</v>
      </c>
      <c r="F57" s="318" t="s">
        <v>443</v>
      </c>
      <c r="G57" s="311" t="s">
        <v>700</v>
      </c>
      <c r="H57" s="311"/>
      <c r="I57"/>
    </row>
    <row r="58" spans="1:9" x14ac:dyDescent="0.25">
      <c r="A58" s="312" t="s">
        <v>647</v>
      </c>
      <c r="B58" s="303" t="s">
        <v>567</v>
      </c>
      <c r="C58" s="561" t="s">
        <v>1485</v>
      </c>
      <c r="D58" s="557">
        <v>0</v>
      </c>
      <c r="E58" s="305" t="s">
        <v>419</v>
      </c>
      <c r="F58" s="318" t="s">
        <v>458</v>
      </c>
      <c r="G58" s="311" t="s">
        <v>691</v>
      </c>
      <c r="H58" s="311"/>
      <c r="I58"/>
    </row>
    <row r="59" spans="1:9" x14ac:dyDescent="0.25">
      <c r="A59" s="312" t="s">
        <v>648</v>
      </c>
      <c r="B59" s="303" t="s">
        <v>582</v>
      </c>
      <c r="C59" s="561" t="s">
        <v>1485</v>
      </c>
      <c r="D59" s="557">
        <v>0</v>
      </c>
      <c r="E59" s="305" t="s">
        <v>414</v>
      </c>
      <c r="F59" s="318" t="s">
        <v>472</v>
      </c>
      <c r="G59" s="311" t="s">
        <v>703</v>
      </c>
      <c r="H59" s="311"/>
      <c r="I59"/>
    </row>
    <row r="60" spans="1:9" x14ac:dyDescent="0.25">
      <c r="A60" s="312" t="s">
        <v>649</v>
      </c>
      <c r="B60" s="303" t="s">
        <v>585</v>
      </c>
      <c r="C60" s="561" t="s">
        <v>1485</v>
      </c>
      <c r="D60" s="557">
        <v>0</v>
      </c>
      <c r="E60" s="305" t="s">
        <v>414</v>
      </c>
      <c r="F60" s="318" t="s">
        <v>472</v>
      </c>
      <c r="G60" s="311" t="s">
        <v>703</v>
      </c>
      <c r="H60" s="311"/>
      <c r="I60"/>
    </row>
    <row r="61" spans="1:9" x14ac:dyDescent="0.25">
      <c r="A61" s="312" t="s">
        <v>650</v>
      </c>
      <c r="B61" s="303" t="s">
        <v>587</v>
      </c>
      <c r="C61" s="561" t="s">
        <v>1485</v>
      </c>
      <c r="D61" s="557">
        <v>0</v>
      </c>
      <c r="E61" s="305" t="s">
        <v>417</v>
      </c>
      <c r="F61" s="318" t="s">
        <v>771</v>
      </c>
      <c r="G61" s="311" t="s">
        <v>675</v>
      </c>
      <c r="H61" s="311"/>
      <c r="I61"/>
    </row>
    <row r="62" spans="1:9" x14ac:dyDescent="0.25">
      <c r="A62" s="312" t="s">
        <v>651</v>
      </c>
      <c r="B62" s="303" t="s">
        <v>566</v>
      </c>
      <c r="C62" s="561" t="s">
        <v>1485</v>
      </c>
      <c r="D62" s="557">
        <v>0</v>
      </c>
      <c r="E62" s="305" t="s">
        <v>419</v>
      </c>
      <c r="F62" s="318" t="s">
        <v>458</v>
      </c>
      <c r="G62" s="311" t="s">
        <v>689</v>
      </c>
      <c r="H62" s="311"/>
      <c r="I62"/>
    </row>
    <row r="63" spans="1:9" x14ac:dyDescent="0.25">
      <c r="A63" s="312" t="s">
        <v>652</v>
      </c>
      <c r="B63" s="303" t="s">
        <v>581</v>
      </c>
      <c r="C63" s="561" t="s">
        <v>1485</v>
      </c>
      <c r="D63" s="557">
        <v>0</v>
      </c>
      <c r="E63" s="305" t="s">
        <v>414</v>
      </c>
      <c r="F63" s="318" t="s">
        <v>443</v>
      </c>
      <c r="G63" s="311" t="s">
        <v>702</v>
      </c>
      <c r="H63" s="311"/>
      <c r="I63"/>
    </row>
    <row r="64" spans="1:9" x14ac:dyDescent="0.25">
      <c r="A64" s="312" t="s">
        <v>653</v>
      </c>
      <c r="B64" s="303" t="s">
        <v>583</v>
      </c>
      <c r="C64" s="561" t="s">
        <v>1485</v>
      </c>
      <c r="D64" s="557">
        <v>0</v>
      </c>
      <c r="E64" s="305" t="s">
        <v>414</v>
      </c>
      <c r="F64" s="318" t="s">
        <v>472</v>
      </c>
      <c r="G64" s="311" t="s">
        <v>703</v>
      </c>
      <c r="H64" s="311"/>
      <c r="I64"/>
    </row>
    <row r="65" spans="1:9" x14ac:dyDescent="0.25">
      <c r="A65" s="312" t="s">
        <v>654</v>
      </c>
      <c r="B65" s="303" t="s">
        <v>564</v>
      </c>
      <c r="C65" s="561" t="s">
        <v>1485</v>
      </c>
      <c r="D65" s="557">
        <v>0</v>
      </c>
      <c r="E65" s="305" t="s">
        <v>419</v>
      </c>
      <c r="F65" s="318" t="s">
        <v>458</v>
      </c>
      <c r="G65" s="311" t="s">
        <v>689</v>
      </c>
      <c r="H65" s="311"/>
      <c r="I65"/>
    </row>
    <row r="66" spans="1:9" x14ac:dyDescent="0.25">
      <c r="A66" s="312" t="s">
        <v>1479</v>
      </c>
      <c r="B66" s="303" t="s">
        <v>1477</v>
      </c>
      <c r="C66" s="561" t="s">
        <v>1485</v>
      </c>
      <c r="D66" s="557">
        <v>0.34</v>
      </c>
      <c r="E66" s="305" t="s">
        <v>414</v>
      </c>
      <c r="F66" s="318" t="s">
        <v>448</v>
      </c>
      <c r="G66" s="311" t="s">
        <v>679</v>
      </c>
      <c r="H66" s="311"/>
      <c r="I66"/>
    </row>
    <row r="67" spans="1:9" x14ac:dyDescent="0.25">
      <c r="A67" s="312" t="s">
        <v>1480</v>
      </c>
      <c r="B67" s="303" t="s">
        <v>1478</v>
      </c>
      <c r="C67" s="561" t="s">
        <v>1485</v>
      </c>
      <c r="D67" s="557">
        <v>0.20649999999999999</v>
      </c>
      <c r="E67" s="305" t="s">
        <v>414</v>
      </c>
      <c r="F67" s="318" t="s">
        <v>448</v>
      </c>
      <c r="G67" s="311" t="s">
        <v>679</v>
      </c>
      <c r="H67" s="311"/>
      <c r="I67"/>
    </row>
    <row r="68" spans="1:9" x14ac:dyDescent="0.25">
      <c r="A68" s="312" t="s">
        <v>655</v>
      </c>
      <c r="B68" s="303" t="s">
        <v>569</v>
      </c>
      <c r="C68" s="561" t="s">
        <v>1485</v>
      </c>
      <c r="D68" s="557">
        <v>0</v>
      </c>
      <c r="E68" s="305" t="s">
        <v>419</v>
      </c>
      <c r="F68" s="318" t="s">
        <v>458</v>
      </c>
      <c r="G68" s="311" t="s">
        <v>691</v>
      </c>
      <c r="H68" s="311"/>
      <c r="I68"/>
    </row>
    <row r="69" spans="1:9" x14ac:dyDescent="0.25">
      <c r="A69" s="312" t="s">
        <v>656</v>
      </c>
      <c r="B69" s="303" t="s">
        <v>1466</v>
      </c>
      <c r="C69" s="561" t="s">
        <v>1485</v>
      </c>
      <c r="D69" s="557">
        <v>0</v>
      </c>
      <c r="E69" s="305" t="s">
        <v>415</v>
      </c>
      <c r="F69" s="318" t="s">
        <v>834</v>
      </c>
      <c r="G69" s="311" t="s">
        <v>682</v>
      </c>
      <c r="H69" s="311"/>
      <c r="I69"/>
    </row>
    <row r="70" spans="1:9" x14ac:dyDescent="0.25">
      <c r="A70" s="312" t="s">
        <v>657</v>
      </c>
      <c r="B70" s="303" t="s">
        <v>573</v>
      </c>
      <c r="C70" s="561" t="s">
        <v>1485</v>
      </c>
      <c r="D70" s="557">
        <v>0</v>
      </c>
      <c r="E70" s="305" t="s">
        <v>415</v>
      </c>
      <c r="F70" s="318" t="s">
        <v>834</v>
      </c>
      <c r="G70" s="311" t="s">
        <v>682</v>
      </c>
      <c r="H70" s="311"/>
      <c r="I70"/>
    </row>
    <row r="71" spans="1:9" x14ac:dyDescent="0.25">
      <c r="A71" s="312" t="s">
        <v>658</v>
      </c>
      <c r="B71" s="303" t="s">
        <v>571</v>
      </c>
      <c r="C71" s="561" t="s">
        <v>1485</v>
      </c>
      <c r="D71" s="557">
        <v>0</v>
      </c>
      <c r="E71" s="305" t="s">
        <v>415</v>
      </c>
      <c r="F71" s="318" t="s">
        <v>834</v>
      </c>
      <c r="G71" s="311" t="s">
        <v>682</v>
      </c>
      <c r="H71" s="311"/>
      <c r="I71"/>
    </row>
    <row r="72" spans="1:9" x14ac:dyDescent="0.25">
      <c r="A72" s="312" t="s">
        <v>659</v>
      </c>
      <c r="B72" s="303" t="s">
        <v>572</v>
      </c>
      <c r="C72" s="561" t="s">
        <v>1485</v>
      </c>
      <c r="D72" s="557">
        <v>0</v>
      </c>
      <c r="E72" s="305" t="s">
        <v>415</v>
      </c>
      <c r="F72" s="318" t="s">
        <v>834</v>
      </c>
      <c r="G72" s="311" t="s">
        <v>682</v>
      </c>
      <c r="H72" s="311"/>
      <c r="I72"/>
    </row>
    <row r="73" spans="1:9" x14ac:dyDescent="0.25">
      <c r="A73" s="312" t="s">
        <v>660</v>
      </c>
      <c r="B73" s="303" t="s">
        <v>568</v>
      </c>
      <c r="C73" s="561" t="s">
        <v>1485</v>
      </c>
      <c r="D73" s="557">
        <v>0</v>
      </c>
      <c r="E73" s="305" t="s">
        <v>419</v>
      </c>
      <c r="F73" s="318" t="s">
        <v>458</v>
      </c>
      <c r="G73" s="311" t="s">
        <v>691</v>
      </c>
      <c r="H73" s="311"/>
      <c r="I73"/>
    </row>
    <row r="74" spans="1:9" x14ac:dyDescent="0.25">
      <c r="A74" s="312" t="s">
        <v>661</v>
      </c>
      <c r="B74" s="303" t="s">
        <v>576</v>
      </c>
      <c r="C74" s="561" t="s">
        <v>1485</v>
      </c>
      <c r="D74" s="557">
        <v>0</v>
      </c>
      <c r="E74" s="305" t="s">
        <v>414</v>
      </c>
      <c r="F74" s="318" t="s">
        <v>443</v>
      </c>
      <c r="G74" s="311" t="s">
        <v>700</v>
      </c>
      <c r="H74" s="311"/>
      <c r="I74"/>
    </row>
    <row r="75" spans="1:9" x14ac:dyDescent="0.25">
      <c r="A75" s="312" t="s">
        <v>662</v>
      </c>
      <c r="B75" s="303" t="s">
        <v>577</v>
      </c>
      <c r="C75" s="561" t="s">
        <v>1485</v>
      </c>
      <c r="D75" s="557">
        <v>0</v>
      </c>
      <c r="E75" s="305" t="s">
        <v>414</v>
      </c>
      <c r="F75" s="318" t="s">
        <v>443</v>
      </c>
      <c r="G75" s="311" t="s">
        <v>702</v>
      </c>
      <c r="H75" s="311"/>
      <c r="I75"/>
    </row>
    <row r="76" spans="1:9" x14ac:dyDescent="0.25">
      <c r="A76" s="312" t="s">
        <v>663</v>
      </c>
      <c r="B76" s="303" t="s">
        <v>584</v>
      </c>
      <c r="C76" s="561" t="s">
        <v>1485</v>
      </c>
      <c r="D76" s="557">
        <v>0</v>
      </c>
      <c r="E76" s="305" t="s">
        <v>414</v>
      </c>
      <c r="F76" s="318" t="s">
        <v>472</v>
      </c>
      <c r="G76" s="311" t="s">
        <v>703</v>
      </c>
      <c r="H76" s="311"/>
      <c r="I76"/>
    </row>
    <row r="77" spans="1:9" x14ac:dyDescent="0.25">
      <c r="A77" s="312" t="s">
        <v>1476</v>
      </c>
      <c r="B77" s="303" t="s">
        <v>1475</v>
      </c>
      <c r="C77" s="561" t="s">
        <v>1485</v>
      </c>
      <c r="D77" s="557">
        <v>0</v>
      </c>
      <c r="E77" s="305" t="s">
        <v>419</v>
      </c>
      <c r="F77" s="318" t="s">
        <v>458</v>
      </c>
      <c r="G77" s="311" t="s">
        <v>697</v>
      </c>
      <c r="H77" s="311"/>
      <c r="I77"/>
    </row>
    <row r="78" spans="1:9" x14ac:dyDescent="0.25">
      <c r="A78" s="312" t="s">
        <v>664</v>
      </c>
      <c r="B78" s="302" t="s">
        <v>580</v>
      </c>
      <c r="C78" s="561" t="s">
        <v>1485</v>
      </c>
      <c r="D78" s="557">
        <v>0</v>
      </c>
      <c r="E78" s="305" t="s">
        <v>414</v>
      </c>
      <c r="F78" s="318" t="s">
        <v>443</v>
      </c>
      <c r="G78" s="311" t="s">
        <v>702</v>
      </c>
      <c r="H78" s="311"/>
      <c r="I78"/>
    </row>
    <row r="79" spans="1:9" x14ac:dyDescent="0.25">
      <c r="A79" s="312" t="s">
        <v>665</v>
      </c>
      <c r="B79" s="303" t="s">
        <v>570</v>
      </c>
      <c r="C79" s="561" t="s">
        <v>1485</v>
      </c>
      <c r="D79" s="557">
        <v>0</v>
      </c>
      <c r="E79" s="305" t="s">
        <v>419</v>
      </c>
      <c r="F79" s="318" t="s">
        <v>458</v>
      </c>
      <c r="G79" s="311" t="s">
        <v>697</v>
      </c>
      <c r="H79" s="311"/>
      <c r="I79"/>
    </row>
    <row r="80" spans="1:9" x14ac:dyDescent="0.25">
      <c r="A80" s="312" t="s">
        <v>666</v>
      </c>
      <c r="B80" s="303" t="s">
        <v>565</v>
      </c>
      <c r="C80" s="561" t="s">
        <v>1485</v>
      </c>
      <c r="D80" s="557">
        <v>0</v>
      </c>
      <c r="E80" s="305" t="s">
        <v>419</v>
      </c>
      <c r="F80" s="318" t="s">
        <v>458</v>
      </c>
      <c r="G80" s="311" t="s">
        <v>689</v>
      </c>
      <c r="H80" s="311"/>
      <c r="I80"/>
    </row>
    <row r="81" spans="1:9" x14ac:dyDescent="0.25">
      <c r="A81" s="312" t="s">
        <v>667</v>
      </c>
      <c r="B81" s="303" t="s">
        <v>574</v>
      </c>
      <c r="C81" s="561" t="s">
        <v>1485</v>
      </c>
      <c r="D81" s="557">
        <v>0</v>
      </c>
      <c r="E81" s="305" t="s">
        <v>415</v>
      </c>
      <c r="F81" s="318" t="s">
        <v>834</v>
      </c>
      <c r="G81" s="311" t="s">
        <v>682</v>
      </c>
      <c r="H81" s="311"/>
      <c r="I81"/>
    </row>
  </sheetData>
  <sortState ref="B63:E87">
    <sortCondition ref="B63:B87"/>
  </sortState>
  <mergeCells count="1">
    <mergeCell ref="E1:G1"/>
  </mergeCells>
  <pageMargins left="0.7" right="0.7" top="0.75" bottom="0.75" header="0.3" footer="0.3"/>
  <pageSetup paperSize="9" orientation="portrait" horizontalDpi="4294967295" verticalDpi="4294967295" r:id="rId1"/>
  <ignoredErrors>
    <ignoredError sqref="G68:G81 A68:A81 A2:A19 G2:G19 G66:G67 A23:A66 G23:G65 A20:A22 G20:G2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31"/>
  <sheetViews>
    <sheetView workbookViewId="0">
      <pane xSplit="5" ySplit="2" topLeftCell="F6" activePane="bottomRight" state="frozen"/>
      <selection pane="topRight" activeCell="F1" sqref="F1"/>
      <selection pane="bottomLeft" activeCell="A3" sqref="A3"/>
      <selection pane="bottomRight" activeCell="B126" sqref="B126:I126"/>
    </sheetView>
  </sheetViews>
  <sheetFormatPr defaultRowHeight="15" x14ac:dyDescent="0.25"/>
  <cols>
    <col min="2" max="2" width="106" bestFit="1" customWidth="1"/>
    <col min="3" max="3" width="20.7109375" style="307" hidden="1" customWidth="1"/>
    <col min="4" max="4" width="5.28515625" bestFit="1" customWidth="1"/>
    <col min="5" max="5" width="5.28515625" style="307" customWidth="1"/>
    <col min="6" max="85" width="12.7109375" customWidth="1"/>
  </cols>
  <sheetData>
    <row r="1" spans="1:85" s="307" customFormat="1" x14ac:dyDescent="0.25">
      <c r="F1" s="307" t="s">
        <v>516</v>
      </c>
      <c r="G1" s="307" t="s">
        <v>517</v>
      </c>
      <c r="H1" s="307" t="s">
        <v>578</v>
      </c>
      <c r="I1" s="307" t="s">
        <v>579</v>
      </c>
      <c r="J1" s="307" t="s">
        <v>586</v>
      </c>
      <c r="K1" s="323" t="s">
        <v>518</v>
      </c>
      <c r="L1" s="307" t="s">
        <v>590</v>
      </c>
      <c r="M1" s="307" t="s">
        <v>575</v>
      </c>
      <c r="N1" s="307" t="s">
        <v>567</v>
      </c>
      <c r="O1" s="307" t="s">
        <v>582</v>
      </c>
      <c r="P1" s="307" t="s">
        <v>585</v>
      </c>
      <c r="Q1" s="307" t="s">
        <v>519</v>
      </c>
      <c r="R1" s="307" t="s">
        <v>587</v>
      </c>
      <c r="S1" s="307" t="s">
        <v>566</v>
      </c>
      <c r="T1" s="307" t="s">
        <v>581</v>
      </c>
      <c r="U1" s="323" t="s">
        <v>1465</v>
      </c>
      <c r="V1" s="307" t="s">
        <v>583</v>
      </c>
      <c r="W1" s="307" t="s">
        <v>520</v>
      </c>
      <c r="X1" s="307" t="s">
        <v>521</v>
      </c>
      <c r="Y1" s="307" t="s">
        <v>564</v>
      </c>
      <c r="Z1" s="307" t="s">
        <v>522</v>
      </c>
      <c r="AA1" s="307" t="s">
        <v>523</v>
      </c>
      <c r="AB1" s="307" t="s">
        <v>524</v>
      </c>
      <c r="AC1" s="323" t="s">
        <v>525</v>
      </c>
      <c r="AD1" s="307" t="s">
        <v>526</v>
      </c>
      <c r="AE1" s="323" t="s">
        <v>1477</v>
      </c>
      <c r="AF1" s="323" t="s">
        <v>527</v>
      </c>
      <c r="AG1" s="323" t="s">
        <v>1478</v>
      </c>
      <c r="AH1" s="307" t="s">
        <v>528</v>
      </c>
      <c r="AI1" s="307" t="s">
        <v>529</v>
      </c>
      <c r="AJ1" s="307" t="s">
        <v>530</v>
      </c>
      <c r="AK1" s="307" t="s">
        <v>531</v>
      </c>
      <c r="AL1" s="307" t="s">
        <v>569</v>
      </c>
      <c r="AM1" s="307" t="s">
        <v>532</v>
      </c>
      <c r="AN1" s="323" t="s">
        <v>533</v>
      </c>
      <c r="AO1" s="323" t="s">
        <v>534</v>
      </c>
      <c r="AP1" s="323" t="s">
        <v>1466</v>
      </c>
      <c r="AQ1" s="323" t="s">
        <v>535</v>
      </c>
      <c r="AR1" s="307" t="s">
        <v>573</v>
      </c>
      <c r="AS1" s="307" t="s">
        <v>571</v>
      </c>
      <c r="AT1" s="323" t="s">
        <v>536</v>
      </c>
      <c r="AU1" s="307" t="s">
        <v>572</v>
      </c>
      <c r="AV1" s="307" t="s">
        <v>537</v>
      </c>
      <c r="AW1" s="307" t="s">
        <v>538</v>
      </c>
      <c r="AX1" s="307" t="s">
        <v>568</v>
      </c>
      <c r="AY1" s="307" t="s">
        <v>576</v>
      </c>
      <c r="AZ1" s="307" t="s">
        <v>539</v>
      </c>
      <c r="BA1" s="307" t="s">
        <v>577</v>
      </c>
      <c r="BB1" s="307" t="s">
        <v>584</v>
      </c>
      <c r="BC1" s="307" t="s">
        <v>580</v>
      </c>
      <c r="BD1" s="323" t="s">
        <v>540</v>
      </c>
      <c r="BE1" s="307" t="s">
        <v>541</v>
      </c>
      <c r="BF1" s="307" t="s">
        <v>542</v>
      </c>
      <c r="BG1" s="323" t="s">
        <v>1475</v>
      </c>
      <c r="BH1" s="307" t="s">
        <v>543</v>
      </c>
      <c r="BI1" s="307" t="s">
        <v>544</v>
      </c>
      <c r="BJ1" s="307" t="s">
        <v>570</v>
      </c>
      <c r="BK1" s="307" t="s">
        <v>545</v>
      </c>
      <c r="BL1" s="307" t="s">
        <v>546</v>
      </c>
      <c r="BM1" s="307" t="s">
        <v>547</v>
      </c>
      <c r="BN1" s="323" t="s">
        <v>548</v>
      </c>
      <c r="BO1" s="307" t="s">
        <v>549</v>
      </c>
      <c r="BP1" s="307" t="s">
        <v>550</v>
      </c>
      <c r="BQ1" s="323" t="s">
        <v>1501</v>
      </c>
      <c r="BR1" s="307" t="s">
        <v>551</v>
      </c>
      <c r="BS1" s="307" t="s">
        <v>552</v>
      </c>
      <c r="BT1" s="307" t="s">
        <v>1467</v>
      </c>
      <c r="BU1" s="307" t="s">
        <v>565</v>
      </c>
      <c r="BV1" s="307" t="s">
        <v>554</v>
      </c>
      <c r="BW1" s="307" t="s">
        <v>555</v>
      </c>
      <c r="BX1" s="307" t="s">
        <v>556</v>
      </c>
      <c r="BY1" s="307" t="s">
        <v>574</v>
      </c>
      <c r="BZ1" s="307" t="s">
        <v>557</v>
      </c>
      <c r="CA1" s="307" t="s">
        <v>558</v>
      </c>
      <c r="CB1" s="323" t="s">
        <v>559</v>
      </c>
      <c r="CC1" s="307" t="s">
        <v>560</v>
      </c>
      <c r="CD1" s="307" t="s">
        <v>561</v>
      </c>
      <c r="CE1" s="323" t="s">
        <v>1500</v>
      </c>
      <c r="CF1" s="307" t="s">
        <v>562</v>
      </c>
      <c r="CG1" s="307" t="s">
        <v>563</v>
      </c>
    </row>
    <row r="2" spans="1:85" x14ac:dyDescent="0.25">
      <c r="A2" s="319" t="s">
        <v>642</v>
      </c>
      <c r="B2" s="319" t="s">
        <v>864</v>
      </c>
      <c r="C2" s="319"/>
      <c r="D2" s="319" t="s">
        <v>865</v>
      </c>
      <c r="E2" s="319" t="s">
        <v>1457</v>
      </c>
      <c r="F2" s="319">
        <v>2015</v>
      </c>
      <c r="G2" s="322">
        <v>2015</v>
      </c>
      <c r="H2" s="324">
        <v>2015</v>
      </c>
      <c r="I2" s="325">
        <v>2015</v>
      </c>
      <c r="J2" s="326">
        <v>2015</v>
      </c>
      <c r="K2" s="327">
        <v>2015</v>
      </c>
      <c r="L2" s="328">
        <v>2015</v>
      </c>
      <c r="M2" s="329">
        <v>2015</v>
      </c>
      <c r="N2" s="330">
        <v>2015</v>
      </c>
      <c r="O2" s="331">
        <v>2015</v>
      </c>
      <c r="P2" s="333">
        <v>2015</v>
      </c>
      <c r="Q2" s="334">
        <v>2015</v>
      </c>
      <c r="R2" s="335">
        <v>2015</v>
      </c>
      <c r="S2" s="336">
        <v>2015</v>
      </c>
      <c r="T2" s="337">
        <v>2015</v>
      </c>
      <c r="U2" s="338">
        <v>2015</v>
      </c>
      <c r="V2" s="339">
        <v>2015</v>
      </c>
      <c r="W2" s="340">
        <v>2015</v>
      </c>
      <c r="X2" s="341">
        <v>2015</v>
      </c>
      <c r="Y2" s="342">
        <v>2015</v>
      </c>
      <c r="Z2" s="343">
        <v>2015</v>
      </c>
      <c r="AA2" s="344">
        <v>2015</v>
      </c>
      <c r="AB2" s="345">
        <v>2015</v>
      </c>
      <c r="AC2" s="346">
        <v>2015</v>
      </c>
      <c r="AD2" s="347">
        <v>2015</v>
      </c>
      <c r="AE2" s="348">
        <v>2015</v>
      </c>
      <c r="AF2" s="349">
        <v>2015</v>
      </c>
      <c r="AG2" s="350">
        <v>2015</v>
      </c>
      <c r="AH2" s="351">
        <v>2015</v>
      </c>
      <c r="AI2" s="352">
        <v>2015</v>
      </c>
      <c r="AJ2" s="353">
        <v>2015</v>
      </c>
      <c r="AK2" s="354">
        <v>2015</v>
      </c>
      <c r="AL2" s="355">
        <v>2015</v>
      </c>
      <c r="AM2" s="356">
        <v>2015</v>
      </c>
      <c r="AN2" s="357">
        <v>2015</v>
      </c>
      <c r="AO2" s="358">
        <v>2015</v>
      </c>
      <c r="AP2" s="359">
        <v>2015</v>
      </c>
      <c r="AQ2" s="360">
        <v>2015</v>
      </c>
      <c r="AR2" s="361">
        <v>2015</v>
      </c>
      <c r="AS2" s="362">
        <v>2015</v>
      </c>
      <c r="AT2" s="363">
        <v>2015</v>
      </c>
      <c r="AU2" s="364">
        <v>2015</v>
      </c>
      <c r="AV2" s="365">
        <v>2015</v>
      </c>
      <c r="AW2" s="366">
        <v>2015</v>
      </c>
      <c r="AX2" s="367">
        <v>2015</v>
      </c>
      <c r="AY2" s="368">
        <v>2015</v>
      </c>
      <c r="AZ2" s="369">
        <v>2015</v>
      </c>
      <c r="BA2" s="370">
        <v>2015</v>
      </c>
      <c r="BB2" s="371">
        <v>2015</v>
      </c>
      <c r="BC2" s="372">
        <v>2015</v>
      </c>
      <c r="BD2" s="373">
        <v>2015</v>
      </c>
      <c r="BE2" s="374">
        <v>2015</v>
      </c>
      <c r="BF2" s="375">
        <v>2015</v>
      </c>
      <c r="BG2" s="376">
        <v>2015</v>
      </c>
      <c r="BH2" s="377">
        <v>2015</v>
      </c>
      <c r="BI2" s="378">
        <v>2015</v>
      </c>
      <c r="BJ2" s="379">
        <v>2015</v>
      </c>
      <c r="BK2" s="380">
        <v>2015</v>
      </c>
      <c r="BL2" s="381">
        <v>2015</v>
      </c>
      <c r="BM2" s="382">
        <v>2015</v>
      </c>
      <c r="BN2" s="383">
        <v>2015</v>
      </c>
      <c r="BO2" s="384">
        <v>2015</v>
      </c>
      <c r="BP2" s="385">
        <v>2015</v>
      </c>
      <c r="BQ2" s="386">
        <v>2015</v>
      </c>
      <c r="BR2" s="387">
        <v>2015</v>
      </c>
      <c r="BS2" s="388">
        <v>2015</v>
      </c>
      <c r="BT2" s="389">
        <v>2015</v>
      </c>
      <c r="BU2" s="390">
        <v>2015</v>
      </c>
      <c r="BV2" s="391">
        <v>2015</v>
      </c>
      <c r="BW2" s="392">
        <v>2015</v>
      </c>
      <c r="BX2" s="393">
        <v>2015</v>
      </c>
      <c r="BY2" s="394">
        <v>2015</v>
      </c>
      <c r="BZ2" s="395">
        <v>2015</v>
      </c>
      <c r="CA2" s="396">
        <v>2015</v>
      </c>
      <c r="CB2" s="397">
        <v>2015</v>
      </c>
      <c r="CC2" s="398">
        <v>2015</v>
      </c>
      <c r="CD2" s="399">
        <v>2015</v>
      </c>
      <c r="CE2" s="400">
        <v>2015</v>
      </c>
      <c r="CF2" s="401">
        <v>2015</v>
      </c>
      <c r="CG2" s="402">
        <v>2015</v>
      </c>
    </row>
    <row r="3" spans="1:85" x14ac:dyDescent="0.25">
      <c r="A3" s="320" t="s">
        <v>642</v>
      </c>
      <c r="B3" s="320" t="s">
        <v>1325</v>
      </c>
      <c r="C3" s="320" t="s">
        <v>1326</v>
      </c>
      <c r="D3" s="320" t="s">
        <v>866</v>
      </c>
      <c r="E3" s="320">
        <v>2015</v>
      </c>
      <c r="F3" s="404">
        <v>2505731</v>
      </c>
      <c r="G3" s="676">
        <v>25906303</v>
      </c>
      <c r="H3" s="676">
        <v>28332445</v>
      </c>
      <c r="I3" s="676">
        <v>26369639</v>
      </c>
      <c r="J3" s="676">
        <v>28724587</v>
      </c>
      <c r="K3" s="676">
        <v>17431645</v>
      </c>
      <c r="L3" s="676">
        <v>7085187</v>
      </c>
      <c r="M3" s="676">
        <v>66373646</v>
      </c>
      <c r="N3" s="676">
        <v>57855834</v>
      </c>
      <c r="O3" s="676">
        <v>20431592</v>
      </c>
      <c r="P3" s="676">
        <v>9884506</v>
      </c>
      <c r="Q3" s="676">
        <v>25900395</v>
      </c>
      <c r="R3" s="676">
        <v>21402748</v>
      </c>
      <c r="S3" s="676">
        <v>31426807</v>
      </c>
      <c r="T3" s="676">
        <v>45201115</v>
      </c>
      <c r="U3" s="676">
        <v>3074339000</v>
      </c>
      <c r="V3" s="676">
        <v>7908400</v>
      </c>
      <c r="W3" s="676">
        <v>19845627</v>
      </c>
      <c r="X3" s="676">
        <v>55211026.259999998</v>
      </c>
      <c r="Y3" s="676">
        <v>61092567</v>
      </c>
      <c r="Z3" s="676">
        <v>1550192356</v>
      </c>
      <c r="AA3" s="676">
        <v>27331424</v>
      </c>
      <c r="AB3" s="676">
        <v>860763086</v>
      </c>
      <c r="AC3" s="676">
        <v>3735023.5</v>
      </c>
      <c r="AD3" s="676">
        <v>36409145</v>
      </c>
      <c r="AE3" s="676">
        <v>54807104</v>
      </c>
      <c r="AF3" s="676">
        <v>322691608</v>
      </c>
      <c r="AG3" s="676">
        <v>22524350</v>
      </c>
      <c r="AH3" s="676">
        <v>26785536</v>
      </c>
      <c r="AI3" s="676">
        <v>3196879</v>
      </c>
      <c r="AJ3" s="676">
        <v>7049964</v>
      </c>
      <c r="AK3" s="676">
        <v>95229699</v>
      </c>
      <c r="AL3" s="676">
        <v>18680478</v>
      </c>
      <c r="AM3" s="676">
        <v>28901260</v>
      </c>
      <c r="AN3" s="676">
        <v>7824277000</v>
      </c>
      <c r="AO3" s="676">
        <v>111379240</v>
      </c>
      <c r="AP3" s="676">
        <v>16285916</v>
      </c>
      <c r="AQ3" s="676">
        <v>47869456</v>
      </c>
      <c r="AR3" s="676">
        <v>8273969</v>
      </c>
      <c r="AS3" s="676">
        <v>4279705</v>
      </c>
      <c r="AT3" s="676">
        <v>94068800.849999994</v>
      </c>
      <c r="AU3" s="676">
        <v>3606713</v>
      </c>
      <c r="AV3" s="676">
        <v>6729413</v>
      </c>
      <c r="AW3" s="676">
        <v>1627495</v>
      </c>
      <c r="AX3" s="676">
        <v>77923108</v>
      </c>
      <c r="AY3" s="676">
        <v>16854210</v>
      </c>
      <c r="AZ3" s="676">
        <v>2602555</v>
      </c>
      <c r="BA3" s="676">
        <v>61306572</v>
      </c>
      <c r="BB3" s="676">
        <v>26735622</v>
      </c>
      <c r="BC3" s="676">
        <v>35111745</v>
      </c>
      <c r="BD3" s="676">
        <v>902280979</v>
      </c>
      <c r="BE3" s="676">
        <v>55492429.799999997</v>
      </c>
      <c r="BF3" s="676">
        <v>449698000</v>
      </c>
      <c r="BG3" s="676">
        <v>8880572000</v>
      </c>
      <c r="BH3" s="676">
        <v>2980688000</v>
      </c>
      <c r="BI3" s="676">
        <v>1421695295</v>
      </c>
      <c r="BJ3" s="676">
        <v>55385726</v>
      </c>
      <c r="BK3" s="676">
        <v>6458609</v>
      </c>
      <c r="BL3" s="676">
        <v>56188716</v>
      </c>
      <c r="BM3" s="676">
        <v>1020783000</v>
      </c>
      <c r="BN3" s="676">
        <v>49494226</v>
      </c>
      <c r="BO3" s="676">
        <v>4745164</v>
      </c>
      <c r="BP3" s="676">
        <v>3757130</v>
      </c>
      <c r="BQ3" s="676">
        <v>3752063</v>
      </c>
      <c r="BR3" s="676">
        <v>4047108</v>
      </c>
      <c r="BS3" s="676">
        <v>57610329</v>
      </c>
      <c r="BT3" s="676">
        <v>352709391</v>
      </c>
      <c r="BU3" s="676">
        <v>10244506</v>
      </c>
      <c r="BV3" s="676">
        <v>594482452</v>
      </c>
      <c r="BW3" s="676">
        <v>1228221397</v>
      </c>
      <c r="BX3" s="676">
        <v>91468044</v>
      </c>
      <c r="BY3" s="676">
        <v>5019435</v>
      </c>
      <c r="BZ3" s="676">
        <v>911725000</v>
      </c>
      <c r="CA3" s="676">
        <v>24997173.210000001</v>
      </c>
      <c r="CB3" s="676">
        <v>50005986.310000002</v>
      </c>
      <c r="CC3" s="676">
        <v>1023389000</v>
      </c>
      <c r="CD3" s="676">
        <v>4477913</v>
      </c>
      <c r="CE3" s="676">
        <v>3499638000</v>
      </c>
      <c r="CF3" s="676">
        <v>354195000</v>
      </c>
      <c r="CG3" s="676">
        <v>1031398000</v>
      </c>
    </row>
    <row r="4" spans="1:85" x14ac:dyDescent="0.25">
      <c r="A4" s="320" t="s">
        <v>428</v>
      </c>
      <c r="B4" s="320" t="s">
        <v>1327</v>
      </c>
      <c r="C4" s="320" t="s">
        <v>1328</v>
      </c>
      <c r="D4" s="320" t="s">
        <v>867</v>
      </c>
      <c r="E4" s="320">
        <v>2015</v>
      </c>
      <c r="F4" s="404">
        <v>1468338</v>
      </c>
      <c r="G4" s="676">
        <v>22069719</v>
      </c>
      <c r="H4" s="676">
        <v>19596056</v>
      </c>
      <c r="I4" s="676">
        <v>19469889</v>
      </c>
      <c r="J4" s="676">
        <v>24066868</v>
      </c>
      <c r="K4" s="676">
        <v>13837810</v>
      </c>
      <c r="L4" s="676">
        <v>5751329</v>
      </c>
      <c r="M4" s="676">
        <v>17893396</v>
      </c>
      <c r="N4" s="676">
        <v>9558</v>
      </c>
      <c r="O4" s="676">
        <v>1961603</v>
      </c>
      <c r="P4" s="676">
        <v>1907839</v>
      </c>
      <c r="Q4" s="676">
        <v>25128425</v>
      </c>
      <c r="R4" s="676">
        <v>10710434</v>
      </c>
      <c r="S4" s="676">
        <v>765542</v>
      </c>
      <c r="T4" s="676">
        <v>37702192</v>
      </c>
      <c r="U4" s="676">
        <v>2492068000</v>
      </c>
      <c r="V4" s="676">
        <v>410495</v>
      </c>
      <c r="W4" s="676">
        <v>18590125</v>
      </c>
      <c r="X4" s="676">
        <v>53971970.950000003</v>
      </c>
      <c r="Y4" s="676">
        <v>74957</v>
      </c>
      <c r="Z4" s="676">
        <v>255815572</v>
      </c>
      <c r="AA4" s="676">
        <v>24407288</v>
      </c>
      <c r="AB4" s="676">
        <v>768729385</v>
      </c>
      <c r="AC4" s="676">
        <v>2961253.91</v>
      </c>
      <c r="AD4" s="676">
        <v>32993228</v>
      </c>
      <c r="AE4" s="676">
        <v>36755343</v>
      </c>
      <c r="AF4" s="676">
        <v>312766515</v>
      </c>
      <c r="AG4" s="676">
        <v>22149408</v>
      </c>
      <c r="AH4" s="676">
        <v>25770927</v>
      </c>
      <c r="AI4" s="676">
        <v>2254030</v>
      </c>
      <c r="AJ4" s="676">
        <v>6996939</v>
      </c>
      <c r="AK4" s="676">
        <v>54285384</v>
      </c>
      <c r="AL4" s="676">
        <v>1684120</v>
      </c>
      <c r="AM4" s="676">
        <v>11840983</v>
      </c>
      <c r="AN4" s="676">
        <v>7573284000</v>
      </c>
      <c r="AO4" s="676">
        <v>51549945</v>
      </c>
      <c r="AP4" s="676">
        <v>4292495</v>
      </c>
      <c r="AQ4" s="676">
        <v>38429339</v>
      </c>
      <c r="AR4" s="676">
        <v>4670136</v>
      </c>
      <c r="AS4" s="676">
        <v>224068</v>
      </c>
      <c r="AT4" s="676">
        <v>80182948.540000007</v>
      </c>
      <c r="AU4" s="676">
        <v>762734</v>
      </c>
      <c r="AV4" s="676">
        <v>2107366</v>
      </c>
      <c r="AW4" s="676">
        <v>962892</v>
      </c>
      <c r="AX4" s="676">
        <v>26160821</v>
      </c>
      <c r="AY4" s="676">
        <v>5874671</v>
      </c>
      <c r="AZ4" s="676">
        <v>785096</v>
      </c>
      <c r="BA4" s="676">
        <v>37670175</v>
      </c>
      <c r="BB4" s="676">
        <v>13908432</v>
      </c>
      <c r="BC4" s="676">
        <v>16943515</v>
      </c>
      <c r="BD4" s="676">
        <v>801471136</v>
      </c>
      <c r="BE4" s="676">
        <v>1010883.36</v>
      </c>
      <c r="BF4" s="676">
        <v>252860000</v>
      </c>
      <c r="BG4" s="676">
        <v>7188886000</v>
      </c>
      <c r="BH4" s="676">
        <v>2179568000</v>
      </c>
      <c r="BI4" s="676">
        <v>1366665548</v>
      </c>
      <c r="BJ4" s="676">
        <v>45724112</v>
      </c>
      <c r="BK4" s="676">
        <v>4527170</v>
      </c>
      <c r="BL4" s="676">
        <v>51749859</v>
      </c>
      <c r="BM4" s="676">
        <v>870731000</v>
      </c>
      <c r="BN4" s="676">
        <v>34405693</v>
      </c>
      <c r="BO4" s="676">
        <v>1803418</v>
      </c>
      <c r="BP4" s="676">
        <v>309494</v>
      </c>
      <c r="BQ4" s="676">
        <v>2774890</v>
      </c>
      <c r="BR4" s="676">
        <v>2647509</v>
      </c>
      <c r="BS4" s="676">
        <v>5790055</v>
      </c>
      <c r="BT4" s="676">
        <v>325620234</v>
      </c>
      <c r="BU4" s="676">
        <v>256750</v>
      </c>
      <c r="BV4" s="676">
        <v>590958706</v>
      </c>
      <c r="BW4" s="676">
        <v>1182173376</v>
      </c>
      <c r="BX4" s="676">
        <v>88732505</v>
      </c>
      <c r="BY4" s="676">
        <v>1942581</v>
      </c>
      <c r="BZ4" s="676">
        <v>902405000</v>
      </c>
      <c r="CA4" s="676">
        <v>16073501.189999999</v>
      </c>
      <c r="CB4" s="676">
        <v>27620711.210000001</v>
      </c>
      <c r="CC4" s="676">
        <v>969974000</v>
      </c>
      <c r="CD4" s="676">
        <v>3673815</v>
      </c>
      <c r="CE4" s="676">
        <v>3331090000</v>
      </c>
      <c r="CF4" s="676">
        <v>301285000</v>
      </c>
      <c r="CG4" s="676">
        <v>974047000</v>
      </c>
    </row>
    <row r="5" spans="1:85" x14ac:dyDescent="0.25">
      <c r="A5" s="320" t="s">
        <v>868</v>
      </c>
      <c r="B5" s="320" t="s">
        <v>1329</v>
      </c>
      <c r="C5" s="320" t="s">
        <v>1330</v>
      </c>
      <c r="D5" s="320" t="s">
        <v>869</v>
      </c>
      <c r="E5" s="320">
        <v>2015</v>
      </c>
      <c r="F5" s="404"/>
      <c r="G5" s="676">
        <v>10623</v>
      </c>
      <c r="H5" s="676">
        <v>7499</v>
      </c>
      <c r="I5" s="676">
        <v>13768</v>
      </c>
      <c r="J5" s="676">
        <v>6618</v>
      </c>
      <c r="K5" s="676">
        <v>0</v>
      </c>
      <c r="L5" s="676">
        <v>24838</v>
      </c>
      <c r="M5" s="676">
        <v>183498</v>
      </c>
      <c r="N5" s="676"/>
      <c r="O5" s="676">
        <v>39851</v>
      </c>
      <c r="P5" s="676">
        <v>399297</v>
      </c>
      <c r="Q5" s="676">
        <v>7666885</v>
      </c>
      <c r="R5" s="676">
        <v>307814</v>
      </c>
      <c r="S5" s="676">
        <v>0</v>
      </c>
      <c r="T5" s="676">
        <v>18787</v>
      </c>
      <c r="U5" s="676">
        <v>5023000</v>
      </c>
      <c r="V5" s="676">
        <v>14965</v>
      </c>
      <c r="W5" s="676">
        <v>10808</v>
      </c>
      <c r="X5" s="676">
        <v>0</v>
      </c>
      <c r="Y5" s="676"/>
      <c r="Z5" s="676">
        <v>1258687</v>
      </c>
      <c r="AA5" s="676">
        <v>390</v>
      </c>
      <c r="AB5" s="676">
        <v>2822662</v>
      </c>
      <c r="AC5" s="676">
        <v>0</v>
      </c>
      <c r="AD5" s="676">
        <v>44033</v>
      </c>
      <c r="AE5" s="676">
        <v>66509</v>
      </c>
      <c r="AF5" s="676">
        <v>544892</v>
      </c>
      <c r="AG5" s="676">
        <v>0</v>
      </c>
      <c r="AH5" s="676">
        <v>2090</v>
      </c>
      <c r="AI5" s="676"/>
      <c r="AJ5" s="676">
        <v>1045782</v>
      </c>
      <c r="AK5" s="676">
        <v>1570401</v>
      </c>
      <c r="AL5" s="676">
        <v>257717</v>
      </c>
      <c r="AM5" s="676">
        <v>113046</v>
      </c>
      <c r="AN5" s="676">
        <v>4106000</v>
      </c>
      <c r="AO5" s="676">
        <v>33093</v>
      </c>
      <c r="AP5" s="676">
        <v>28689</v>
      </c>
      <c r="AQ5" s="676">
        <v>83643</v>
      </c>
      <c r="AR5" s="676">
        <v>5842</v>
      </c>
      <c r="AS5" s="676">
        <v>1738</v>
      </c>
      <c r="AT5" s="676">
        <v>408790.89</v>
      </c>
      <c r="AU5" s="676">
        <v>15955</v>
      </c>
      <c r="AV5" s="676">
        <v>245458</v>
      </c>
      <c r="AW5" s="676"/>
      <c r="AX5" s="676">
        <v>40268</v>
      </c>
      <c r="AY5" s="676">
        <v>13391</v>
      </c>
      <c r="AZ5" s="676">
        <v>0</v>
      </c>
      <c r="BA5" s="676">
        <v>2145</v>
      </c>
      <c r="BB5" s="676">
        <v>24248</v>
      </c>
      <c r="BC5" s="676">
        <v>21668</v>
      </c>
      <c r="BD5" s="676">
        <v>10041854</v>
      </c>
      <c r="BE5" s="676">
        <v>152830.68</v>
      </c>
      <c r="BF5" s="676">
        <v>10013000</v>
      </c>
      <c r="BG5" s="676">
        <v>6755000</v>
      </c>
      <c r="BH5" s="676">
        <v>3216000</v>
      </c>
      <c r="BI5" s="676">
        <v>19974775</v>
      </c>
      <c r="BJ5" s="676">
        <v>226004</v>
      </c>
      <c r="BK5" s="676">
        <v>13244</v>
      </c>
      <c r="BL5" s="676">
        <v>5290</v>
      </c>
      <c r="BM5" s="676">
        <v>2092000</v>
      </c>
      <c r="BN5" s="676">
        <v>275053</v>
      </c>
      <c r="BO5" s="676"/>
      <c r="BP5" s="676">
        <v>9821</v>
      </c>
      <c r="BQ5" s="676">
        <v>21932</v>
      </c>
      <c r="BR5" s="676">
        <v>6386</v>
      </c>
      <c r="BS5" s="676">
        <v>852690</v>
      </c>
      <c r="BT5" s="676">
        <v>11388890</v>
      </c>
      <c r="BU5" s="676">
        <v>179124</v>
      </c>
      <c r="BV5" s="676">
        <v>30525</v>
      </c>
      <c r="BW5" s="676">
        <v>2052148</v>
      </c>
      <c r="BX5" s="676">
        <v>1078140</v>
      </c>
      <c r="BY5" s="676">
        <v>77225</v>
      </c>
      <c r="BZ5" s="676">
        <v>2104000</v>
      </c>
      <c r="CA5" s="676">
        <v>12252.77</v>
      </c>
      <c r="CB5" s="676">
        <v>73142.81</v>
      </c>
      <c r="CC5" s="676">
        <v>1264000</v>
      </c>
      <c r="CD5" s="676"/>
      <c r="CE5" s="676">
        <v>7273000</v>
      </c>
      <c r="CF5" s="676">
        <v>10130000</v>
      </c>
      <c r="CG5" s="676">
        <v>11014000</v>
      </c>
    </row>
    <row r="6" spans="1:85" x14ac:dyDescent="0.25">
      <c r="A6" s="320" t="s">
        <v>870</v>
      </c>
      <c r="B6" s="320" t="s">
        <v>871</v>
      </c>
      <c r="C6" s="320"/>
      <c r="D6" s="320" t="s">
        <v>872</v>
      </c>
      <c r="E6" s="320">
        <v>2015</v>
      </c>
      <c r="F6" s="404"/>
      <c r="G6" s="676"/>
      <c r="H6" s="676"/>
      <c r="I6" s="676"/>
      <c r="J6" s="676"/>
      <c r="K6" s="676"/>
      <c r="L6" s="676"/>
      <c r="M6" s="676"/>
      <c r="N6" s="676"/>
      <c r="O6" s="676"/>
      <c r="P6" s="676"/>
      <c r="Q6" s="676"/>
      <c r="R6" s="676"/>
      <c r="S6" s="676"/>
      <c r="T6" s="676"/>
      <c r="U6" s="676"/>
      <c r="V6" s="676"/>
      <c r="W6" s="676"/>
      <c r="X6" s="676">
        <v>0</v>
      </c>
      <c r="Y6" s="676"/>
      <c r="Z6" s="676">
        <v>0</v>
      </c>
      <c r="AA6" s="676"/>
      <c r="AB6" s="676">
        <v>1916</v>
      </c>
      <c r="AC6" s="676">
        <v>0</v>
      </c>
      <c r="AD6" s="676"/>
      <c r="AE6" s="676"/>
      <c r="AF6" s="676"/>
      <c r="AG6" s="676"/>
      <c r="AH6" s="676"/>
      <c r="AI6" s="676"/>
      <c r="AJ6" s="676"/>
      <c r="AK6" s="676"/>
      <c r="AL6" s="676"/>
      <c r="AM6" s="676"/>
      <c r="AN6" s="676"/>
      <c r="AO6" s="676"/>
      <c r="AP6" s="676"/>
      <c r="AQ6" s="676">
        <v>0</v>
      </c>
      <c r="AR6" s="676"/>
      <c r="AS6" s="676"/>
      <c r="AT6" s="676">
        <v>0</v>
      </c>
      <c r="AU6" s="676"/>
      <c r="AV6" s="676"/>
      <c r="AW6" s="676"/>
      <c r="AX6" s="676"/>
      <c r="AY6" s="676"/>
      <c r="AZ6" s="676">
        <v>0</v>
      </c>
      <c r="BA6" s="676"/>
      <c r="BB6" s="676"/>
      <c r="BC6" s="676"/>
      <c r="BD6" s="676"/>
      <c r="BE6" s="676">
        <v>0</v>
      </c>
      <c r="BF6" s="676"/>
      <c r="BG6" s="676"/>
      <c r="BH6" s="676"/>
      <c r="BI6" s="676">
        <v>1311847</v>
      </c>
      <c r="BJ6" s="676"/>
      <c r="BK6" s="676"/>
      <c r="BL6" s="676"/>
      <c r="BM6" s="676"/>
      <c r="BN6" s="676">
        <v>0</v>
      </c>
      <c r="BO6" s="676"/>
      <c r="BP6" s="676"/>
      <c r="BQ6" s="676"/>
      <c r="BR6" s="676"/>
      <c r="BS6" s="676"/>
      <c r="BT6" s="676">
        <v>0</v>
      </c>
      <c r="BU6" s="676"/>
      <c r="BV6" s="676"/>
      <c r="BW6" s="676"/>
      <c r="BX6" s="676"/>
      <c r="BY6" s="676"/>
      <c r="BZ6" s="676"/>
      <c r="CA6" s="676"/>
      <c r="CB6" s="676">
        <v>0</v>
      </c>
      <c r="CC6" s="676"/>
      <c r="CD6" s="676"/>
      <c r="CE6" s="676">
        <v>1000</v>
      </c>
      <c r="CF6" s="676"/>
      <c r="CG6" s="676"/>
    </row>
    <row r="7" spans="1:85" x14ac:dyDescent="0.25">
      <c r="A7" s="320" t="s">
        <v>873</v>
      </c>
      <c r="B7" s="320" t="s">
        <v>874</v>
      </c>
      <c r="C7" s="320"/>
      <c r="D7" s="320" t="s">
        <v>875</v>
      </c>
      <c r="E7" s="320">
        <v>2015</v>
      </c>
      <c r="F7" s="404"/>
      <c r="G7" s="676">
        <v>10623</v>
      </c>
      <c r="H7" s="676">
        <v>7499</v>
      </c>
      <c r="I7" s="676">
        <v>13768</v>
      </c>
      <c r="J7" s="676">
        <v>6618</v>
      </c>
      <c r="K7" s="676">
        <v>0</v>
      </c>
      <c r="L7" s="676">
        <v>10660</v>
      </c>
      <c r="M7" s="676">
        <v>183498</v>
      </c>
      <c r="N7" s="676"/>
      <c r="O7" s="676">
        <v>39851</v>
      </c>
      <c r="P7" s="676">
        <v>386881</v>
      </c>
      <c r="Q7" s="676"/>
      <c r="R7" s="676">
        <v>74618</v>
      </c>
      <c r="S7" s="676">
        <v>0</v>
      </c>
      <c r="T7" s="676">
        <v>18787</v>
      </c>
      <c r="U7" s="676">
        <v>4534000</v>
      </c>
      <c r="V7" s="676">
        <v>14965</v>
      </c>
      <c r="W7" s="676">
        <v>9897</v>
      </c>
      <c r="X7" s="676">
        <v>0</v>
      </c>
      <c r="Y7" s="676"/>
      <c r="Z7" s="676">
        <v>906152</v>
      </c>
      <c r="AA7" s="676">
        <v>390</v>
      </c>
      <c r="AB7" s="676">
        <v>904167</v>
      </c>
      <c r="AC7" s="676">
        <v>0</v>
      </c>
      <c r="AD7" s="676">
        <v>1958</v>
      </c>
      <c r="AE7" s="676">
        <v>49305</v>
      </c>
      <c r="AF7" s="676">
        <v>536972</v>
      </c>
      <c r="AG7" s="676">
        <v>0</v>
      </c>
      <c r="AH7" s="676">
        <v>2090</v>
      </c>
      <c r="AI7" s="676"/>
      <c r="AJ7" s="676"/>
      <c r="AK7" s="676">
        <v>1149058</v>
      </c>
      <c r="AL7" s="676">
        <v>257717</v>
      </c>
      <c r="AM7" s="676">
        <v>113046</v>
      </c>
      <c r="AN7" s="676"/>
      <c r="AO7" s="676">
        <v>32105</v>
      </c>
      <c r="AP7" s="676">
        <v>28689</v>
      </c>
      <c r="AQ7" s="676">
        <v>83643</v>
      </c>
      <c r="AR7" s="676">
        <v>5842</v>
      </c>
      <c r="AS7" s="676">
        <v>1738</v>
      </c>
      <c r="AT7" s="676">
        <v>316937.25</v>
      </c>
      <c r="AU7" s="676">
        <v>15955</v>
      </c>
      <c r="AV7" s="676">
        <v>213589</v>
      </c>
      <c r="AW7" s="676"/>
      <c r="AX7" s="676">
        <v>40268</v>
      </c>
      <c r="AY7" s="676">
        <v>8648</v>
      </c>
      <c r="AZ7" s="676">
        <v>0</v>
      </c>
      <c r="BA7" s="676">
        <v>2145</v>
      </c>
      <c r="BB7" s="676">
        <v>24248</v>
      </c>
      <c r="BC7" s="676">
        <v>21668</v>
      </c>
      <c r="BD7" s="676"/>
      <c r="BE7" s="676">
        <v>152830.68</v>
      </c>
      <c r="BF7" s="676">
        <v>9961000</v>
      </c>
      <c r="BG7" s="676">
        <v>5919000</v>
      </c>
      <c r="BH7" s="676">
        <v>1841000</v>
      </c>
      <c r="BI7" s="676">
        <v>3034847</v>
      </c>
      <c r="BJ7" s="676">
        <v>102529</v>
      </c>
      <c r="BK7" s="676">
        <v>13244</v>
      </c>
      <c r="BL7" s="676"/>
      <c r="BM7" s="676">
        <v>2092000</v>
      </c>
      <c r="BN7" s="676">
        <v>275053</v>
      </c>
      <c r="BO7" s="676"/>
      <c r="BP7" s="676">
        <v>9821</v>
      </c>
      <c r="BQ7" s="676">
        <v>16362</v>
      </c>
      <c r="BR7" s="676">
        <v>6177</v>
      </c>
      <c r="BS7" s="676">
        <v>197438</v>
      </c>
      <c r="BT7" s="676">
        <v>8588997</v>
      </c>
      <c r="BU7" s="676">
        <v>179124</v>
      </c>
      <c r="BV7" s="676"/>
      <c r="BW7" s="676">
        <v>2052148</v>
      </c>
      <c r="BX7" s="676">
        <v>1064140</v>
      </c>
      <c r="BY7" s="676">
        <v>77225</v>
      </c>
      <c r="BZ7" s="676">
        <v>1297000</v>
      </c>
      <c r="CA7" s="676">
        <v>12252.77</v>
      </c>
      <c r="CB7" s="676">
        <v>57312.75</v>
      </c>
      <c r="CC7" s="676">
        <v>983000</v>
      </c>
      <c r="CD7" s="676"/>
      <c r="CE7" s="676">
        <v>6860000</v>
      </c>
      <c r="CF7" s="676">
        <v>9903000</v>
      </c>
      <c r="CG7" s="676"/>
    </row>
    <row r="8" spans="1:85" x14ac:dyDescent="0.25">
      <c r="A8" s="320" t="s">
        <v>876</v>
      </c>
      <c r="B8" s="320" t="s">
        <v>877</v>
      </c>
      <c r="C8" s="320"/>
      <c r="D8" s="320" t="s">
        <v>878</v>
      </c>
      <c r="E8" s="320">
        <v>2015</v>
      </c>
      <c r="F8" s="404"/>
      <c r="G8" s="676"/>
      <c r="H8" s="676"/>
      <c r="I8" s="676"/>
      <c r="J8" s="676"/>
      <c r="K8" s="676"/>
      <c r="L8" s="676">
        <v>2196</v>
      </c>
      <c r="M8" s="676"/>
      <c r="N8" s="676"/>
      <c r="O8" s="676"/>
      <c r="P8" s="676"/>
      <c r="Q8" s="676">
        <v>7666885</v>
      </c>
      <c r="R8" s="676"/>
      <c r="S8" s="676"/>
      <c r="T8" s="676">
        <v>0</v>
      </c>
      <c r="U8" s="676"/>
      <c r="V8" s="676"/>
      <c r="W8" s="676"/>
      <c r="X8" s="676">
        <v>0</v>
      </c>
      <c r="Y8" s="676"/>
      <c r="Z8" s="676">
        <v>138384</v>
      </c>
      <c r="AA8" s="676"/>
      <c r="AB8" s="676">
        <v>3619</v>
      </c>
      <c r="AC8" s="676">
        <v>0</v>
      </c>
      <c r="AD8" s="676">
        <v>42075</v>
      </c>
      <c r="AE8" s="676"/>
      <c r="AF8" s="676"/>
      <c r="AG8" s="676"/>
      <c r="AH8" s="676"/>
      <c r="AI8" s="676"/>
      <c r="AJ8" s="676">
        <v>1045782</v>
      </c>
      <c r="AK8" s="676">
        <v>149938</v>
      </c>
      <c r="AL8" s="676"/>
      <c r="AM8" s="676"/>
      <c r="AN8" s="676"/>
      <c r="AO8" s="676"/>
      <c r="AP8" s="676"/>
      <c r="AQ8" s="676">
        <v>0</v>
      </c>
      <c r="AR8" s="676"/>
      <c r="AS8" s="676"/>
      <c r="AT8" s="676">
        <v>0</v>
      </c>
      <c r="AU8" s="676"/>
      <c r="AV8" s="676"/>
      <c r="AW8" s="676"/>
      <c r="AX8" s="676"/>
      <c r="AY8" s="676">
        <v>1673</v>
      </c>
      <c r="AZ8" s="676">
        <v>0</v>
      </c>
      <c r="BA8" s="676"/>
      <c r="BB8" s="676"/>
      <c r="BC8" s="676"/>
      <c r="BD8" s="676"/>
      <c r="BE8" s="676">
        <v>0</v>
      </c>
      <c r="BF8" s="676">
        <v>52000</v>
      </c>
      <c r="BG8" s="676"/>
      <c r="BH8" s="676"/>
      <c r="BI8" s="676"/>
      <c r="BJ8" s="676"/>
      <c r="BK8" s="676">
        <v>0</v>
      </c>
      <c r="BL8" s="676"/>
      <c r="BM8" s="676"/>
      <c r="BN8" s="676">
        <v>0</v>
      </c>
      <c r="BO8" s="676"/>
      <c r="BP8" s="676"/>
      <c r="BQ8" s="676"/>
      <c r="BR8" s="676"/>
      <c r="BS8" s="676">
        <v>636206</v>
      </c>
      <c r="BT8" s="676">
        <v>0</v>
      </c>
      <c r="BU8" s="676"/>
      <c r="BV8" s="676"/>
      <c r="BW8" s="676"/>
      <c r="BX8" s="676"/>
      <c r="BY8" s="676"/>
      <c r="BZ8" s="676"/>
      <c r="CA8" s="676"/>
      <c r="CB8" s="676">
        <v>0</v>
      </c>
      <c r="CC8" s="676"/>
      <c r="CD8" s="676"/>
      <c r="CE8" s="676"/>
      <c r="CF8" s="676"/>
      <c r="CG8" s="676">
        <v>9692000</v>
      </c>
    </row>
    <row r="9" spans="1:85" x14ac:dyDescent="0.25">
      <c r="A9" s="320" t="s">
        <v>879</v>
      </c>
      <c r="B9" s="320" t="s">
        <v>880</v>
      </c>
      <c r="C9" s="320"/>
      <c r="D9" s="320" t="s">
        <v>881</v>
      </c>
      <c r="E9" s="320">
        <v>2015</v>
      </c>
      <c r="F9" s="404"/>
      <c r="G9" s="676"/>
      <c r="H9" s="676"/>
      <c r="I9" s="676"/>
      <c r="J9" s="676"/>
      <c r="K9" s="676"/>
      <c r="L9" s="676"/>
      <c r="M9" s="676"/>
      <c r="N9" s="676"/>
      <c r="O9" s="676"/>
      <c r="P9" s="676"/>
      <c r="Q9" s="676"/>
      <c r="R9" s="676">
        <v>233196</v>
      </c>
      <c r="S9" s="676"/>
      <c r="T9" s="676"/>
      <c r="U9" s="676"/>
      <c r="V9" s="676"/>
      <c r="W9" s="676"/>
      <c r="X9" s="676">
        <v>0</v>
      </c>
      <c r="Y9" s="676"/>
      <c r="Z9" s="676">
        <v>0</v>
      </c>
      <c r="AA9" s="676"/>
      <c r="AB9" s="676"/>
      <c r="AC9" s="676">
        <v>0</v>
      </c>
      <c r="AD9" s="676"/>
      <c r="AE9" s="676"/>
      <c r="AF9" s="676"/>
      <c r="AG9" s="676"/>
      <c r="AH9" s="676"/>
      <c r="AI9" s="676"/>
      <c r="AJ9" s="676"/>
      <c r="AK9" s="676"/>
      <c r="AL9" s="676"/>
      <c r="AM9" s="676"/>
      <c r="AN9" s="676"/>
      <c r="AO9" s="676"/>
      <c r="AP9" s="676"/>
      <c r="AQ9" s="676">
        <v>0</v>
      </c>
      <c r="AR9" s="676"/>
      <c r="AS9" s="676"/>
      <c r="AT9" s="676">
        <v>0</v>
      </c>
      <c r="AU9" s="676"/>
      <c r="AV9" s="676"/>
      <c r="AW9" s="676"/>
      <c r="AX9" s="676"/>
      <c r="AY9" s="676"/>
      <c r="AZ9" s="676">
        <v>0</v>
      </c>
      <c r="BA9" s="676"/>
      <c r="BB9" s="676"/>
      <c r="BC9" s="676"/>
      <c r="BD9" s="676"/>
      <c r="BE9" s="676">
        <v>0</v>
      </c>
      <c r="BF9" s="676"/>
      <c r="BG9" s="676"/>
      <c r="BH9" s="676"/>
      <c r="BI9" s="676"/>
      <c r="BJ9" s="676">
        <v>123475</v>
      </c>
      <c r="BK9" s="676"/>
      <c r="BL9" s="676"/>
      <c r="BM9" s="676"/>
      <c r="BN9" s="676">
        <v>0</v>
      </c>
      <c r="BO9" s="676"/>
      <c r="BP9" s="676"/>
      <c r="BQ9" s="676"/>
      <c r="BR9" s="676"/>
      <c r="BS9" s="676"/>
      <c r="BT9" s="676">
        <v>0</v>
      </c>
      <c r="BU9" s="676"/>
      <c r="BV9" s="676"/>
      <c r="BW9" s="676"/>
      <c r="BX9" s="676"/>
      <c r="BY9" s="676"/>
      <c r="BZ9" s="676"/>
      <c r="CA9" s="676"/>
      <c r="CB9" s="676">
        <v>0</v>
      </c>
      <c r="CC9" s="676"/>
      <c r="CD9" s="676"/>
      <c r="CE9" s="676"/>
      <c r="CF9" s="676"/>
      <c r="CG9" s="676"/>
    </row>
    <row r="10" spans="1:85" x14ac:dyDescent="0.25">
      <c r="A10" s="320" t="s">
        <v>882</v>
      </c>
      <c r="B10" s="320" t="s">
        <v>883</v>
      </c>
      <c r="C10" s="320"/>
      <c r="D10" s="320" t="s">
        <v>884</v>
      </c>
      <c r="E10" s="320">
        <v>2015</v>
      </c>
      <c r="F10" s="404"/>
      <c r="G10" s="676"/>
      <c r="H10" s="676"/>
      <c r="I10" s="676"/>
      <c r="J10" s="676"/>
      <c r="K10" s="676"/>
      <c r="L10" s="676"/>
      <c r="M10" s="676"/>
      <c r="N10" s="676"/>
      <c r="O10" s="676"/>
      <c r="P10" s="676"/>
      <c r="Q10" s="676"/>
      <c r="R10" s="676"/>
      <c r="S10" s="676"/>
      <c r="T10" s="676"/>
      <c r="U10" s="676">
        <v>17000</v>
      </c>
      <c r="V10" s="676"/>
      <c r="W10" s="676"/>
      <c r="X10" s="676">
        <v>0</v>
      </c>
      <c r="Y10" s="676"/>
      <c r="Z10" s="676">
        <v>0</v>
      </c>
      <c r="AA10" s="676"/>
      <c r="AB10" s="676">
        <v>1540380</v>
      </c>
      <c r="AC10" s="676">
        <v>0</v>
      </c>
      <c r="AD10" s="676"/>
      <c r="AE10" s="676"/>
      <c r="AF10" s="676"/>
      <c r="AG10" s="676"/>
      <c r="AH10" s="676"/>
      <c r="AI10" s="676"/>
      <c r="AJ10" s="676"/>
      <c r="AK10" s="676"/>
      <c r="AL10" s="676"/>
      <c r="AM10" s="676"/>
      <c r="AN10" s="676"/>
      <c r="AO10" s="676"/>
      <c r="AP10" s="676"/>
      <c r="AQ10" s="676">
        <v>0</v>
      </c>
      <c r="AR10" s="676"/>
      <c r="AS10" s="676"/>
      <c r="AT10" s="676">
        <v>85164.64</v>
      </c>
      <c r="AU10" s="676"/>
      <c r="AV10" s="676"/>
      <c r="AW10" s="676"/>
      <c r="AX10" s="676"/>
      <c r="AY10" s="676"/>
      <c r="AZ10" s="676">
        <v>0</v>
      </c>
      <c r="BA10" s="676"/>
      <c r="BB10" s="676"/>
      <c r="BC10" s="676"/>
      <c r="BD10" s="676">
        <v>7459799</v>
      </c>
      <c r="BE10" s="676">
        <v>0</v>
      </c>
      <c r="BF10" s="676"/>
      <c r="BG10" s="676">
        <v>35000</v>
      </c>
      <c r="BH10" s="676">
        <v>338000</v>
      </c>
      <c r="BI10" s="676">
        <v>11832105</v>
      </c>
      <c r="BJ10" s="676"/>
      <c r="BK10" s="676"/>
      <c r="BL10" s="676">
        <v>182</v>
      </c>
      <c r="BM10" s="676"/>
      <c r="BN10" s="676">
        <v>0</v>
      </c>
      <c r="BO10" s="676"/>
      <c r="BP10" s="676"/>
      <c r="BQ10" s="676"/>
      <c r="BR10" s="676">
        <v>209</v>
      </c>
      <c r="BS10" s="676"/>
      <c r="BT10" s="676">
        <v>1018701</v>
      </c>
      <c r="BU10" s="676"/>
      <c r="BV10" s="676">
        <v>30525</v>
      </c>
      <c r="BW10" s="676">
        <v>0</v>
      </c>
      <c r="BX10" s="676"/>
      <c r="BY10" s="676"/>
      <c r="BZ10" s="676"/>
      <c r="CA10" s="676"/>
      <c r="CB10" s="676">
        <v>0</v>
      </c>
      <c r="CC10" s="676"/>
      <c r="CD10" s="676"/>
      <c r="CE10" s="676"/>
      <c r="CF10" s="676"/>
      <c r="CG10" s="676"/>
    </row>
    <row r="11" spans="1:85" x14ac:dyDescent="0.25">
      <c r="A11" s="320" t="s">
        <v>885</v>
      </c>
      <c r="B11" s="320" t="s">
        <v>886</v>
      </c>
      <c r="C11" s="320"/>
      <c r="D11" s="320" t="s">
        <v>887</v>
      </c>
      <c r="E11" s="320">
        <v>2015</v>
      </c>
      <c r="F11" s="404"/>
      <c r="G11" s="676"/>
      <c r="H11" s="676"/>
      <c r="I11" s="676"/>
      <c r="J11" s="676"/>
      <c r="K11" s="676"/>
      <c r="L11" s="676">
        <v>11982</v>
      </c>
      <c r="M11" s="676"/>
      <c r="N11" s="676"/>
      <c r="O11" s="676"/>
      <c r="P11" s="676">
        <v>12416</v>
      </c>
      <c r="Q11" s="676"/>
      <c r="R11" s="676"/>
      <c r="S11" s="676"/>
      <c r="T11" s="676"/>
      <c r="U11" s="676">
        <v>472000</v>
      </c>
      <c r="V11" s="676"/>
      <c r="W11" s="676">
        <v>911</v>
      </c>
      <c r="X11" s="676">
        <v>0</v>
      </c>
      <c r="Y11" s="676"/>
      <c r="Z11" s="676">
        <v>214151</v>
      </c>
      <c r="AA11" s="676"/>
      <c r="AB11" s="676">
        <v>372580</v>
      </c>
      <c r="AC11" s="676">
        <v>0</v>
      </c>
      <c r="AD11" s="676"/>
      <c r="AE11" s="676">
        <v>17204</v>
      </c>
      <c r="AF11" s="676">
        <v>7920</v>
      </c>
      <c r="AG11" s="676"/>
      <c r="AH11" s="676"/>
      <c r="AI11" s="676"/>
      <c r="AJ11" s="676"/>
      <c r="AK11" s="676">
        <v>223422</v>
      </c>
      <c r="AL11" s="676"/>
      <c r="AM11" s="676"/>
      <c r="AN11" s="676"/>
      <c r="AO11" s="676">
        <v>988</v>
      </c>
      <c r="AP11" s="676"/>
      <c r="AQ11" s="676">
        <v>0</v>
      </c>
      <c r="AR11" s="676"/>
      <c r="AS11" s="676"/>
      <c r="AT11" s="676">
        <v>6689</v>
      </c>
      <c r="AU11" s="676"/>
      <c r="AV11" s="676">
        <v>31869</v>
      </c>
      <c r="AW11" s="676"/>
      <c r="AX11" s="676"/>
      <c r="AY11" s="676">
        <v>3070</v>
      </c>
      <c r="AZ11" s="676">
        <v>0</v>
      </c>
      <c r="BA11" s="676"/>
      <c r="BB11" s="676"/>
      <c r="BC11" s="676"/>
      <c r="BD11" s="676">
        <v>2582055</v>
      </c>
      <c r="BE11" s="676">
        <v>0</v>
      </c>
      <c r="BF11" s="676"/>
      <c r="BG11" s="676">
        <v>801000</v>
      </c>
      <c r="BH11" s="676">
        <v>1037000</v>
      </c>
      <c r="BI11" s="676">
        <v>3795976</v>
      </c>
      <c r="BJ11" s="676"/>
      <c r="BK11" s="676"/>
      <c r="BL11" s="676">
        <v>5108</v>
      </c>
      <c r="BM11" s="676"/>
      <c r="BN11" s="676">
        <v>0</v>
      </c>
      <c r="BO11" s="676"/>
      <c r="BP11" s="676"/>
      <c r="BQ11" s="676">
        <v>5570</v>
      </c>
      <c r="BR11" s="676"/>
      <c r="BS11" s="676">
        <v>19046</v>
      </c>
      <c r="BT11" s="676">
        <v>1781192</v>
      </c>
      <c r="BU11" s="676"/>
      <c r="BV11" s="676"/>
      <c r="BW11" s="676"/>
      <c r="BX11" s="676">
        <v>14000</v>
      </c>
      <c r="BY11" s="676"/>
      <c r="BZ11" s="676">
        <v>807000</v>
      </c>
      <c r="CA11" s="676"/>
      <c r="CB11" s="676">
        <v>15830.06</v>
      </c>
      <c r="CC11" s="676">
        <v>281000</v>
      </c>
      <c r="CD11" s="676"/>
      <c r="CE11" s="676">
        <v>412000</v>
      </c>
      <c r="CF11" s="676">
        <v>227000</v>
      </c>
      <c r="CG11" s="676">
        <v>1322000</v>
      </c>
    </row>
    <row r="12" spans="1:85" x14ac:dyDescent="0.25">
      <c r="A12" s="320" t="s">
        <v>888</v>
      </c>
      <c r="B12" s="320" t="s">
        <v>889</v>
      </c>
      <c r="C12" s="320"/>
      <c r="D12" s="320" t="s">
        <v>890</v>
      </c>
      <c r="E12" s="320">
        <v>2015</v>
      </c>
      <c r="F12" s="404"/>
      <c r="G12" s="676"/>
      <c r="H12" s="676"/>
      <c r="I12" s="676"/>
      <c r="J12" s="676"/>
      <c r="K12" s="676"/>
      <c r="L12" s="676"/>
      <c r="M12" s="676"/>
      <c r="N12" s="676"/>
      <c r="O12" s="676"/>
      <c r="P12" s="676"/>
      <c r="Q12" s="676"/>
      <c r="R12" s="676"/>
      <c r="S12" s="676"/>
      <c r="T12" s="676"/>
      <c r="U12" s="676"/>
      <c r="V12" s="676"/>
      <c r="W12" s="676"/>
      <c r="X12" s="676">
        <v>0</v>
      </c>
      <c r="Y12" s="676"/>
      <c r="Z12" s="676">
        <v>0</v>
      </c>
      <c r="AA12" s="676"/>
      <c r="AB12" s="676"/>
      <c r="AC12" s="676">
        <v>0</v>
      </c>
      <c r="AD12" s="676"/>
      <c r="AE12" s="676"/>
      <c r="AF12" s="676"/>
      <c r="AG12" s="676"/>
      <c r="AH12" s="676"/>
      <c r="AI12" s="676"/>
      <c r="AJ12" s="676"/>
      <c r="AK12" s="676">
        <v>47983</v>
      </c>
      <c r="AL12" s="676"/>
      <c r="AM12" s="676"/>
      <c r="AN12" s="676"/>
      <c r="AO12" s="676"/>
      <c r="AP12" s="676"/>
      <c r="AQ12" s="676">
        <v>0</v>
      </c>
      <c r="AR12" s="676"/>
      <c r="AS12" s="676"/>
      <c r="AT12" s="676">
        <v>0</v>
      </c>
      <c r="AU12" s="676"/>
      <c r="AV12" s="676"/>
      <c r="AW12" s="676"/>
      <c r="AX12" s="676"/>
      <c r="AY12" s="676"/>
      <c r="AZ12" s="676">
        <v>0</v>
      </c>
      <c r="BA12" s="676"/>
      <c r="BB12" s="676"/>
      <c r="BC12" s="676"/>
      <c r="BD12" s="676"/>
      <c r="BE12" s="676">
        <v>0</v>
      </c>
      <c r="BF12" s="676"/>
      <c r="BG12" s="676"/>
      <c r="BH12" s="676"/>
      <c r="BI12" s="676"/>
      <c r="BJ12" s="676"/>
      <c r="BK12" s="676"/>
      <c r="BL12" s="676"/>
      <c r="BM12" s="676"/>
      <c r="BN12" s="676">
        <v>0</v>
      </c>
      <c r="BO12" s="676"/>
      <c r="BP12" s="676"/>
      <c r="BQ12" s="676"/>
      <c r="BR12" s="676"/>
      <c r="BS12" s="676"/>
      <c r="BT12" s="676">
        <v>0</v>
      </c>
      <c r="BU12" s="676"/>
      <c r="BV12" s="676"/>
      <c r="BW12" s="676"/>
      <c r="BX12" s="676"/>
      <c r="BY12" s="676"/>
      <c r="BZ12" s="676"/>
      <c r="CA12" s="676"/>
      <c r="CB12" s="676">
        <v>0</v>
      </c>
      <c r="CC12" s="676"/>
      <c r="CD12" s="676"/>
      <c r="CE12" s="676"/>
      <c r="CF12" s="676"/>
      <c r="CG12" s="676"/>
    </row>
    <row r="13" spans="1:85" x14ac:dyDescent="0.25">
      <c r="A13" s="320" t="s">
        <v>891</v>
      </c>
      <c r="B13" s="320" t="s">
        <v>1331</v>
      </c>
      <c r="C13" s="320" t="s">
        <v>1332</v>
      </c>
      <c r="D13" s="320" t="s">
        <v>892</v>
      </c>
      <c r="E13" s="320">
        <v>2015</v>
      </c>
      <c r="F13" s="404">
        <v>1468338</v>
      </c>
      <c r="G13" s="676">
        <v>22059096</v>
      </c>
      <c r="H13" s="676">
        <v>19452959</v>
      </c>
      <c r="I13" s="676">
        <v>19456121</v>
      </c>
      <c r="J13" s="676">
        <v>1621337</v>
      </c>
      <c r="K13" s="676">
        <v>13837810</v>
      </c>
      <c r="L13" s="676">
        <v>5726491</v>
      </c>
      <c r="M13" s="676">
        <v>984968</v>
      </c>
      <c r="N13" s="676">
        <v>9558</v>
      </c>
      <c r="O13" s="676">
        <v>1921752</v>
      </c>
      <c r="P13" s="676">
        <v>1508542</v>
      </c>
      <c r="Q13" s="676">
        <v>3247785</v>
      </c>
      <c r="R13" s="676">
        <v>10370450</v>
      </c>
      <c r="S13" s="676">
        <v>304711</v>
      </c>
      <c r="T13" s="676">
        <v>37683405</v>
      </c>
      <c r="U13" s="676">
        <v>2295226000</v>
      </c>
      <c r="V13" s="676">
        <v>395530</v>
      </c>
      <c r="W13" s="676">
        <v>18579317</v>
      </c>
      <c r="X13" s="676">
        <v>53971970.950000003</v>
      </c>
      <c r="Y13" s="676">
        <v>74957</v>
      </c>
      <c r="Z13" s="676">
        <v>143340113</v>
      </c>
      <c r="AA13" s="676">
        <v>24406898</v>
      </c>
      <c r="AB13" s="676">
        <v>765906723</v>
      </c>
      <c r="AC13" s="676">
        <v>2961253.91</v>
      </c>
      <c r="AD13" s="676">
        <v>32949195</v>
      </c>
      <c r="AE13" s="676">
        <v>36682195</v>
      </c>
      <c r="AF13" s="676">
        <v>312221623</v>
      </c>
      <c r="AG13" s="676">
        <v>22149408</v>
      </c>
      <c r="AH13" s="676">
        <v>25768837</v>
      </c>
      <c r="AI13" s="676">
        <v>2254030</v>
      </c>
      <c r="AJ13" s="676">
        <v>5951157</v>
      </c>
      <c r="AK13" s="676">
        <v>52698983</v>
      </c>
      <c r="AL13" s="676">
        <v>1227139</v>
      </c>
      <c r="AM13" s="676">
        <v>11725617</v>
      </c>
      <c r="AN13" s="676">
        <v>7569178000</v>
      </c>
      <c r="AO13" s="676">
        <v>51516852</v>
      </c>
      <c r="AP13" s="676">
        <v>4257806</v>
      </c>
      <c r="AQ13" s="676">
        <v>38345696</v>
      </c>
      <c r="AR13" s="676">
        <v>4664294</v>
      </c>
      <c r="AS13" s="676">
        <v>222330</v>
      </c>
      <c r="AT13" s="676">
        <v>79772851.430000007</v>
      </c>
      <c r="AU13" s="676">
        <v>741779</v>
      </c>
      <c r="AV13" s="676">
        <v>1861908</v>
      </c>
      <c r="AW13" s="676">
        <v>962892</v>
      </c>
      <c r="AX13" s="676">
        <v>778797</v>
      </c>
      <c r="AY13" s="676">
        <v>1761026</v>
      </c>
      <c r="AZ13" s="676">
        <v>785096</v>
      </c>
      <c r="BA13" s="676">
        <v>18542399</v>
      </c>
      <c r="BB13" s="676">
        <v>13884184</v>
      </c>
      <c r="BC13" s="676">
        <v>16671847</v>
      </c>
      <c r="BD13" s="676">
        <v>786581467</v>
      </c>
      <c r="BE13" s="676">
        <v>858052.68</v>
      </c>
      <c r="BF13" s="676">
        <v>222851000</v>
      </c>
      <c r="BG13" s="676">
        <v>7167219000</v>
      </c>
      <c r="BH13" s="676">
        <v>90626000</v>
      </c>
      <c r="BI13" s="676">
        <v>1346690773</v>
      </c>
      <c r="BJ13" s="676">
        <v>45498108</v>
      </c>
      <c r="BK13" s="676">
        <v>4513926</v>
      </c>
      <c r="BL13" s="676">
        <v>51744569</v>
      </c>
      <c r="BM13" s="676">
        <v>19248000</v>
      </c>
      <c r="BN13" s="676">
        <v>34130640</v>
      </c>
      <c r="BO13" s="676">
        <v>1803418</v>
      </c>
      <c r="BP13" s="676">
        <v>182500</v>
      </c>
      <c r="BQ13" s="676">
        <v>2752958</v>
      </c>
      <c r="BR13" s="676">
        <v>2641123</v>
      </c>
      <c r="BS13" s="676">
        <v>1243524</v>
      </c>
      <c r="BT13" s="676">
        <v>233641283</v>
      </c>
      <c r="BU13" s="676">
        <v>77626</v>
      </c>
      <c r="BV13" s="676">
        <v>590928181</v>
      </c>
      <c r="BW13" s="676">
        <v>1178870209</v>
      </c>
      <c r="BX13" s="676">
        <v>87654365</v>
      </c>
      <c r="BY13" s="676">
        <v>1865356</v>
      </c>
      <c r="BZ13" s="676">
        <v>4879000</v>
      </c>
      <c r="CA13" s="676">
        <v>16061248.42</v>
      </c>
      <c r="CB13" s="676">
        <v>27547568.399999999</v>
      </c>
      <c r="CC13" s="676">
        <v>38734000</v>
      </c>
      <c r="CD13" s="676">
        <v>3673815</v>
      </c>
      <c r="CE13" s="676">
        <v>3284379000</v>
      </c>
      <c r="CF13" s="676">
        <v>274586000</v>
      </c>
      <c r="CG13" s="676">
        <v>957061000</v>
      </c>
    </row>
    <row r="14" spans="1:85" x14ac:dyDescent="0.25">
      <c r="A14" s="320" t="s">
        <v>893</v>
      </c>
      <c r="B14" s="320" t="s">
        <v>894</v>
      </c>
      <c r="C14" s="320"/>
      <c r="D14" s="320" t="s">
        <v>895</v>
      </c>
      <c r="E14" s="320">
        <v>2015</v>
      </c>
      <c r="F14" s="404">
        <v>192334</v>
      </c>
      <c r="G14" s="676">
        <v>7804395</v>
      </c>
      <c r="H14" s="676">
        <v>1143877</v>
      </c>
      <c r="I14" s="676">
        <v>544326</v>
      </c>
      <c r="J14" s="676">
        <v>44200</v>
      </c>
      <c r="K14" s="676">
        <v>4633747</v>
      </c>
      <c r="L14" s="676">
        <v>510461</v>
      </c>
      <c r="M14" s="676">
        <v>105760</v>
      </c>
      <c r="N14" s="676"/>
      <c r="O14" s="676"/>
      <c r="P14" s="676"/>
      <c r="Q14" s="676">
        <v>1039584</v>
      </c>
      <c r="R14" s="676">
        <v>1452991</v>
      </c>
      <c r="S14" s="676"/>
      <c r="T14" s="676">
        <v>4983561</v>
      </c>
      <c r="U14" s="676">
        <v>26086000</v>
      </c>
      <c r="V14" s="676"/>
      <c r="W14" s="676">
        <v>6356852</v>
      </c>
      <c r="X14" s="676">
        <v>1453183.74</v>
      </c>
      <c r="Y14" s="676"/>
      <c r="Z14" s="676">
        <v>2034160</v>
      </c>
      <c r="AA14" s="676">
        <v>17720356</v>
      </c>
      <c r="AB14" s="676">
        <v>523041412</v>
      </c>
      <c r="AC14" s="676">
        <v>500294.76</v>
      </c>
      <c r="AD14" s="676">
        <v>16927802</v>
      </c>
      <c r="AE14" s="676">
        <v>24356046</v>
      </c>
      <c r="AF14" s="676">
        <v>146421484</v>
      </c>
      <c r="AG14" s="676">
        <v>19947355</v>
      </c>
      <c r="AH14" s="676">
        <v>19555268</v>
      </c>
      <c r="AI14" s="676">
        <v>335258</v>
      </c>
      <c r="AJ14" s="676">
        <v>1566392</v>
      </c>
      <c r="AK14" s="676">
        <v>2775661</v>
      </c>
      <c r="AL14" s="676"/>
      <c r="AM14" s="676">
        <v>220512</v>
      </c>
      <c r="AN14" s="676">
        <v>810933000</v>
      </c>
      <c r="AO14" s="676">
        <v>6448259</v>
      </c>
      <c r="AP14" s="676"/>
      <c r="AQ14" s="676">
        <v>3447935</v>
      </c>
      <c r="AR14" s="676">
        <v>1908496</v>
      </c>
      <c r="AS14" s="676"/>
      <c r="AT14" s="676">
        <v>18341263.670000002</v>
      </c>
      <c r="AU14" s="676"/>
      <c r="AV14" s="676">
        <v>229361</v>
      </c>
      <c r="AW14" s="676">
        <v>560032</v>
      </c>
      <c r="AX14" s="676">
        <v>87124</v>
      </c>
      <c r="AY14" s="676"/>
      <c r="AZ14" s="676">
        <v>651672</v>
      </c>
      <c r="BA14" s="676"/>
      <c r="BB14" s="676">
        <v>4865896</v>
      </c>
      <c r="BC14" s="676"/>
      <c r="BD14" s="676">
        <v>15211554</v>
      </c>
      <c r="BE14" s="676">
        <v>87968.03</v>
      </c>
      <c r="BF14" s="676">
        <v>21503000</v>
      </c>
      <c r="BG14" s="676">
        <v>41037000</v>
      </c>
      <c r="BH14" s="676">
        <v>3176000</v>
      </c>
      <c r="BI14" s="676">
        <v>257478417</v>
      </c>
      <c r="BJ14" s="676">
        <v>661689</v>
      </c>
      <c r="BK14" s="676">
        <v>292501</v>
      </c>
      <c r="BL14" s="676">
        <v>9729237</v>
      </c>
      <c r="BM14" s="676">
        <v>831000</v>
      </c>
      <c r="BN14" s="676">
        <v>1451288</v>
      </c>
      <c r="BO14" s="676">
        <v>20075</v>
      </c>
      <c r="BP14" s="676"/>
      <c r="BQ14" s="676">
        <v>730215</v>
      </c>
      <c r="BR14" s="676">
        <v>334239</v>
      </c>
      <c r="BS14" s="676">
        <v>317220</v>
      </c>
      <c r="BT14" s="676">
        <v>3415272</v>
      </c>
      <c r="BU14" s="676"/>
      <c r="BV14" s="676">
        <v>587975730</v>
      </c>
      <c r="BW14" s="676">
        <v>24613733</v>
      </c>
      <c r="BX14" s="676">
        <v>54614513</v>
      </c>
      <c r="BY14" s="676">
        <v>51400</v>
      </c>
      <c r="BZ14" s="676">
        <v>488000</v>
      </c>
      <c r="CA14" s="676">
        <v>661845.55000000005</v>
      </c>
      <c r="CB14" s="676">
        <v>1127056.29</v>
      </c>
      <c r="CC14" s="676">
        <v>4132000</v>
      </c>
      <c r="CD14" s="676">
        <v>2004702</v>
      </c>
      <c r="CE14" s="676"/>
      <c r="CF14" s="676">
        <v>44365000</v>
      </c>
      <c r="CG14" s="676"/>
    </row>
    <row r="15" spans="1:85" x14ac:dyDescent="0.25">
      <c r="A15" s="320" t="s">
        <v>896</v>
      </c>
      <c r="B15" s="320" t="s">
        <v>897</v>
      </c>
      <c r="C15" s="320"/>
      <c r="D15" s="320" t="s">
        <v>898</v>
      </c>
      <c r="E15" s="320">
        <v>2015</v>
      </c>
      <c r="F15" s="404">
        <v>1184292</v>
      </c>
      <c r="G15" s="676">
        <v>13535320</v>
      </c>
      <c r="H15" s="676">
        <v>1394936</v>
      </c>
      <c r="I15" s="676">
        <v>1470297</v>
      </c>
      <c r="J15" s="676">
        <v>870698</v>
      </c>
      <c r="K15" s="676">
        <v>8384169</v>
      </c>
      <c r="L15" s="676">
        <v>3959395</v>
      </c>
      <c r="M15" s="676">
        <v>4443</v>
      </c>
      <c r="N15" s="676"/>
      <c r="O15" s="676">
        <v>198603</v>
      </c>
      <c r="P15" s="676">
        <v>7346</v>
      </c>
      <c r="Q15" s="676">
        <v>2134510</v>
      </c>
      <c r="R15" s="676">
        <v>4853064</v>
      </c>
      <c r="S15" s="676">
        <v>246443</v>
      </c>
      <c r="T15" s="676">
        <v>12946921</v>
      </c>
      <c r="U15" s="676"/>
      <c r="V15" s="676">
        <v>16981</v>
      </c>
      <c r="W15" s="676">
        <v>10529993</v>
      </c>
      <c r="X15" s="676">
        <v>52426279.530000001</v>
      </c>
      <c r="Y15" s="676"/>
      <c r="Z15" s="676">
        <v>39730872</v>
      </c>
      <c r="AA15" s="676">
        <v>4665588</v>
      </c>
      <c r="AB15" s="676">
        <v>204598491</v>
      </c>
      <c r="AC15" s="676">
        <v>2053387.71</v>
      </c>
      <c r="AD15" s="676">
        <v>15106351</v>
      </c>
      <c r="AE15" s="676">
        <v>10766074</v>
      </c>
      <c r="AF15" s="676">
        <v>150540222</v>
      </c>
      <c r="AG15" s="676">
        <v>2141229</v>
      </c>
      <c r="AH15" s="676">
        <v>5125347</v>
      </c>
      <c r="AI15" s="676">
        <v>1396658</v>
      </c>
      <c r="AJ15" s="676">
        <v>4380090</v>
      </c>
      <c r="AK15" s="676">
        <v>32019204</v>
      </c>
      <c r="AL15" s="676">
        <v>69299</v>
      </c>
      <c r="AM15" s="676">
        <v>5088784</v>
      </c>
      <c r="AN15" s="676">
        <v>5657018000</v>
      </c>
      <c r="AO15" s="676">
        <v>36851446</v>
      </c>
      <c r="AP15" s="676">
        <v>233015</v>
      </c>
      <c r="AQ15" s="676">
        <v>24827919</v>
      </c>
      <c r="AR15" s="676">
        <v>2062254</v>
      </c>
      <c r="AS15" s="676">
        <v>40039</v>
      </c>
      <c r="AT15" s="676">
        <v>47789537</v>
      </c>
      <c r="AU15" s="676">
        <v>433581</v>
      </c>
      <c r="AV15" s="676">
        <v>549662</v>
      </c>
      <c r="AW15" s="676">
        <v>368621</v>
      </c>
      <c r="AX15" s="676">
        <v>310227</v>
      </c>
      <c r="AY15" s="676"/>
      <c r="AZ15" s="676">
        <v>19426</v>
      </c>
      <c r="BA15" s="676"/>
      <c r="BB15" s="676">
        <v>6467699</v>
      </c>
      <c r="BC15" s="676">
        <v>23429</v>
      </c>
      <c r="BD15" s="676">
        <v>421762012</v>
      </c>
      <c r="BE15" s="676">
        <v>612116.16</v>
      </c>
      <c r="BF15" s="676">
        <v>144891000</v>
      </c>
      <c r="BG15" s="676">
        <v>1476209000</v>
      </c>
      <c r="BH15" s="676">
        <v>81966000</v>
      </c>
      <c r="BI15" s="676">
        <v>1028764463</v>
      </c>
      <c r="BJ15" s="676">
        <v>10426953</v>
      </c>
      <c r="BK15" s="676">
        <v>3783616</v>
      </c>
      <c r="BL15" s="676">
        <v>41504819</v>
      </c>
      <c r="BM15" s="676">
        <v>16747000</v>
      </c>
      <c r="BN15" s="676">
        <v>26937138</v>
      </c>
      <c r="BO15" s="676">
        <v>1660523</v>
      </c>
      <c r="BP15" s="676">
        <v>7116</v>
      </c>
      <c r="BQ15" s="676">
        <v>1562154</v>
      </c>
      <c r="BR15" s="676">
        <v>1372266</v>
      </c>
      <c r="BS15" s="676">
        <v>489160</v>
      </c>
      <c r="BT15" s="676">
        <v>187440659</v>
      </c>
      <c r="BU15" s="676"/>
      <c r="BV15" s="676">
        <v>2677534</v>
      </c>
      <c r="BW15" s="676">
        <v>833956140</v>
      </c>
      <c r="BX15" s="676">
        <v>28914817</v>
      </c>
      <c r="BY15" s="676">
        <v>1112364</v>
      </c>
      <c r="BZ15" s="676">
        <v>2212000</v>
      </c>
      <c r="CA15" s="676">
        <v>5006108.5599999996</v>
      </c>
      <c r="CB15" s="676">
        <v>23173583.75</v>
      </c>
      <c r="CC15" s="676">
        <v>22782000</v>
      </c>
      <c r="CD15" s="676">
        <v>467590</v>
      </c>
      <c r="CE15" s="676">
        <v>2409672000</v>
      </c>
      <c r="CF15" s="676"/>
      <c r="CG15" s="676">
        <v>43447000</v>
      </c>
    </row>
    <row r="16" spans="1:85" x14ac:dyDescent="0.25">
      <c r="A16" s="320" t="s">
        <v>899</v>
      </c>
      <c r="B16" s="320" t="s">
        <v>900</v>
      </c>
      <c r="C16" s="320"/>
      <c r="D16" s="320" t="s">
        <v>901</v>
      </c>
      <c r="E16" s="320">
        <v>2015</v>
      </c>
      <c r="F16" s="404">
        <v>66597</v>
      </c>
      <c r="G16" s="676">
        <v>247646</v>
      </c>
      <c r="H16" s="676">
        <v>14457911</v>
      </c>
      <c r="I16" s="676">
        <v>17113638</v>
      </c>
      <c r="J16" s="676">
        <v>678884</v>
      </c>
      <c r="K16" s="676">
        <v>808903</v>
      </c>
      <c r="L16" s="676">
        <v>1167577</v>
      </c>
      <c r="M16" s="676">
        <v>617299</v>
      </c>
      <c r="N16" s="676">
        <v>9558</v>
      </c>
      <c r="O16" s="676">
        <v>1674060</v>
      </c>
      <c r="P16" s="676">
        <v>1501196</v>
      </c>
      <c r="Q16" s="676">
        <v>6531</v>
      </c>
      <c r="R16" s="676">
        <v>3066817</v>
      </c>
      <c r="S16" s="676">
        <v>58268</v>
      </c>
      <c r="T16" s="676">
        <v>19741260</v>
      </c>
      <c r="U16" s="676">
        <v>10464000</v>
      </c>
      <c r="V16" s="676">
        <v>374216</v>
      </c>
      <c r="W16" s="676">
        <v>1545125</v>
      </c>
      <c r="X16" s="676">
        <v>75595.69</v>
      </c>
      <c r="Y16" s="676">
        <v>74807</v>
      </c>
      <c r="Z16" s="676">
        <v>77422698</v>
      </c>
      <c r="AA16" s="676">
        <v>1371453</v>
      </c>
      <c r="AB16" s="676">
        <v>29011176</v>
      </c>
      <c r="AC16" s="676">
        <v>407571.44</v>
      </c>
      <c r="AD16" s="676">
        <v>782515</v>
      </c>
      <c r="AE16" s="676">
        <v>1441609</v>
      </c>
      <c r="AF16" s="676">
        <v>15180191</v>
      </c>
      <c r="AG16" s="676">
        <v>60824</v>
      </c>
      <c r="AH16" s="676">
        <v>1071846</v>
      </c>
      <c r="AI16" s="676">
        <v>313125</v>
      </c>
      <c r="AJ16" s="676">
        <v>4675</v>
      </c>
      <c r="AK16" s="676">
        <v>13067299</v>
      </c>
      <c r="AL16" s="676">
        <v>910047</v>
      </c>
      <c r="AM16" s="676">
        <v>5963317</v>
      </c>
      <c r="AN16" s="676"/>
      <c r="AO16" s="676">
        <v>5757633</v>
      </c>
      <c r="AP16" s="676">
        <v>4024761</v>
      </c>
      <c r="AQ16" s="676">
        <v>9581493</v>
      </c>
      <c r="AR16" s="676">
        <v>598551</v>
      </c>
      <c r="AS16" s="676">
        <v>177257</v>
      </c>
      <c r="AT16" s="676">
        <v>12466738.76</v>
      </c>
      <c r="AU16" s="676">
        <v>267643</v>
      </c>
      <c r="AV16" s="676">
        <v>1054337</v>
      </c>
      <c r="AW16" s="676">
        <v>34239</v>
      </c>
      <c r="AX16" s="676">
        <v>178974</v>
      </c>
      <c r="AY16" s="676">
        <v>1761026</v>
      </c>
      <c r="AZ16" s="676">
        <v>107716</v>
      </c>
      <c r="BA16" s="676">
        <v>18262942</v>
      </c>
      <c r="BB16" s="676">
        <v>2023071</v>
      </c>
      <c r="BC16" s="676">
        <v>16648418</v>
      </c>
      <c r="BD16" s="676">
        <v>240646507</v>
      </c>
      <c r="BE16" s="676">
        <v>146392.31</v>
      </c>
      <c r="BF16" s="676">
        <v>56457000</v>
      </c>
      <c r="BG16" s="676">
        <v>1946019000</v>
      </c>
      <c r="BH16" s="676">
        <v>4617000</v>
      </c>
      <c r="BI16" s="676">
        <v>17261179</v>
      </c>
      <c r="BJ16" s="676">
        <v>33969636</v>
      </c>
      <c r="BK16" s="676">
        <v>199538</v>
      </c>
      <c r="BL16" s="676">
        <v>146938</v>
      </c>
      <c r="BM16" s="676">
        <v>931000</v>
      </c>
      <c r="BN16" s="676">
        <v>4914460</v>
      </c>
      <c r="BO16" s="676">
        <v>75561</v>
      </c>
      <c r="BP16" s="676">
        <v>175384</v>
      </c>
      <c r="BQ16" s="676">
        <v>449520</v>
      </c>
      <c r="BR16" s="676">
        <v>920740</v>
      </c>
      <c r="BS16" s="676">
        <v>425756</v>
      </c>
      <c r="BT16" s="676">
        <v>28932431</v>
      </c>
      <c r="BU16" s="676">
        <v>67626</v>
      </c>
      <c r="BV16" s="676">
        <v>36294</v>
      </c>
      <c r="BW16" s="676">
        <v>126026404</v>
      </c>
      <c r="BX16" s="676">
        <v>2826050</v>
      </c>
      <c r="BY16" s="676">
        <v>664803</v>
      </c>
      <c r="BZ16" s="676">
        <v>1978000</v>
      </c>
      <c r="CA16" s="676">
        <v>2719003.84</v>
      </c>
      <c r="CB16" s="676">
        <v>2600719.6800000002</v>
      </c>
      <c r="CC16" s="676">
        <v>8377000</v>
      </c>
      <c r="CD16" s="676">
        <v>68121</v>
      </c>
      <c r="CE16" s="676">
        <v>206530000</v>
      </c>
      <c r="CF16" s="676">
        <v>-6723000</v>
      </c>
      <c r="CG16" s="676">
        <v>874040000</v>
      </c>
    </row>
    <row r="17" spans="1:85" x14ac:dyDescent="0.25">
      <c r="A17" s="320" t="s">
        <v>902</v>
      </c>
      <c r="B17" s="320" t="s">
        <v>903</v>
      </c>
      <c r="C17" s="320"/>
      <c r="D17" s="320" t="s">
        <v>904</v>
      </c>
      <c r="E17" s="320">
        <v>2015</v>
      </c>
      <c r="F17" s="404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>
        <v>0</v>
      </c>
      <c r="Y17" s="676"/>
      <c r="Z17" s="676">
        <v>0</v>
      </c>
      <c r="AA17" s="676"/>
      <c r="AB17" s="676">
        <v>55160</v>
      </c>
      <c r="AC17" s="676">
        <v>0</v>
      </c>
      <c r="AD17" s="676"/>
      <c r="AE17" s="676"/>
      <c r="AF17" s="676"/>
      <c r="AG17" s="676"/>
      <c r="AH17" s="676"/>
      <c r="AI17" s="676"/>
      <c r="AJ17" s="676"/>
      <c r="AK17" s="676"/>
      <c r="AL17" s="676"/>
      <c r="AM17" s="676"/>
      <c r="AN17" s="676"/>
      <c r="AO17" s="676"/>
      <c r="AP17" s="676"/>
      <c r="AQ17" s="676">
        <v>0</v>
      </c>
      <c r="AR17" s="676"/>
      <c r="AS17" s="676"/>
      <c r="AT17" s="676">
        <v>0</v>
      </c>
      <c r="AU17" s="676"/>
      <c r="AV17" s="676"/>
      <c r="AW17" s="676"/>
      <c r="AX17" s="676"/>
      <c r="AY17" s="676"/>
      <c r="AZ17" s="676">
        <v>0</v>
      </c>
      <c r="BA17" s="676"/>
      <c r="BB17" s="676"/>
      <c r="BC17" s="676"/>
      <c r="BD17" s="676"/>
      <c r="BE17" s="676">
        <v>0</v>
      </c>
      <c r="BF17" s="676"/>
      <c r="BG17" s="676"/>
      <c r="BH17" s="676"/>
      <c r="BI17" s="676"/>
      <c r="BJ17" s="676"/>
      <c r="BK17" s="676"/>
      <c r="BL17" s="676"/>
      <c r="BM17" s="676"/>
      <c r="BN17" s="676">
        <v>0</v>
      </c>
      <c r="BO17" s="676"/>
      <c r="BP17" s="676"/>
      <c r="BQ17" s="676"/>
      <c r="BR17" s="676">
        <v>0</v>
      </c>
      <c r="BS17" s="676"/>
      <c r="BT17" s="676">
        <v>0</v>
      </c>
      <c r="BU17" s="676"/>
      <c r="BV17" s="676"/>
      <c r="BW17" s="676"/>
      <c r="BX17" s="676"/>
      <c r="BY17" s="676"/>
      <c r="BZ17" s="676"/>
      <c r="CA17" s="676"/>
      <c r="CB17" s="676">
        <v>0</v>
      </c>
      <c r="CC17" s="676"/>
      <c r="CD17" s="676"/>
      <c r="CE17" s="676"/>
      <c r="CF17" s="676"/>
      <c r="CG17" s="676"/>
    </row>
    <row r="18" spans="1:85" x14ac:dyDescent="0.25">
      <c r="A18" s="320" t="s">
        <v>905</v>
      </c>
      <c r="B18" s="320" t="s">
        <v>906</v>
      </c>
      <c r="C18" s="320"/>
      <c r="D18" s="320" t="s">
        <v>907</v>
      </c>
      <c r="E18" s="320">
        <v>2015</v>
      </c>
      <c r="F18" s="404"/>
      <c r="G18" s="676"/>
      <c r="H18" s="676"/>
      <c r="I18" s="676"/>
      <c r="J18" s="676"/>
      <c r="K18" s="676"/>
      <c r="L18" s="676"/>
      <c r="M18" s="676"/>
      <c r="N18" s="676"/>
      <c r="O18" s="676"/>
      <c r="P18" s="676"/>
      <c r="Q18" s="676"/>
      <c r="R18" s="676"/>
      <c r="S18" s="676"/>
      <c r="T18" s="676"/>
      <c r="U18" s="676"/>
      <c r="V18" s="676"/>
      <c r="W18" s="676">
        <v>7806</v>
      </c>
      <c r="X18" s="676">
        <v>0</v>
      </c>
      <c r="Y18" s="676"/>
      <c r="Z18" s="676">
        <v>0</v>
      </c>
      <c r="AA18" s="676">
        <v>157781</v>
      </c>
      <c r="AB18" s="676">
        <v>34153</v>
      </c>
      <c r="AC18" s="676">
        <v>0</v>
      </c>
      <c r="AD18" s="676"/>
      <c r="AE18" s="676"/>
      <c r="AF18" s="676"/>
      <c r="AG18" s="676"/>
      <c r="AH18" s="676"/>
      <c r="AI18" s="676"/>
      <c r="AJ18" s="676"/>
      <c r="AK18" s="676"/>
      <c r="AL18" s="676"/>
      <c r="AM18" s="676"/>
      <c r="AN18" s="676"/>
      <c r="AO18" s="676"/>
      <c r="AP18" s="676"/>
      <c r="AQ18" s="676">
        <v>0</v>
      </c>
      <c r="AR18" s="676"/>
      <c r="AS18" s="676"/>
      <c r="AT18" s="676">
        <v>0</v>
      </c>
      <c r="AU18" s="676"/>
      <c r="AV18" s="676"/>
      <c r="AW18" s="676"/>
      <c r="AX18" s="676"/>
      <c r="AY18" s="676"/>
      <c r="AZ18" s="676">
        <v>0</v>
      </c>
      <c r="BA18" s="676"/>
      <c r="BB18" s="676"/>
      <c r="BC18" s="676"/>
      <c r="BD18" s="676"/>
      <c r="BE18" s="676">
        <v>0</v>
      </c>
      <c r="BF18" s="676"/>
      <c r="BG18" s="676"/>
      <c r="BH18" s="676"/>
      <c r="BI18" s="676"/>
      <c r="BJ18" s="676"/>
      <c r="BK18" s="676"/>
      <c r="BL18" s="676"/>
      <c r="BM18" s="676"/>
      <c r="BN18" s="676">
        <v>0</v>
      </c>
      <c r="BO18" s="676"/>
      <c r="BP18" s="676"/>
      <c r="BQ18" s="676"/>
      <c r="BR18" s="676"/>
      <c r="BS18" s="676"/>
      <c r="BT18" s="676">
        <v>0</v>
      </c>
      <c r="BU18" s="676"/>
      <c r="BV18" s="676"/>
      <c r="BW18" s="676"/>
      <c r="BX18" s="676"/>
      <c r="BY18" s="676"/>
      <c r="BZ18" s="676"/>
      <c r="CA18" s="676"/>
      <c r="CB18" s="676">
        <v>0</v>
      </c>
      <c r="CC18" s="676"/>
      <c r="CD18" s="676"/>
      <c r="CE18" s="676"/>
      <c r="CF18" s="676"/>
      <c r="CG18" s="676"/>
    </row>
    <row r="19" spans="1:85" x14ac:dyDescent="0.25">
      <c r="A19" s="320" t="s">
        <v>908</v>
      </c>
      <c r="B19" s="320" t="s">
        <v>909</v>
      </c>
      <c r="C19" s="320"/>
      <c r="D19" s="320" t="s">
        <v>910</v>
      </c>
      <c r="E19" s="320">
        <v>2015</v>
      </c>
      <c r="F19" s="404">
        <v>25115</v>
      </c>
      <c r="G19" s="676">
        <v>429255</v>
      </c>
      <c r="H19" s="676"/>
      <c r="I19" s="676">
        <v>67558</v>
      </c>
      <c r="J19" s="676"/>
      <c r="K19" s="676">
        <v>10991</v>
      </c>
      <c r="L19" s="676">
        <v>3462</v>
      </c>
      <c r="M19" s="676">
        <v>142199</v>
      </c>
      <c r="N19" s="676"/>
      <c r="O19" s="676"/>
      <c r="P19" s="676"/>
      <c r="Q19" s="676">
        <v>9497</v>
      </c>
      <c r="R19" s="676">
        <v>49932</v>
      </c>
      <c r="S19" s="676"/>
      <c r="T19" s="676">
        <v>8323</v>
      </c>
      <c r="U19" s="676">
        <v>2252986000</v>
      </c>
      <c r="V19" s="676"/>
      <c r="W19" s="676">
        <v>34090</v>
      </c>
      <c r="X19" s="676">
        <v>11119.98</v>
      </c>
      <c r="Y19" s="676"/>
      <c r="Z19" s="676">
        <v>12494</v>
      </c>
      <c r="AA19" s="676"/>
      <c r="AB19" s="676">
        <v>406567</v>
      </c>
      <c r="AC19" s="676">
        <v>0</v>
      </c>
      <c r="AD19" s="676">
        <v>10976</v>
      </c>
      <c r="AE19" s="676">
        <v>5975</v>
      </c>
      <c r="AF19" s="676">
        <v>9977</v>
      </c>
      <c r="AG19" s="676"/>
      <c r="AH19" s="676">
        <v>4135</v>
      </c>
      <c r="AI19" s="676">
        <v>2002</v>
      </c>
      <c r="AJ19" s="676"/>
      <c r="AK19" s="676">
        <v>4754</v>
      </c>
      <c r="AL19" s="676"/>
      <c r="AM19" s="676"/>
      <c r="AN19" s="676">
        <v>133290000</v>
      </c>
      <c r="AO19" s="676">
        <v>96446</v>
      </c>
      <c r="AP19" s="676"/>
      <c r="AQ19" s="676">
        <v>436006</v>
      </c>
      <c r="AR19" s="676"/>
      <c r="AS19" s="676"/>
      <c r="AT19" s="676">
        <v>294.83</v>
      </c>
      <c r="AU19" s="676"/>
      <c r="AV19" s="676"/>
      <c r="AW19" s="676"/>
      <c r="AX19" s="676">
        <v>61417</v>
      </c>
      <c r="AY19" s="676"/>
      <c r="AZ19" s="676">
        <v>6282</v>
      </c>
      <c r="BA19" s="676">
        <v>279457</v>
      </c>
      <c r="BB19" s="676">
        <v>1285</v>
      </c>
      <c r="BC19" s="676"/>
      <c r="BD19" s="676">
        <v>8009304</v>
      </c>
      <c r="BE19" s="676">
        <v>6791.48</v>
      </c>
      <c r="BF19" s="676"/>
      <c r="BG19" s="676">
        <v>14000</v>
      </c>
      <c r="BH19" s="676">
        <v>615000</v>
      </c>
      <c r="BI19" s="676">
        <v>31099</v>
      </c>
      <c r="BJ19" s="676"/>
      <c r="BK19" s="676">
        <v>130904</v>
      </c>
      <c r="BL19" s="676">
        <v>134218</v>
      </c>
      <c r="BM19" s="676"/>
      <c r="BN19" s="676">
        <v>0</v>
      </c>
      <c r="BO19" s="676">
        <v>8851</v>
      </c>
      <c r="BP19" s="676"/>
      <c r="BQ19" s="676"/>
      <c r="BR19" s="676">
        <v>4508</v>
      </c>
      <c r="BS19" s="676"/>
      <c r="BT19" s="676">
        <v>192383</v>
      </c>
      <c r="BU19" s="676"/>
      <c r="BV19" s="676">
        <v>3264</v>
      </c>
      <c r="BW19" s="676">
        <v>91259726</v>
      </c>
      <c r="BX19" s="676">
        <v>2244</v>
      </c>
      <c r="BY19" s="676"/>
      <c r="BZ19" s="676"/>
      <c r="CA19" s="676">
        <v>7661090.4699999997</v>
      </c>
      <c r="CB19" s="676">
        <v>9119.1</v>
      </c>
      <c r="CC19" s="676"/>
      <c r="CD19" s="676"/>
      <c r="CE19" s="676"/>
      <c r="CF19" s="676"/>
      <c r="CG19" s="676">
        <v>6051000</v>
      </c>
    </row>
    <row r="20" spans="1:85" x14ac:dyDescent="0.25">
      <c r="A20" s="320" t="s">
        <v>911</v>
      </c>
      <c r="B20" s="320" t="s">
        <v>912</v>
      </c>
      <c r="C20" s="320"/>
      <c r="D20" s="320" t="s">
        <v>913</v>
      </c>
      <c r="E20" s="320">
        <v>2015</v>
      </c>
      <c r="F20" s="404"/>
      <c r="G20" s="676">
        <v>42480</v>
      </c>
      <c r="H20" s="676">
        <v>2456235</v>
      </c>
      <c r="I20" s="676">
        <v>260302</v>
      </c>
      <c r="J20" s="676">
        <v>27555</v>
      </c>
      <c r="K20" s="676"/>
      <c r="L20" s="676">
        <v>85596</v>
      </c>
      <c r="M20" s="676">
        <v>86100</v>
      </c>
      <c r="N20" s="676"/>
      <c r="O20" s="676">
        <v>49089</v>
      </c>
      <c r="P20" s="676"/>
      <c r="Q20" s="676">
        <v>57663</v>
      </c>
      <c r="R20" s="676">
        <v>947646</v>
      </c>
      <c r="S20" s="676"/>
      <c r="T20" s="676">
        <v>3340</v>
      </c>
      <c r="U20" s="676">
        <v>5690000</v>
      </c>
      <c r="V20" s="676">
        <v>1000</v>
      </c>
      <c r="W20" s="676">
        <v>105451</v>
      </c>
      <c r="X20" s="676">
        <v>5792.01</v>
      </c>
      <c r="Y20" s="676">
        <v>150</v>
      </c>
      <c r="Z20" s="676">
        <v>22878764</v>
      </c>
      <c r="AA20" s="676">
        <v>438788</v>
      </c>
      <c r="AB20" s="676">
        <v>8759764</v>
      </c>
      <c r="AC20" s="676">
        <v>0</v>
      </c>
      <c r="AD20" s="676">
        <v>121551</v>
      </c>
      <c r="AE20" s="676">
        <v>112491</v>
      </c>
      <c r="AF20" s="676">
        <v>69749</v>
      </c>
      <c r="AG20" s="676"/>
      <c r="AH20" s="676">
        <v>12241</v>
      </c>
      <c r="AI20" s="676">
        <v>206987</v>
      </c>
      <c r="AJ20" s="676"/>
      <c r="AK20" s="676">
        <v>4468582</v>
      </c>
      <c r="AL20" s="676">
        <v>247793</v>
      </c>
      <c r="AM20" s="676">
        <v>15214</v>
      </c>
      <c r="AN20" s="676">
        <v>967937000</v>
      </c>
      <c r="AO20" s="676">
        <v>2363068</v>
      </c>
      <c r="AP20" s="676">
        <v>30</v>
      </c>
      <c r="AQ20" s="676">
        <v>52343</v>
      </c>
      <c r="AR20" s="676">
        <v>94993</v>
      </c>
      <c r="AS20" s="676">
        <v>5034</v>
      </c>
      <c r="AT20" s="676">
        <v>1175017.17</v>
      </c>
      <c r="AU20" s="676">
        <v>40555</v>
      </c>
      <c r="AV20" s="676">
        <v>28548</v>
      </c>
      <c r="AW20" s="676"/>
      <c r="AX20" s="676">
        <v>141055</v>
      </c>
      <c r="AY20" s="676"/>
      <c r="AZ20" s="676">
        <v>0</v>
      </c>
      <c r="BA20" s="676"/>
      <c r="BB20" s="676">
        <v>526233</v>
      </c>
      <c r="BC20" s="676"/>
      <c r="BD20" s="676"/>
      <c r="BE20" s="676">
        <v>4684.7</v>
      </c>
      <c r="BF20" s="676"/>
      <c r="BG20" s="676">
        <v>3656966000</v>
      </c>
      <c r="BH20" s="676">
        <v>252000</v>
      </c>
      <c r="BI20" s="676">
        <v>43135298</v>
      </c>
      <c r="BJ20" s="676">
        <v>439830</v>
      </c>
      <c r="BK20" s="676">
        <v>107367</v>
      </c>
      <c r="BL20" s="676">
        <v>229357</v>
      </c>
      <c r="BM20" s="676">
        <v>739000</v>
      </c>
      <c r="BN20" s="676">
        <v>827738</v>
      </c>
      <c r="BO20" s="676">
        <v>38408</v>
      </c>
      <c r="BP20" s="676"/>
      <c r="BQ20" s="676">
        <v>11069</v>
      </c>
      <c r="BR20" s="676">
        <v>9370</v>
      </c>
      <c r="BS20" s="676">
        <v>11388</v>
      </c>
      <c r="BT20" s="676">
        <v>12275367</v>
      </c>
      <c r="BU20" s="676">
        <v>10000</v>
      </c>
      <c r="BV20" s="676">
        <v>235359</v>
      </c>
      <c r="BW20" s="676">
        <v>103014206</v>
      </c>
      <c r="BX20" s="676">
        <v>1296741</v>
      </c>
      <c r="BY20" s="676">
        <v>36789</v>
      </c>
      <c r="BZ20" s="676">
        <v>201000</v>
      </c>
      <c r="CA20" s="676">
        <v>13200</v>
      </c>
      <c r="CB20" s="676">
        <v>637089.57999999996</v>
      </c>
      <c r="CC20" s="676">
        <v>3443000</v>
      </c>
      <c r="CD20" s="676">
        <v>1133402</v>
      </c>
      <c r="CE20" s="676">
        <v>660673000</v>
      </c>
      <c r="CF20" s="676">
        <v>236944000</v>
      </c>
      <c r="CG20" s="676">
        <v>33523000</v>
      </c>
    </row>
    <row r="21" spans="1:85" x14ac:dyDescent="0.25">
      <c r="A21" s="320" t="s">
        <v>914</v>
      </c>
      <c r="B21" s="320" t="s">
        <v>915</v>
      </c>
      <c r="C21" s="320"/>
      <c r="D21" s="320" t="s">
        <v>916</v>
      </c>
      <c r="E21" s="320">
        <v>2015</v>
      </c>
      <c r="F21" s="404"/>
      <c r="G21" s="676"/>
      <c r="H21" s="676"/>
      <c r="I21" s="676"/>
      <c r="J21" s="676"/>
      <c r="K21" s="676"/>
      <c r="L21" s="676"/>
      <c r="M21" s="676">
        <v>29167</v>
      </c>
      <c r="N21" s="676"/>
      <c r="O21" s="676"/>
      <c r="P21" s="676"/>
      <c r="Q21" s="676"/>
      <c r="R21" s="676"/>
      <c r="S21" s="676"/>
      <c r="T21" s="676"/>
      <c r="U21" s="676"/>
      <c r="V21" s="676">
        <v>3333</v>
      </c>
      <c r="W21" s="676"/>
      <c r="X21" s="676">
        <v>0</v>
      </c>
      <c r="Y21" s="676"/>
      <c r="Z21" s="676">
        <v>1261125</v>
      </c>
      <c r="AA21" s="676">
        <v>52932</v>
      </c>
      <c r="AB21" s="676"/>
      <c r="AC21" s="676">
        <v>0</v>
      </c>
      <c r="AD21" s="676"/>
      <c r="AE21" s="676"/>
      <c r="AF21" s="676"/>
      <c r="AG21" s="676"/>
      <c r="AH21" s="676"/>
      <c r="AI21" s="676"/>
      <c r="AJ21" s="676"/>
      <c r="AK21" s="676">
        <v>363483</v>
      </c>
      <c r="AL21" s="676"/>
      <c r="AM21" s="676">
        <v>437790</v>
      </c>
      <c r="AN21" s="676"/>
      <c r="AO21" s="676"/>
      <c r="AP21" s="676"/>
      <c r="AQ21" s="676">
        <v>0</v>
      </c>
      <c r="AR21" s="676"/>
      <c r="AS21" s="676"/>
      <c r="AT21" s="676">
        <v>0</v>
      </c>
      <c r="AU21" s="676"/>
      <c r="AV21" s="676"/>
      <c r="AW21" s="676"/>
      <c r="AX21" s="676"/>
      <c r="AY21" s="676"/>
      <c r="AZ21" s="676">
        <v>0</v>
      </c>
      <c r="BA21" s="676"/>
      <c r="BB21" s="676"/>
      <c r="BC21" s="676"/>
      <c r="BD21" s="676">
        <v>100952090</v>
      </c>
      <c r="BE21" s="676">
        <v>0</v>
      </c>
      <c r="BF21" s="676"/>
      <c r="BG21" s="676">
        <v>46974000</v>
      </c>
      <c r="BH21" s="676"/>
      <c r="BI21" s="676">
        <v>20317</v>
      </c>
      <c r="BJ21" s="676"/>
      <c r="BK21" s="676"/>
      <c r="BL21" s="676"/>
      <c r="BM21" s="676"/>
      <c r="BN21" s="676">
        <v>16</v>
      </c>
      <c r="BO21" s="676"/>
      <c r="BP21" s="676"/>
      <c r="BQ21" s="676"/>
      <c r="BR21" s="676"/>
      <c r="BS21" s="676"/>
      <c r="BT21" s="676">
        <v>1385171</v>
      </c>
      <c r="BU21" s="676"/>
      <c r="BV21" s="676"/>
      <c r="BW21" s="676">
        <v>0</v>
      </c>
      <c r="BX21" s="676"/>
      <c r="BY21" s="676"/>
      <c r="BZ21" s="676"/>
      <c r="CA21" s="676"/>
      <c r="CB21" s="676">
        <v>0</v>
      </c>
      <c r="CC21" s="676"/>
      <c r="CD21" s="676"/>
      <c r="CE21" s="676">
        <v>7504000</v>
      </c>
      <c r="CF21" s="676">
        <v>0</v>
      </c>
      <c r="CG21" s="676">
        <v>0</v>
      </c>
    </row>
    <row r="22" spans="1:85" x14ac:dyDescent="0.25">
      <c r="A22" s="320" t="s">
        <v>917</v>
      </c>
      <c r="B22" s="320" t="s">
        <v>918</v>
      </c>
      <c r="C22" s="320"/>
      <c r="D22" s="320" t="s">
        <v>919</v>
      </c>
      <c r="E22" s="320">
        <v>2015</v>
      </c>
      <c r="F22" s="404"/>
      <c r="G22" s="676"/>
      <c r="H22" s="676"/>
      <c r="I22" s="676"/>
      <c r="J22" s="676"/>
      <c r="K22" s="676"/>
      <c r="L22" s="676"/>
      <c r="M22" s="676"/>
      <c r="N22" s="676"/>
      <c r="O22" s="676"/>
      <c r="P22" s="676"/>
      <c r="Q22" s="676"/>
      <c r="R22" s="676"/>
      <c r="S22" s="676"/>
      <c r="T22" s="676"/>
      <c r="U22" s="676"/>
      <c r="V22" s="676"/>
      <c r="W22" s="676"/>
      <c r="X22" s="676">
        <v>0</v>
      </c>
      <c r="Y22" s="676"/>
      <c r="Z22" s="676">
        <v>0</v>
      </c>
      <c r="AA22" s="676"/>
      <c r="AB22" s="676"/>
      <c r="AC22" s="676">
        <v>0</v>
      </c>
      <c r="AD22" s="676"/>
      <c r="AE22" s="676"/>
      <c r="AF22" s="676"/>
      <c r="AG22" s="676"/>
      <c r="AH22" s="676"/>
      <c r="AI22" s="676"/>
      <c r="AJ22" s="676"/>
      <c r="AK22" s="676"/>
      <c r="AL22" s="676"/>
      <c r="AM22" s="676"/>
      <c r="AN22" s="676"/>
      <c r="AO22" s="676"/>
      <c r="AP22" s="676"/>
      <c r="AQ22" s="676">
        <v>0</v>
      </c>
      <c r="AR22" s="676"/>
      <c r="AS22" s="676"/>
      <c r="AT22" s="676">
        <v>0</v>
      </c>
      <c r="AU22" s="676"/>
      <c r="AV22" s="676"/>
      <c r="AW22" s="676"/>
      <c r="AX22" s="676"/>
      <c r="AY22" s="676"/>
      <c r="AZ22" s="676">
        <v>0</v>
      </c>
      <c r="BA22" s="676"/>
      <c r="BB22" s="676"/>
      <c r="BC22" s="676"/>
      <c r="BD22" s="676"/>
      <c r="BE22" s="676">
        <v>100</v>
      </c>
      <c r="BF22" s="676"/>
      <c r="BG22" s="676"/>
      <c r="BH22" s="676"/>
      <c r="BI22" s="676"/>
      <c r="BJ22" s="676"/>
      <c r="BK22" s="676"/>
      <c r="BL22" s="676"/>
      <c r="BM22" s="676"/>
      <c r="BN22" s="676">
        <v>0</v>
      </c>
      <c r="BO22" s="676"/>
      <c r="BP22" s="676"/>
      <c r="BQ22" s="676"/>
      <c r="BR22" s="676"/>
      <c r="BS22" s="676"/>
      <c r="BT22" s="676">
        <v>0</v>
      </c>
      <c r="BU22" s="676"/>
      <c r="BV22" s="676"/>
      <c r="BW22" s="676"/>
      <c r="BX22" s="676"/>
      <c r="BY22" s="676"/>
      <c r="BZ22" s="676"/>
      <c r="CA22" s="676"/>
      <c r="CB22" s="676">
        <v>0</v>
      </c>
      <c r="CC22" s="676"/>
      <c r="CD22" s="676"/>
      <c r="CE22" s="676"/>
      <c r="CF22" s="676"/>
      <c r="CG22" s="676"/>
    </row>
    <row r="23" spans="1:85" x14ac:dyDescent="0.25">
      <c r="A23" s="320" t="s">
        <v>920</v>
      </c>
      <c r="B23" s="320" t="s">
        <v>1333</v>
      </c>
      <c r="C23" s="320" t="s">
        <v>1334</v>
      </c>
      <c r="D23" s="320" t="s">
        <v>921</v>
      </c>
      <c r="E23" s="320">
        <v>2015</v>
      </c>
      <c r="F23" s="404"/>
      <c r="G23" s="676"/>
      <c r="H23" s="676">
        <v>135598</v>
      </c>
      <c r="I23" s="676"/>
      <c r="J23" s="676">
        <v>22438913</v>
      </c>
      <c r="K23" s="676"/>
      <c r="L23" s="676"/>
      <c r="M23" s="676">
        <v>16724930</v>
      </c>
      <c r="N23" s="676"/>
      <c r="O23" s="676"/>
      <c r="P23" s="676"/>
      <c r="Q23" s="676">
        <v>14213755</v>
      </c>
      <c r="R23" s="676">
        <v>32170</v>
      </c>
      <c r="S23" s="676">
        <v>460831</v>
      </c>
      <c r="T23" s="676"/>
      <c r="U23" s="676">
        <v>191819000</v>
      </c>
      <c r="V23" s="676"/>
      <c r="W23" s="676"/>
      <c r="X23" s="676">
        <v>0</v>
      </c>
      <c r="Y23" s="676"/>
      <c r="Z23" s="676">
        <v>111216772</v>
      </c>
      <c r="AA23" s="676"/>
      <c r="AB23" s="676">
        <v>0</v>
      </c>
      <c r="AC23" s="676">
        <v>0</v>
      </c>
      <c r="AD23" s="676"/>
      <c r="AE23" s="676">
        <v>6639</v>
      </c>
      <c r="AF23" s="676"/>
      <c r="AG23" s="676"/>
      <c r="AH23" s="676"/>
      <c r="AI23" s="676"/>
      <c r="AJ23" s="676"/>
      <c r="AK23" s="676">
        <v>16000</v>
      </c>
      <c r="AL23" s="676">
        <v>199264</v>
      </c>
      <c r="AM23" s="676">
        <v>2320</v>
      </c>
      <c r="AN23" s="676"/>
      <c r="AO23" s="676">
        <v>0</v>
      </c>
      <c r="AP23" s="676">
        <v>6000</v>
      </c>
      <c r="AQ23" s="676">
        <v>0</v>
      </c>
      <c r="AR23" s="676"/>
      <c r="AS23" s="676"/>
      <c r="AT23" s="676">
        <v>1306.22</v>
      </c>
      <c r="AU23" s="676">
        <v>5000</v>
      </c>
      <c r="AV23" s="676"/>
      <c r="AW23" s="676"/>
      <c r="AX23" s="676">
        <v>25341756</v>
      </c>
      <c r="AY23" s="676">
        <v>4100254</v>
      </c>
      <c r="AZ23" s="676">
        <v>0</v>
      </c>
      <c r="BA23" s="676">
        <v>19125631</v>
      </c>
      <c r="BB23" s="676"/>
      <c r="BC23" s="676">
        <v>250000</v>
      </c>
      <c r="BD23" s="676">
        <v>4847815</v>
      </c>
      <c r="BE23" s="676">
        <v>0</v>
      </c>
      <c r="BF23" s="676">
        <v>19996000</v>
      </c>
      <c r="BG23" s="676">
        <v>14912000</v>
      </c>
      <c r="BH23" s="676">
        <v>2085726000</v>
      </c>
      <c r="BI23" s="676"/>
      <c r="BJ23" s="676"/>
      <c r="BK23" s="676"/>
      <c r="BL23" s="676"/>
      <c r="BM23" s="676">
        <v>849391000</v>
      </c>
      <c r="BN23" s="676">
        <v>0</v>
      </c>
      <c r="BO23" s="676"/>
      <c r="BP23" s="676">
        <v>117173</v>
      </c>
      <c r="BQ23" s="676"/>
      <c r="BR23" s="676"/>
      <c r="BS23" s="676">
        <v>3693841</v>
      </c>
      <c r="BT23" s="676">
        <v>80590061</v>
      </c>
      <c r="BU23" s="676"/>
      <c r="BV23" s="676"/>
      <c r="BW23" s="676">
        <v>1251019</v>
      </c>
      <c r="BX23" s="676"/>
      <c r="BY23" s="676"/>
      <c r="BZ23" s="676">
        <v>895422000</v>
      </c>
      <c r="CA23" s="676"/>
      <c r="CB23" s="676">
        <v>0</v>
      </c>
      <c r="CC23" s="676">
        <v>929976000</v>
      </c>
      <c r="CD23" s="676"/>
      <c r="CE23" s="676">
        <v>39438000</v>
      </c>
      <c r="CF23" s="676">
        <v>16569000</v>
      </c>
      <c r="CG23" s="676">
        <v>5972000</v>
      </c>
    </row>
    <row r="24" spans="1:85" x14ac:dyDescent="0.25">
      <c r="A24" s="320" t="s">
        <v>922</v>
      </c>
      <c r="B24" s="320" t="s">
        <v>1335</v>
      </c>
      <c r="C24" s="320" t="s">
        <v>1336</v>
      </c>
      <c r="D24" s="320" t="s">
        <v>923</v>
      </c>
      <c r="E24" s="320">
        <v>2015</v>
      </c>
      <c r="F24" s="404"/>
      <c r="G24" s="676"/>
      <c r="H24" s="676">
        <v>135598</v>
      </c>
      <c r="I24" s="676"/>
      <c r="J24" s="676">
        <v>21938913</v>
      </c>
      <c r="K24" s="676"/>
      <c r="L24" s="676"/>
      <c r="M24" s="676">
        <v>14547527</v>
      </c>
      <c r="N24" s="676"/>
      <c r="O24" s="676"/>
      <c r="P24" s="676"/>
      <c r="Q24" s="676">
        <v>10804246</v>
      </c>
      <c r="R24" s="676">
        <v>32170</v>
      </c>
      <c r="S24" s="676">
        <v>37011</v>
      </c>
      <c r="T24" s="676"/>
      <c r="U24" s="676">
        <v>6607000</v>
      </c>
      <c r="V24" s="676"/>
      <c r="W24" s="676"/>
      <c r="X24" s="676">
        <v>0</v>
      </c>
      <c r="Y24" s="676"/>
      <c r="Z24" s="676">
        <v>0</v>
      </c>
      <c r="AA24" s="676"/>
      <c r="AB24" s="676"/>
      <c r="AC24" s="676">
        <v>0</v>
      </c>
      <c r="AD24" s="676"/>
      <c r="AE24" s="676">
        <v>6639</v>
      </c>
      <c r="AF24" s="676"/>
      <c r="AG24" s="676"/>
      <c r="AH24" s="676"/>
      <c r="AI24" s="676"/>
      <c r="AJ24" s="676"/>
      <c r="AK24" s="676"/>
      <c r="AL24" s="676"/>
      <c r="AM24" s="676"/>
      <c r="AN24" s="676"/>
      <c r="AO24" s="676"/>
      <c r="AP24" s="676">
        <v>6000</v>
      </c>
      <c r="AQ24" s="676">
        <v>0</v>
      </c>
      <c r="AR24" s="676"/>
      <c r="AS24" s="676"/>
      <c r="AT24" s="676">
        <v>1306.22</v>
      </c>
      <c r="AU24" s="676">
        <v>5000</v>
      </c>
      <c r="AV24" s="676"/>
      <c r="AW24" s="676"/>
      <c r="AX24" s="676">
        <v>20664568</v>
      </c>
      <c r="AY24" s="676">
        <v>4100254</v>
      </c>
      <c r="AZ24" s="676">
        <v>0</v>
      </c>
      <c r="BA24" s="676">
        <v>19125631</v>
      </c>
      <c r="BB24" s="676"/>
      <c r="BC24" s="676"/>
      <c r="BD24" s="676"/>
      <c r="BE24" s="676">
        <v>0</v>
      </c>
      <c r="BF24" s="676"/>
      <c r="BG24" s="676">
        <v>14912000</v>
      </c>
      <c r="BH24" s="676">
        <v>4944000</v>
      </c>
      <c r="BI24" s="676"/>
      <c r="BJ24" s="676"/>
      <c r="BK24" s="676"/>
      <c r="BL24" s="676"/>
      <c r="BM24" s="676">
        <v>827606000</v>
      </c>
      <c r="BN24" s="676">
        <v>0</v>
      </c>
      <c r="BO24" s="676"/>
      <c r="BP24" s="676">
        <v>117173</v>
      </c>
      <c r="BQ24" s="676"/>
      <c r="BR24" s="676"/>
      <c r="BS24" s="676"/>
      <c r="BT24" s="676">
        <v>75352655</v>
      </c>
      <c r="BU24" s="676"/>
      <c r="BV24" s="676"/>
      <c r="BW24" s="676"/>
      <c r="BX24" s="676"/>
      <c r="BY24" s="676"/>
      <c r="BZ24" s="676">
        <v>895422000</v>
      </c>
      <c r="CA24" s="676"/>
      <c r="CB24" s="676">
        <v>0</v>
      </c>
      <c r="CC24" s="676">
        <v>290106000</v>
      </c>
      <c r="CD24" s="676"/>
      <c r="CE24" s="676">
        <v>1009000</v>
      </c>
      <c r="CF24" s="676">
        <v>28000</v>
      </c>
      <c r="CG24" s="676"/>
    </row>
    <row r="25" spans="1:85" x14ac:dyDescent="0.25">
      <c r="A25" s="320" t="s">
        <v>924</v>
      </c>
      <c r="B25" s="320" t="s">
        <v>1337</v>
      </c>
      <c r="C25" s="320" t="s">
        <v>1338</v>
      </c>
      <c r="D25" s="320" t="s">
        <v>925</v>
      </c>
      <c r="E25" s="320">
        <v>2015</v>
      </c>
      <c r="F25" s="404"/>
      <c r="G25" s="676"/>
      <c r="H25" s="676"/>
      <c r="I25" s="676"/>
      <c r="J25" s="676"/>
      <c r="K25" s="676"/>
      <c r="L25" s="676"/>
      <c r="M25" s="676"/>
      <c r="N25" s="676"/>
      <c r="O25" s="676"/>
      <c r="P25" s="676"/>
      <c r="Q25" s="676">
        <v>3409509</v>
      </c>
      <c r="R25" s="676"/>
      <c r="S25" s="676"/>
      <c r="T25" s="676"/>
      <c r="U25" s="676"/>
      <c r="V25" s="676"/>
      <c r="W25" s="676"/>
      <c r="X25" s="676">
        <v>0</v>
      </c>
      <c r="Y25" s="676"/>
      <c r="Z25" s="676">
        <v>111216772</v>
      </c>
      <c r="AA25" s="676"/>
      <c r="AB25" s="676"/>
      <c r="AC25" s="676">
        <v>0</v>
      </c>
      <c r="AD25" s="676"/>
      <c r="AE25" s="676"/>
      <c r="AF25" s="676"/>
      <c r="AG25" s="676"/>
      <c r="AH25" s="676"/>
      <c r="AI25" s="676"/>
      <c r="AJ25" s="676"/>
      <c r="AK25" s="676"/>
      <c r="AL25" s="676">
        <v>149120</v>
      </c>
      <c r="AM25" s="676"/>
      <c r="AN25" s="676"/>
      <c r="AO25" s="676"/>
      <c r="AP25" s="676"/>
      <c r="AQ25" s="676">
        <v>0</v>
      </c>
      <c r="AR25" s="676"/>
      <c r="AS25" s="676"/>
      <c r="AT25" s="676">
        <v>0</v>
      </c>
      <c r="AU25" s="676"/>
      <c r="AV25" s="676"/>
      <c r="AW25" s="676"/>
      <c r="AX25" s="676"/>
      <c r="AY25" s="676"/>
      <c r="AZ25" s="676">
        <v>0</v>
      </c>
      <c r="BA25" s="676"/>
      <c r="BB25" s="676"/>
      <c r="BC25" s="676"/>
      <c r="BD25" s="676"/>
      <c r="BE25" s="676">
        <v>0</v>
      </c>
      <c r="BF25" s="676"/>
      <c r="BG25" s="676"/>
      <c r="BH25" s="676">
        <v>2026551000</v>
      </c>
      <c r="BI25" s="676"/>
      <c r="BJ25" s="676"/>
      <c r="BK25" s="676"/>
      <c r="BL25" s="676"/>
      <c r="BM25" s="676"/>
      <c r="BN25" s="676">
        <v>0</v>
      </c>
      <c r="BO25" s="676"/>
      <c r="BP25" s="676"/>
      <c r="BQ25" s="676"/>
      <c r="BR25" s="676"/>
      <c r="BS25" s="676"/>
      <c r="BT25" s="676">
        <v>1411535</v>
      </c>
      <c r="BU25" s="676"/>
      <c r="BV25" s="676"/>
      <c r="BW25" s="676">
        <v>1251019</v>
      </c>
      <c r="BX25" s="676"/>
      <c r="BY25" s="676"/>
      <c r="BZ25" s="676"/>
      <c r="CA25" s="676"/>
      <c r="CB25" s="676">
        <v>0</v>
      </c>
      <c r="CC25" s="676"/>
      <c r="CD25" s="676"/>
      <c r="CE25" s="676">
        <v>3740000</v>
      </c>
      <c r="CF25" s="676">
        <v>6243000</v>
      </c>
      <c r="CG25" s="676"/>
    </row>
    <row r="26" spans="1:85" x14ac:dyDescent="0.25">
      <c r="A26" s="320" t="s">
        <v>926</v>
      </c>
      <c r="B26" s="320" t="s">
        <v>1339</v>
      </c>
      <c r="C26" s="320" t="s">
        <v>1340</v>
      </c>
      <c r="D26" s="320" t="s">
        <v>927</v>
      </c>
      <c r="E26" s="320">
        <v>2015</v>
      </c>
      <c r="F26" s="404"/>
      <c r="G26" s="676"/>
      <c r="H26" s="676"/>
      <c r="I26" s="676"/>
      <c r="J26" s="676"/>
      <c r="K26" s="676"/>
      <c r="L26" s="676"/>
      <c r="M26" s="676">
        <v>166</v>
      </c>
      <c r="N26" s="676"/>
      <c r="O26" s="676"/>
      <c r="P26" s="676"/>
      <c r="Q26" s="676"/>
      <c r="R26" s="676"/>
      <c r="S26" s="676"/>
      <c r="T26" s="676"/>
      <c r="U26" s="676"/>
      <c r="V26" s="676"/>
      <c r="W26" s="676"/>
      <c r="X26" s="676">
        <v>0</v>
      </c>
      <c r="Y26" s="676"/>
      <c r="Z26" s="676">
        <v>0</v>
      </c>
      <c r="AA26" s="676"/>
      <c r="AB26" s="676">
        <v>0</v>
      </c>
      <c r="AC26" s="676">
        <v>0</v>
      </c>
      <c r="AD26" s="676"/>
      <c r="AE26" s="676"/>
      <c r="AF26" s="676"/>
      <c r="AG26" s="676"/>
      <c r="AH26" s="676"/>
      <c r="AI26" s="676"/>
      <c r="AJ26" s="676"/>
      <c r="AK26" s="676">
        <v>6000</v>
      </c>
      <c r="AL26" s="676"/>
      <c r="AM26" s="676">
        <v>0</v>
      </c>
      <c r="AN26" s="676"/>
      <c r="AO26" s="676"/>
      <c r="AP26" s="676"/>
      <c r="AQ26" s="676">
        <v>0</v>
      </c>
      <c r="AR26" s="676"/>
      <c r="AS26" s="676"/>
      <c r="AT26" s="676">
        <v>0</v>
      </c>
      <c r="AU26" s="676"/>
      <c r="AV26" s="676"/>
      <c r="AW26" s="676"/>
      <c r="AX26" s="676"/>
      <c r="AY26" s="676"/>
      <c r="AZ26" s="676">
        <v>0</v>
      </c>
      <c r="BA26" s="676"/>
      <c r="BB26" s="676"/>
      <c r="BC26" s="676"/>
      <c r="BD26" s="676">
        <v>4847815</v>
      </c>
      <c r="BE26" s="676">
        <v>0</v>
      </c>
      <c r="BF26" s="676">
        <v>9557000</v>
      </c>
      <c r="BG26" s="676"/>
      <c r="BH26" s="676"/>
      <c r="BI26" s="676"/>
      <c r="BJ26" s="676"/>
      <c r="BK26" s="676"/>
      <c r="BL26" s="676"/>
      <c r="BM26" s="676"/>
      <c r="BN26" s="676">
        <v>0</v>
      </c>
      <c r="BO26" s="676"/>
      <c r="BP26" s="676"/>
      <c r="BQ26" s="676"/>
      <c r="BR26" s="676"/>
      <c r="BS26" s="676"/>
      <c r="BT26" s="676">
        <v>0</v>
      </c>
      <c r="BU26" s="676"/>
      <c r="BV26" s="676"/>
      <c r="BW26" s="676">
        <v>0</v>
      </c>
      <c r="BX26" s="676"/>
      <c r="BY26" s="676"/>
      <c r="BZ26" s="676"/>
      <c r="CA26" s="676"/>
      <c r="CB26" s="676">
        <v>0</v>
      </c>
      <c r="CC26" s="676"/>
      <c r="CD26" s="676"/>
      <c r="CE26" s="676">
        <v>155000</v>
      </c>
      <c r="CF26" s="676"/>
      <c r="CG26" s="676">
        <v>5626000</v>
      </c>
    </row>
    <row r="27" spans="1:85" x14ac:dyDescent="0.25">
      <c r="A27" s="320" t="s">
        <v>928</v>
      </c>
      <c r="B27" s="320" t="s">
        <v>1341</v>
      </c>
      <c r="C27" s="320" t="s">
        <v>1342</v>
      </c>
      <c r="D27" s="320" t="s">
        <v>929</v>
      </c>
      <c r="E27" s="320">
        <v>2015</v>
      </c>
      <c r="F27" s="404"/>
      <c r="G27" s="676"/>
      <c r="H27" s="676"/>
      <c r="I27" s="676"/>
      <c r="J27" s="676">
        <v>500000</v>
      </c>
      <c r="K27" s="676"/>
      <c r="L27" s="676"/>
      <c r="M27" s="676"/>
      <c r="N27" s="676"/>
      <c r="O27" s="676"/>
      <c r="P27" s="676"/>
      <c r="Q27" s="676"/>
      <c r="R27" s="676"/>
      <c r="S27" s="676"/>
      <c r="T27" s="676"/>
      <c r="U27" s="676">
        <v>183578000</v>
      </c>
      <c r="V27" s="676"/>
      <c r="W27" s="676"/>
      <c r="X27" s="676">
        <v>0</v>
      </c>
      <c r="Y27" s="676"/>
      <c r="Z27" s="676">
        <v>0</v>
      </c>
      <c r="AA27" s="676"/>
      <c r="AB27" s="676"/>
      <c r="AC27" s="676">
        <v>0</v>
      </c>
      <c r="AD27" s="676"/>
      <c r="AE27" s="676"/>
      <c r="AF27" s="676"/>
      <c r="AG27" s="676"/>
      <c r="AH27" s="676"/>
      <c r="AI27" s="676"/>
      <c r="AJ27" s="676"/>
      <c r="AK27" s="676"/>
      <c r="AL27" s="676"/>
      <c r="AM27" s="676"/>
      <c r="AN27" s="676"/>
      <c r="AO27" s="676"/>
      <c r="AP27" s="676"/>
      <c r="AQ27" s="676">
        <v>0</v>
      </c>
      <c r="AR27" s="676"/>
      <c r="AS27" s="676"/>
      <c r="AT27" s="676">
        <v>0</v>
      </c>
      <c r="AU27" s="676"/>
      <c r="AV27" s="676"/>
      <c r="AW27" s="676"/>
      <c r="AX27" s="676"/>
      <c r="AY27" s="676"/>
      <c r="AZ27" s="676">
        <v>0</v>
      </c>
      <c r="BA27" s="676"/>
      <c r="BB27" s="676"/>
      <c r="BC27" s="676">
        <v>125000</v>
      </c>
      <c r="BD27" s="676"/>
      <c r="BE27" s="676">
        <v>0</v>
      </c>
      <c r="BF27" s="676"/>
      <c r="BG27" s="676"/>
      <c r="BH27" s="676"/>
      <c r="BI27" s="676"/>
      <c r="BJ27" s="676"/>
      <c r="BK27" s="676"/>
      <c r="BL27" s="676"/>
      <c r="BM27" s="676">
        <v>21785000</v>
      </c>
      <c r="BN27" s="676">
        <v>0</v>
      </c>
      <c r="BO27" s="676"/>
      <c r="BP27" s="676"/>
      <c r="BQ27" s="676"/>
      <c r="BR27" s="676"/>
      <c r="BS27" s="676"/>
      <c r="BT27" s="676">
        <v>3825871</v>
      </c>
      <c r="BU27" s="676"/>
      <c r="BV27" s="676"/>
      <c r="BW27" s="676"/>
      <c r="BX27" s="676"/>
      <c r="BY27" s="676"/>
      <c r="BZ27" s="676"/>
      <c r="CA27" s="676"/>
      <c r="CB27" s="676">
        <v>0</v>
      </c>
      <c r="CC27" s="676">
        <v>630000000</v>
      </c>
      <c r="CD27" s="676"/>
      <c r="CE27" s="676"/>
      <c r="CF27" s="676">
        <v>10298000</v>
      </c>
      <c r="CG27" s="676"/>
    </row>
    <row r="28" spans="1:85" x14ac:dyDescent="0.25">
      <c r="A28" s="320" t="s">
        <v>930</v>
      </c>
      <c r="B28" s="320" t="s">
        <v>1343</v>
      </c>
      <c r="C28" s="320" t="s">
        <v>1342</v>
      </c>
      <c r="D28" s="320" t="s">
        <v>931</v>
      </c>
      <c r="E28" s="320">
        <v>2015</v>
      </c>
      <c r="F28" s="404"/>
      <c r="G28" s="676"/>
      <c r="H28" s="676"/>
      <c r="I28" s="676"/>
      <c r="J28" s="676"/>
      <c r="K28" s="676"/>
      <c r="L28" s="676"/>
      <c r="M28" s="676"/>
      <c r="N28" s="676"/>
      <c r="O28" s="676"/>
      <c r="P28" s="676"/>
      <c r="Q28" s="676"/>
      <c r="R28" s="676"/>
      <c r="S28" s="676"/>
      <c r="T28" s="676"/>
      <c r="U28" s="676"/>
      <c r="V28" s="676"/>
      <c r="W28" s="676"/>
      <c r="X28" s="676">
        <v>0</v>
      </c>
      <c r="Y28" s="676"/>
      <c r="Z28" s="676">
        <v>0</v>
      </c>
      <c r="AA28" s="676"/>
      <c r="AB28" s="676"/>
      <c r="AC28" s="676">
        <v>0</v>
      </c>
      <c r="AD28" s="676"/>
      <c r="AE28" s="676"/>
      <c r="AF28" s="676"/>
      <c r="AG28" s="676"/>
      <c r="AH28" s="676"/>
      <c r="AI28" s="676"/>
      <c r="AJ28" s="676"/>
      <c r="AK28" s="676"/>
      <c r="AL28" s="676">
        <v>50144</v>
      </c>
      <c r="AM28" s="676"/>
      <c r="AN28" s="676"/>
      <c r="AO28" s="676"/>
      <c r="AP28" s="676"/>
      <c r="AQ28" s="676">
        <v>0</v>
      </c>
      <c r="AR28" s="676"/>
      <c r="AS28" s="676"/>
      <c r="AT28" s="676">
        <v>0</v>
      </c>
      <c r="AU28" s="676"/>
      <c r="AV28" s="676"/>
      <c r="AW28" s="676"/>
      <c r="AX28" s="676">
        <v>168938</v>
      </c>
      <c r="AY28" s="676"/>
      <c r="AZ28" s="676">
        <v>0</v>
      </c>
      <c r="BA28" s="676"/>
      <c r="BB28" s="676"/>
      <c r="BC28" s="676"/>
      <c r="BD28" s="676"/>
      <c r="BE28" s="676">
        <v>0</v>
      </c>
      <c r="BF28" s="676"/>
      <c r="BG28" s="676"/>
      <c r="BH28" s="676"/>
      <c r="BI28" s="676"/>
      <c r="BJ28" s="676"/>
      <c r="BK28" s="676"/>
      <c r="BL28" s="676"/>
      <c r="BM28" s="676"/>
      <c r="BN28" s="676">
        <v>0</v>
      </c>
      <c r="BO28" s="676"/>
      <c r="BP28" s="676"/>
      <c r="BQ28" s="676"/>
      <c r="BR28" s="676"/>
      <c r="BS28" s="676"/>
      <c r="BT28" s="676">
        <v>0</v>
      </c>
      <c r="BU28" s="676"/>
      <c r="BV28" s="676"/>
      <c r="BW28" s="676"/>
      <c r="BX28" s="676"/>
      <c r="BY28" s="676"/>
      <c r="BZ28" s="676"/>
      <c r="CA28" s="676"/>
      <c r="CB28" s="676">
        <v>0</v>
      </c>
      <c r="CC28" s="676"/>
      <c r="CD28" s="676"/>
      <c r="CE28" s="676"/>
      <c r="CF28" s="676"/>
      <c r="CG28" s="676"/>
    </row>
    <row r="29" spans="1:85" x14ac:dyDescent="0.25">
      <c r="A29" s="320" t="s">
        <v>932</v>
      </c>
      <c r="B29" s="320" t="s">
        <v>1344</v>
      </c>
      <c r="C29" s="320" t="s">
        <v>1345</v>
      </c>
      <c r="D29" s="320" t="s">
        <v>933</v>
      </c>
      <c r="E29" s="320">
        <v>2015</v>
      </c>
      <c r="F29" s="404"/>
      <c r="G29" s="676"/>
      <c r="H29" s="676"/>
      <c r="I29" s="676"/>
      <c r="J29" s="676"/>
      <c r="K29" s="676"/>
      <c r="L29" s="676"/>
      <c r="M29" s="676">
        <v>2177237</v>
      </c>
      <c r="N29" s="676"/>
      <c r="O29" s="676"/>
      <c r="P29" s="676"/>
      <c r="Q29" s="676"/>
      <c r="R29" s="676"/>
      <c r="S29" s="676"/>
      <c r="T29" s="676"/>
      <c r="U29" s="676"/>
      <c r="V29" s="676"/>
      <c r="W29" s="676"/>
      <c r="X29" s="676">
        <v>0</v>
      </c>
      <c r="Y29" s="676"/>
      <c r="Z29" s="676">
        <v>0</v>
      </c>
      <c r="AA29" s="676"/>
      <c r="AB29" s="676"/>
      <c r="AC29" s="676">
        <v>0</v>
      </c>
      <c r="AD29" s="676"/>
      <c r="AE29" s="676"/>
      <c r="AF29" s="676"/>
      <c r="AG29" s="676"/>
      <c r="AH29" s="676"/>
      <c r="AI29" s="676"/>
      <c r="AJ29" s="676"/>
      <c r="AK29" s="676"/>
      <c r="AL29" s="676"/>
      <c r="AM29" s="676"/>
      <c r="AN29" s="676"/>
      <c r="AO29" s="676"/>
      <c r="AP29" s="676"/>
      <c r="AQ29" s="676">
        <v>0</v>
      </c>
      <c r="AR29" s="676"/>
      <c r="AS29" s="676"/>
      <c r="AT29" s="676">
        <v>0</v>
      </c>
      <c r="AU29" s="676"/>
      <c r="AV29" s="676"/>
      <c r="AW29" s="676"/>
      <c r="AX29" s="676">
        <v>4150000</v>
      </c>
      <c r="AY29" s="676"/>
      <c r="AZ29" s="676">
        <v>0</v>
      </c>
      <c r="BA29" s="676"/>
      <c r="BB29" s="676"/>
      <c r="BC29" s="676"/>
      <c r="BD29" s="676"/>
      <c r="BE29" s="676">
        <v>0</v>
      </c>
      <c r="BF29" s="676"/>
      <c r="BG29" s="676"/>
      <c r="BH29" s="676"/>
      <c r="BI29" s="676"/>
      <c r="BJ29" s="676"/>
      <c r="BK29" s="676"/>
      <c r="BL29" s="676"/>
      <c r="BM29" s="676"/>
      <c r="BN29" s="676">
        <v>0</v>
      </c>
      <c r="BO29" s="676"/>
      <c r="BP29" s="676"/>
      <c r="BQ29" s="676"/>
      <c r="BR29" s="676"/>
      <c r="BS29" s="676"/>
      <c r="BT29" s="676">
        <v>0</v>
      </c>
      <c r="BU29" s="676"/>
      <c r="BV29" s="676"/>
      <c r="BW29" s="676"/>
      <c r="BX29" s="676"/>
      <c r="BY29" s="676"/>
      <c r="BZ29" s="676"/>
      <c r="CA29" s="676"/>
      <c r="CB29" s="676">
        <v>0</v>
      </c>
      <c r="CC29" s="676"/>
      <c r="CD29" s="676"/>
      <c r="CE29" s="676"/>
      <c r="CF29" s="676"/>
      <c r="CG29" s="676"/>
    </row>
    <row r="30" spans="1:85" x14ac:dyDescent="0.25">
      <c r="A30" s="320" t="s">
        <v>934</v>
      </c>
      <c r="B30" s="320" t="s">
        <v>1346</v>
      </c>
      <c r="C30" s="320" t="s">
        <v>1347</v>
      </c>
      <c r="D30" s="320" t="s">
        <v>935</v>
      </c>
      <c r="E30" s="320">
        <v>2015</v>
      </c>
      <c r="F30" s="404"/>
      <c r="G30" s="676"/>
      <c r="H30" s="676"/>
      <c r="I30" s="676"/>
      <c r="J30" s="676"/>
      <c r="K30" s="676"/>
      <c r="L30" s="676"/>
      <c r="M30" s="676"/>
      <c r="N30" s="676"/>
      <c r="O30" s="676"/>
      <c r="P30" s="676"/>
      <c r="Q30" s="676"/>
      <c r="R30" s="676"/>
      <c r="S30" s="676"/>
      <c r="T30" s="676"/>
      <c r="U30" s="676">
        <v>1634000</v>
      </c>
      <c r="V30" s="676"/>
      <c r="W30" s="676"/>
      <c r="X30" s="676">
        <v>0</v>
      </c>
      <c r="Y30" s="676"/>
      <c r="Z30" s="676">
        <v>0</v>
      </c>
      <c r="AA30" s="676"/>
      <c r="AB30" s="676"/>
      <c r="AC30" s="676">
        <v>0</v>
      </c>
      <c r="AD30" s="676"/>
      <c r="AE30" s="676"/>
      <c r="AF30" s="676"/>
      <c r="AG30" s="676"/>
      <c r="AH30" s="676"/>
      <c r="AI30" s="676"/>
      <c r="AJ30" s="676"/>
      <c r="AK30" s="676">
        <v>10000</v>
      </c>
      <c r="AL30" s="676"/>
      <c r="AM30" s="676">
        <v>2320</v>
      </c>
      <c r="AN30" s="676"/>
      <c r="AO30" s="676"/>
      <c r="AP30" s="676"/>
      <c r="AQ30" s="676">
        <v>0</v>
      </c>
      <c r="AR30" s="676"/>
      <c r="AS30" s="676"/>
      <c r="AT30" s="676">
        <v>0</v>
      </c>
      <c r="AU30" s="676"/>
      <c r="AV30" s="676"/>
      <c r="AW30" s="676"/>
      <c r="AX30" s="676"/>
      <c r="AY30" s="676"/>
      <c r="AZ30" s="676">
        <v>0</v>
      </c>
      <c r="BA30" s="676"/>
      <c r="BB30" s="676"/>
      <c r="BC30" s="676"/>
      <c r="BD30" s="676"/>
      <c r="BE30" s="676">
        <v>0</v>
      </c>
      <c r="BF30" s="676">
        <v>10439000</v>
      </c>
      <c r="BG30" s="676"/>
      <c r="BH30" s="676">
        <v>54231000</v>
      </c>
      <c r="BI30" s="676"/>
      <c r="BJ30" s="676"/>
      <c r="BK30" s="676"/>
      <c r="BL30" s="676"/>
      <c r="BM30" s="676"/>
      <c r="BN30" s="676">
        <v>0</v>
      </c>
      <c r="BO30" s="676"/>
      <c r="BP30" s="676"/>
      <c r="BQ30" s="676"/>
      <c r="BR30" s="676"/>
      <c r="BS30" s="676"/>
      <c r="BT30" s="676">
        <v>0</v>
      </c>
      <c r="BU30" s="676"/>
      <c r="BV30" s="676"/>
      <c r="BW30" s="676"/>
      <c r="BX30" s="676"/>
      <c r="BY30" s="676"/>
      <c r="BZ30" s="676"/>
      <c r="CA30" s="676"/>
      <c r="CB30" s="676">
        <v>0</v>
      </c>
      <c r="CC30" s="676">
        <v>9870000</v>
      </c>
      <c r="CD30" s="676"/>
      <c r="CE30" s="676">
        <v>34534000</v>
      </c>
      <c r="CF30" s="676"/>
      <c r="CG30" s="676">
        <v>346000</v>
      </c>
    </row>
    <row r="31" spans="1:85" x14ac:dyDescent="0.25">
      <c r="A31" s="320" t="s">
        <v>936</v>
      </c>
      <c r="B31" s="320" t="s">
        <v>1348</v>
      </c>
      <c r="C31" s="320" t="s">
        <v>1349</v>
      </c>
      <c r="D31" s="320" t="s">
        <v>937</v>
      </c>
      <c r="E31" s="320">
        <v>2015</v>
      </c>
      <c r="F31" s="404"/>
      <c r="G31" s="676"/>
      <c r="H31" s="676"/>
      <c r="I31" s="676"/>
      <c r="J31" s="676"/>
      <c r="K31" s="676"/>
      <c r="L31" s="676"/>
      <c r="M31" s="676"/>
      <c r="N31" s="676"/>
      <c r="O31" s="676"/>
      <c r="P31" s="676"/>
      <c r="Q31" s="676"/>
      <c r="R31" s="676"/>
      <c r="S31" s="676"/>
      <c r="T31" s="676"/>
      <c r="U31" s="676"/>
      <c r="V31" s="676"/>
      <c r="W31" s="676"/>
      <c r="X31" s="676">
        <v>0</v>
      </c>
      <c r="Y31" s="676"/>
      <c r="Z31" s="676">
        <v>0</v>
      </c>
      <c r="AA31" s="676"/>
      <c r="AB31" s="676"/>
      <c r="AC31" s="676">
        <v>0</v>
      </c>
      <c r="AD31" s="676"/>
      <c r="AE31" s="676"/>
      <c r="AF31" s="676"/>
      <c r="AG31" s="676"/>
      <c r="AH31" s="676"/>
      <c r="AI31" s="676"/>
      <c r="AJ31" s="676"/>
      <c r="AK31" s="676"/>
      <c r="AL31" s="676"/>
      <c r="AM31" s="676"/>
      <c r="AN31" s="676"/>
      <c r="AO31" s="676"/>
      <c r="AP31" s="676"/>
      <c r="AQ31" s="676">
        <v>0</v>
      </c>
      <c r="AR31" s="676"/>
      <c r="AS31" s="676"/>
      <c r="AT31" s="676">
        <v>0</v>
      </c>
      <c r="AU31" s="676"/>
      <c r="AV31" s="676"/>
      <c r="AW31" s="676"/>
      <c r="AX31" s="676">
        <v>358250</v>
      </c>
      <c r="AY31" s="676"/>
      <c r="AZ31" s="676">
        <v>0</v>
      </c>
      <c r="BA31" s="676"/>
      <c r="BB31" s="676"/>
      <c r="BC31" s="676">
        <v>125000</v>
      </c>
      <c r="BD31" s="676"/>
      <c r="BE31" s="676">
        <v>0</v>
      </c>
      <c r="BF31" s="676"/>
      <c r="BG31" s="676"/>
      <c r="BH31" s="676"/>
      <c r="BI31" s="676"/>
      <c r="BJ31" s="676"/>
      <c r="BK31" s="676"/>
      <c r="BL31" s="676"/>
      <c r="BM31" s="676"/>
      <c r="BN31" s="676">
        <v>0</v>
      </c>
      <c r="BO31" s="676"/>
      <c r="BP31" s="676"/>
      <c r="BQ31" s="676"/>
      <c r="BR31" s="676"/>
      <c r="BS31" s="676"/>
      <c r="BT31" s="676">
        <v>0</v>
      </c>
      <c r="BU31" s="676"/>
      <c r="BV31" s="676"/>
      <c r="BW31" s="676"/>
      <c r="BX31" s="676"/>
      <c r="BY31" s="676"/>
      <c r="BZ31" s="676"/>
      <c r="CA31" s="676"/>
      <c r="CB31" s="676">
        <v>0</v>
      </c>
      <c r="CC31" s="676"/>
      <c r="CD31" s="676"/>
      <c r="CE31" s="676"/>
      <c r="CF31" s="676"/>
      <c r="CG31" s="676"/>
    </row>
    <row r="32" spans="1:85" x14ac:dyDescent="0.25">
      <c r="A32" s="320" t="s">
        <v>938</v>
      </c>
      <c r="B32" s="320" t="s">
        <v>1350</v>
      </c>
      <c r="C32" s="320" t="s">
        <v>1351</v>
      </c>
      <c r="D32" s="320" t="s">
        <v>939</v>
      </c>
      <c r="E32" s="320">
        <v>2015</v>
      </c>
      <c r="F32" s="404"/>
      <c r="G32" s="676"/>
      <c r="H32" s="676"/>
      <c r="I32" s="676"/>
      <c r="J32" s="676"/>
      <c r="K32" s="676"/>
      <c r="L32" s="676"/>
      <c r="M32" s="676"/>
      <c r="N32" s="676"/>
      <c r="O32" s="676"/>
      <c r="P32" s="676"/>
      <c r="Q32" s="676"/>
      <c r="R32" s="676"/>
      <c r="S32" s="676">
        <v>423820</v>
      </c>
      <c r="T32" s="676"/>
      <c r="U32" s="676"/>
      <c r="V32" s="676"/>
      <c r="W32" s="676"/>
      <c r="X32" s="676">
        <v>0</v>
      </c>
      <c r="Y32" s="676"/>
      <c r="Z32" s="676">
        <v>0</v>
      </c>
      <c r="AA32" s="676"/>
      <c r="AB32" s="676"/>
      <c r="AC32" s="676">
        <v>0</v>
      </c>
      <c r="AD32" s="676"/>
      <c r="AE32" s="676"/>
      <c r="AF32" s="676"/>
      <c r="AG32" s="676"/>
      <c r="AH32" s="676"/>
      <c r="AI32" s="676"/>
      <c r="AJ32" s="676"/>
      <c r="AK32" s="676"/>
      <c r="AL32" s="676"/>
      <c r="AM32" s="676"/>
      <c r="AN32" s="676"/>
      <c r="AO32" s="676"/>
      <c r="AP32" s="676"/>
      <c r="AQ32" s="676">
        <v>0</v>
      </c>
      <c r="AR32" s="676"/>
      <c r="AS32" s="676"/>
      <c r="AT32" s="676">
        <v>0</v>
      </c>
      <c r="AU32" s="676"/>
      <c r="AV32" s="676"/>
      <c r="AW32" s="676"/>
      <c r="AX32" s="676"/>
      <c r="AY32" s="676"/>
      <c r="AZ32" s="676">
        <v>0</v>
      </c>
      <c r="BA32" s="676"/>
      <c r="BB32" s="676"/>
      <c r="BC32" s="676"/>
      <c r="BD32" s="676"/>
      <c r="BE32" s="676">
        <v>0</v>
      </c>
      <c r="BF32" s="676"/>
      <c r="BG32" s="676"/>
      <c r="BH32" s="676"/>
      <c r="BI32" s="676"/>
      <c r="BJ32" s="676"/>
      <c r="BK32" s="676"/>
      <c r="BL32" s="676"/>
      <c r="BM32" s="676"/>
      <c r="BN32" s="676">
        <v>0</v>
      </c>
      <c r="BO32" s="676"/>
      <c r="BP32" s="676"/>
      <c r="BQ32" s="676"/>
      <c r="BR32" s="676"/>
      <c r="BS32" s="676">
        <v>3693841</v>
      </c>
      <c r="BT32" s="676">
        <v>0</v>
      </c>
      <c r="BU32" s="676"/>
      <c r="BV32" s="676"/>
      <c r="BW32" s="676"/>
      <c r="BX32" s="676"/>
      <c r="BY32" s="676"/>
      <c r="BZ32" s="676"/>
      <c r="CA32" s="676"/>
      <c r="CB32" s="676">
        <v>0</v>
      </c>
      <c r="CC32" s="676"/>
      <c r="CD32" s="676"/>
      <c r="CE32" s="676"/>
      <c r="CF32" s="676"/>
      <c r="CG32" s="676"/>
    </row>
    <row r="33" spans="1:85" x14ac:dyDescent="0.25">
      <c r="A33" s="320" t="s">
        <v>940</v>
      </c>
      <c r="B33" s="320" t="s">
        <v>1353</v>
      </c>
      <c r="C33" s="320" t="s">
        <v>1352</v>
      </c>
      <c r="D33" s="320" t="s">
        <v>941</v>
      </c>
      <c r="E33" s="320">
        <v>2015</v>
      </c>
      <c r="F33" s="404"/>
      <c r="G33" s="676"/>
      <c r="H33" s="676"/>
      <c r="I33" s="676"/>
      <c r="J33" s="676"/>
      <c r="K33" s="676"/>
      <c r="L33" s="676"/>
      <c r="M33" s="676"/>
      <c r="N33" s="676"/>
      <c r="O33" s="676"/>
      <c r="P33" s="676"/>
      <c r="Q33" s="676"/>
      <c r="R33" s="676"/>
      <c r="S33" s="676"/>
      <c r="T33" s="676"/>
      <c r="U33" s="676"/>
      <c r="V33" s="676"/>
      <c r="W33" s="676"/>
      <c r="X33" s="676">
        <v>0</v>
      </c>
      <c r="Y33" s="676"/>
      <c r="Z33" s="676">
        <v>0</v>
      </c>
      <c r="AA33" s="676"/>
      <c r="AB33" s="676"/>
      <c r="AC33" s="676">
        <v>0</v>
      </c>
      <c r="AD33" s="676"/>
      <c r="AE33" s="676"/>
      <c r="AF33" s="676"/>
      <c r="AG33" s="676"/>
      <c r="AH33" s="676"/>
      <c r="AI33" s="676"/>
      <c r="AJ33" s="676"/>
      <c r="AK33" s="676"/>
      <c r="AL33" s="676"/>
      <c r="AM33" s="676"/>
      <c r="AN33" s="676"/>
      <c r="AO33" s="676"/>
      <c r="AP33" s="676"/>
      <c r="AQ33" s="676">
        <v>0</v>
      </c>
      <c r="AR33" s="676"/>
      <c r="AS33" s="676"/>
      <c r="AT33" s="676">
        <v>0</v>
      </c>
      <c r="AU33" s="676"/>
      <c r="AV33" s="676"/>
      <c r="AW33" s="676"/>
      <c r="AX33" s="676"/>
      <c r="AY33" s="676"/>
      <c r="AZ33" s="676">
        <v>0</v>
      </c>
      <c r="BA33" s="676"/>
      <c r="BB33" s="676"/>
      <c r="BC33" s="676"/>
      <c r="BD33" s="676"/>
      <c r="BE33" s="676">
        <v>0</v>
      </c>
      <c r="BF33" s="676"/>
      <c r="BG33" s="676"/>
      <c r="BH33" s="676"/>
      <c r="BI33" s="676"/>
      <c r="BJ33" s="676"/>
      <c r="BK33" s="676"/>
      <c r="BL33" s="676"/>
      <c r="BM33" s="676"/>
      <c r="BN33" s="676">
        <v>0</v>
      </c>
      <c r="BO33" s="676"/>
      <c r="BP33" s="676"/>
      <c r="BQ33" s="676"/>
      <c r="BR33" s="676"/>
      <c r="BS33" s="676"/>
      <c r="BT33" s="676">
        <v>0</v>
      </c>
      <c r="BU33" s="676"/>
      <c r="BV33" s="676"/>
      <c r="BW33" s="676"/>
      <c r="BX33" s="676"/>
      <c r="BY33" s="676"/>
      <c r="BZ33" s="676"/>
      <c r="CA33" s="676"/>
      <c r="CB33" s="676">
        <v>0</v>
      </c>
      <c r="CC33" s="676"/>
      <c r="CD33" s="676"/>
      <c r="CE33" s="676"/>
      <c r="CF33" s="676"/>
      <c r="CG33" s="676"/>
    </row>
    <row r="34" spans="1:85" x14ac:dyDescent="0.25">
      <c r="A34" s="320" t="s">
        <v>942</v>
      </c>
      <c r="B34" s="320" t="s">
        <v>1354</v>
      </c>
      <c r="C34" s="320" t="s">
        <v>1355</v>
      </c>
      <c r="D34" s="320" t="s">
        <v>943</v>
      </c>
      <c r="E34" s="320">
        <v>2015</v>
      </c>
      <c r="F34" s="404"/>
      <c r="G34" s="676"/>
      <c r="H34" s="676"/>
      <c r="I34" s="676"/>
      <c r="J34" s="676"/>
      <c r="K34" s="676"/>
      <c r="L34" s="676"/>
      <c r="M34" s="676"/>
      <c r="N34" s="676"/>
      <c r="O34" s="676"/>
      <c r="P34" s="676"/>
      <c r="Q34" s="676"/>
      <c r="R34" s="676"/>
      <c r="S34" s="676"/>
      <c r="T34" s="676"/>
      <c r="U34" s="676"/>
      <c r="V34" s="676"/>
      <c r="W34" s="676"/>
      <c r="X34" s="676">
        <v>0</v>
      </c>
      <c r="Y34" s="676"/>
      <c r="Z34" s="676">
        <v>0</v>
      </c>
      <c r="AA34" s="676"/>
      <c r="AB34" s="676"/>
      <c r="AC34" s="676">
        <v>0</v>
      </c>
      <c r="AD34" s="676"/>
      <c r="AE34" s="676"/>
      <c r="AF34" s="676"/>
      <c r="AG34" s="676"/>
      <c r="AH34" s="676"/>
      <c r="AI34" s="676"/>
      <c r="AJ34" s="676"/>
      <c r="AK34" s="676"/>
      <c r="AL34" s="676"/>
      <c r="AM34" s="676"/>
      <c r="AN34" s="676"/>
      <c r="AO34" s="676"/>
      <c r="AP34" s="676"/>
      <c r="AQ34" s="676">
        <v>0</v>
      </c>
      <c r="AR34" s="676"/>
      <c r="AS34" s="676"/>
      <c r="AT34" s="676">
        <v>0</v>
      </c>
      <c r="AU34" s="676"/>
      <c r="AV34" s="676"/>
      <c r="AW34" s="676"/>
      <c r="AX34" s="676"/>
      <c r="AY34" s="676"/>
      <c r="AZ34" s="676">
        <v>0</v>
      </c>
      <c r="BA34" s="676"/>
      <c r="BB34" s="676"/>
      <c r="BC34" s="676"/>
      <c r="BD34" s="676"/>
      <c r="BE34" s="676">
        <v>0</v>
      </c>
      <c r="BF34" s="676"/>
      <c r="BG34" s="676"/>
      <c r="BH34" s="676"/>
      <c r="BI34" s="676"/>
      <c r="BJ34" s="676"/>
      <c r="BK34" s="676"/>
      <c r="BL34" s="676"/>
      <c r="BM34" s="676"/>
      <c r="BN34" s="676">
        <v>0</v>
      </c>
      <c r="BO34" s="676"/>
      <c r="BP34" s="676"/>
      <c r="BQ34" s="676"/>
      <c r="BR34" s="676"/>
      <c r="BS34" s="676"/>
      <c r="BT34" s="676">
        <v>0</v>
      </c>
      <c r="BU34" s="676"/>
      <c r="BV34" s="676"/>
      <c r="BW34" s="676"/>
      <c r="BX34" s="676"/>
      <c r="BY34" s="676"/>
      <c r="BZ34" s="676"/>
      <c r="CA34" s="676"/>
      <c r="CB34" s="676">
        <v>0</v>
      </c>
      <c r="CC34" s="676"/>
      <c r="CD34" s="676"/>
      <c r="CE34" s="676"/>
      <c r="CF34" s="676"/>
      <c r="CG34" s="676"/>
    </row>
    <row r="35" spans="1:85" x14ac:dyDescent="0.25">
      <c r="A35" s="320" t="s">
        <v>710</v>
      </c>
      <c r="B35" s="320" t="s">
        <v>1356</v>
      </c>
      <c r="C35" s="320" t="s">
        <v>1357</v>
      </c>
      <c r="D35" s="320" t="s">
        <v>944</v>
      </c>
      <c r="E35" s="320">
        <v>2015</v>
      </c>
      <c r="F35" s="404">
        <v>1019620</v>
      </c>
      <c r="G35" s="676">
        <v>3815017</v>
      </c>
      <c r="H35" s="676">
        <v>8608521</v>
      </c>
      <c r="I35" s="676">
        <v>6796145</v>
      </c>
      <c r="J35" s="676">
        <v>4656370</v>
      </c>
      <c r="K35" s="676">
        <v>3552986</v>
      </c>
      <c r="L35" s="676">
        <v>1259529</v>
      </c>
      <c r="M35" s="676">
        <v>48449984</v>
      </c>
      <c r="N35" s="676">
        <v>57821689</v>
      </c>
      <c r="O35" s="676">
        <v>18441003</v>
      </c>
      <c r="P35" s="676">
        <v>7691847</v>
      </c>
      <c r="Q35" s="676">
        <v>766318</v>
      </c>
      <c r="R35" s="676">
        <v>10399737</v>
      </c>
      <c r="S35" s="676">
        <v>27689219</v>
      </c>
      <c r="T35" s="676">
        <v>7284301</v>
      </c>
      <c r="U35" s="676">
        <v>582271000</v>
      </c>
      <c r="V35" s="676">
        <v>7476326</v>
      </c>
      <c r="W35" s="676">
        <v>1228347</v>
      </c>
      <c r="X35" s="676">
        <v>1235186.22</v>
      </c>
      <c r="Y35" s="676">
        <v>61013959</v>
      </c>
      <c r="Z35" s="676">
        <v>1291327814</v>
      </c>
      <c r="AA35" s="676">
        <v>2920506</v>
      </c>
      <c r="AB35" s="676">
        <v>91133538</v>
      </c>
      <c r="AC35" s="676">
        <v>734515.53</v>
      </c>
      <c r="AD35" s="676">
        <v>3381591</v>
      </c>
      <c r="AE35" s="676">
        <v>18023416</v>
      </c>
      <c r="AF35" s="676">
        <v>9726662</v>
      </c>
      <c r="AG35" s="676">
        <v>334135</v>
      </c>
      <c r="AH35" s="676">
        <v>950043</v>
      </c>
      <c r="AI35" s="676">
        <v>939100</v>
      </c>
      <c r="AJ35" s="676">
        <v>52074</v>
      </c>
      <c r="AK35" s="676">
        <v>37809201</v>
      </c>
      <c r="AL35" s="676">
        <v>16354438</v>
      </c>
      <c r="AM35" s="676">
        <v>17040627</v>
      </c>
      <c r="AN35" s="676">
        <v>82435000</v>
      </c>
      <c r="AO35" s="676">
        <v>57467378</v>
      </c>
      <c r="AP35" s="676">
        <v>11896411</v>
      </c>
      <c r="AQ35" s="676">
        <v>9320418</v>
      </c>
      <c r="AR35" s="676">
        <v>3603664</v>
      </c>
      <c r="AS35" s="676">
        <v>4053526</v>
      </c>
      <c r="AT35" s="676">
        <v>13869763.43</v>
      </c>
      <c r="AU35" s="676">
        <v>2843056</v>
      </c>
      <c r="AV35" s="676">
        <v>4588013</v>
      </c>
      <c r="AW35" s="676">
        <v>662698</v>
      </c>
      <c r="AX35" s="676">
        <v>50845089</v>
      </c>
      <c r="AY35" s="676">
        <v>10838613</v>
      </c>
      <c r="AZ35" s="676">
        <v>1808982</v>
      </c>
      <c r="BA35" s="676">
        <v>23619753</v>
      </c>
      <c r="BB35" s="676">
        <v>12709472</v>
      </c>
      <c r="BC35" s="676">
        <v>18140061</v>
      </c>
      <c r="BD35" s="676">
        <v>100040403</v>
      </c>
      <c r="BE35" s="676">
        <v>54469548.119999997</v>
      </c>
      <c r="BF35" s="676">
        <v>196838000</v>
      </c>
      <c r="BG35" s="676">
        <v>1655041000</v>
      </c>
      <c r="BH35" s="676">
        <v>800805000</v>
      </c>
      <c r="BI35" s="676">
        <v>54668968</v>
      </c>
      <c r="BJ35" s="676">
        <v>8266048</v>
      </c>
      <c r="BK35" s="676">
        <v>1918340</v>
      </c>
      <c r="BL35" s="676">
        <v>4429015</v>
      </c>
      <c r="BM35" s="676">
        <v>144052000</v>
      </c>
      <c r="BN35" s="676">
        <v>15058881</v>
      </c>
      <c r="BO35" s="676">
        <v>2934879</v>
      </c>
      <c r="BP35" s="676">
        <v>3374219</v>
      </c>
      <c r="BQ35" s="676">
        <v>943529</v>
      </c>
      <c r="BR35" s="676">
        <v>1393472</v>
      </c>
      <c r="BS35" s="676">
        <v>50018844</v>
      </c>
      <c r="BT35" s="676">
        <v>25429169</v>
      </c>
      <c r="BU35" s="676">
        <v>9968418</v>
      </c>
      <c r="BV35" s="676">
        <v>3402207</v>
      </c>
      <c r="BW35" s="676">
        <v>45956727</v>
      </c>
      <c r="BX35" s="676">
        <v>2389516</v>
      </c>
      <c r="BY35" s="676">
        <v>3072433</v>
      </c>
      <c r="BZ35" s="676">
        <v>8574000</v>
      </c>
      <c r="CA35" s="676">
        <v>8855741.9800000004</v>
      </c>
      <c r="CB35" s="676">
        <v>22364415.91</v>
      </c>
      <c r="CC35" s="676">
        <v>53415000</v>
      </c>
      <c r="CD35" s="676">
        <v>800369</v>
      </c>
      <c r="CE35" s="676">
        <v>166860000</v>
      </c>
      <c r="CF35" s="676">
        <v>52906000</v>
      </c>
      <c r="CG35" s="676">
        <v>57351000</v>
      </c>
    </row>
    <row r="36" spans="1:85" x14ac:dyDescent="0.25">
      <c r="A36" s="320" t="s">
        <v>945</v>
      </c>
      <c r="B36" s="320" t="s">
        <v>1358</v>
      </c>
      <c r="C36" s="320" t="s">
        <v>1359</v>
      </c>
      <c r="D36" s="320" t="s">
        <v>946</v>
      </c>
      <c r="E36" s="320">
        <v>2015</v>
      </c>
      <c r="F36" s="404"/>
      <c r="G36" s="676">
        <v>97357</v>
      </c>
      <c r="H36" s="676">
        <v>57228</v>
      </c>
      <c r="I36" s="676">
        <v>223284</v>
      </c>
      <c r="J36" s="676">
        <v>208534</v>
      </c>
      <c r="K36" s="676">
        <v>789305</v>
      </c>
      <c r="L36" s="676">
        <v>88237</v>
      </c>
      <c r="M36" s="676">
        <v>1297690</v>
      </c>
      <c r="N36" s="676">
        <v>2703685</v>
      </c>
      <c r="O36" s="676">
        <v>11307</v>
      </c>
      <c r="P36" s="676">
        <v>153631</v>
      </c>
      <c r="Q36" s="676"/>
      <c r="R36" s="676">
        <v>188613</v>
      </c>
      <c r="S36" s="676">
        <v>942161</v>
      </c>
      <c r="T36" s="676">
        <v>148552</v>
      </c>
      <c r="U36" s="676">
        <v>27847000</v>
      </c>
      <c r="V36" s="676">
        <v>20979</v>
      </c>
      <c r="W36" s="676">
        <v>80176</v>
      </c>
      <c r="X36" s="676">
        <v>18672.05</v>
      </c>
      <c r="Y36" s="676">
        <v>92574</v>
      </c>
      <c r="Z36" s="676">
        <v>1538035</v>
      </c>
      <c r="AA36" s="676">
        <v>853995</v>
      </c>
      <c r="AB36" s="676">
        <v>22663079</v>
      </c>
      <c r="AC36" s="676">
        <v>25981.75</v>
      </c>
      <c r="AD36" s="676">
        <v>2586043</v>
      </c>
      <c r="AE36" s="676">
        <v>144210</v>
      </c>
      <c r="AF36" s="676">
        <v>301332</v>
      </c>
      <c r="AG36" s="676">
        <v>42045</v>
      </c>
      <c r="AH36" s="676">
        <v>85134</v>
      </c>
      <c r="AI36" s="676">
        <v>31555</v>
      </c>
      <c r="AJ36" s="676">
        <v>5168</v>
      </c>
      <c r="AK36" s="676">
        <v>2251578</v>
      </c>
      <c r="AL36" s="676">
        <v>30277</v>
      </c>
      <c r="AM36" s="676">
        <v>8013277</v>
      </c>
      <c r="AN36" s="676">
        <v>4378000</v>
      </c>
      <c r="AO36" s="676">
        <v>8020543</v>
      </c>
      <c r="AP36" s="676">
        <v>417590</v>
      </c>
      <c r="AQ36" s="676">
        <v>1631060</v>
      </c>
      <c r="AR36" s="676">
        <v>559832</v>
      </c>
      <c r="AS36" s="676">
        <v>367635</v>
      </c>
      <c r="AT36" s="676">
        <v>1198051.01</v>
      </c>
      <c r="AU36" s="676">
        <v>343516</v>
      </c>
      <c r="AV36" s="676">
        <v>211838</v>
      </c>
      <c r="AW36" s="676">
        <v>175276</v>
      </c>
      <c r="AX36" s="676">
        <v>13531</v>
      </c>
      <c r="AY36" s="676"/>
      <c r="AZ36" s="676">
        <v>26924</v>
      </c>
      <c r="BA36" s="676"/>
      <c r="BB36" s="676">
        <v>118153</v>
      </c>
      <c r="BC36" s="676">
        <v>149190</v>
      </c>
      <c r="BD36" s="676">
        <v>1156797</v>
      </c>
      <c r="BE36" s="676">
        <v>0</v>
      </c>
      <c r="BF36" s="676">
        <v>3462000</v>
      </c>
      <c r="BG36" s="676">
        <v>349356000</v>
      </c>
      <c r="BH36" s="676">
        <v>226244000</v>
      </c>
      <c r="BI36" s="676">
        <v>3761078</v>
      </c>
      <c r="BJ36" s="676">
        <v>801979</v>
      </c>
      <c r="BK36" s="676">
        <v>28067</v>
      </c>
      <c r="BL36" s="676">
        <v>14306</v>
      </c>
      <c r="BM36" s="676">
        <v>4000</v>
      </c>
      <c r="BN36" s="676">
        <v>782538</v>
      </c>
      <c r="BO36" s="676">
        <v>6641</v>
      </c>
      <c r="BP36" s="676">
        <v>1945</v>
      </c>
      <c r="BQ36" s="676">
        <v>49152</v>
      </c>
      <c r="BR36" s="676">
        <v>40692</v>
      </c>
      <c r="BS36" s="676">
        <v>564242</v>
      </c>
      <c r="BT36" s="676">
        <v>1407254</v>
      </c>
      <c r="BU36" s="676">
        <v>2248688</v>
      </c>
      <c r="BV36" s="676"/>
      <c r="BW36" s="676">
        <v>782152</v>
      </c>
      <c r="BX36" s="676">
        <v>679515</v>
      </c>
      <c r="BY36" s="676">
        <v>364751</v>
      </c>
      <c r="BZ36" s="676"/>
      <c r="CA36" s="676">
        <v>348412.61</v>
      </c>
      <c r="CB36" s="676">
        <v>467444.55</v>
      </c>
      <c r="CC36" s="676">
        <v>74000</v>
      </c>
      <c r="CD36" s="676">
        <v>14065</v>
      </c>
      <c r="CE36" s="676">
        <v>7692000</v>
      </c>
      <c r="CF36" s="676">
        <v>7484000</v>
      </c>
      <c r="CG36" s="676">
        <v>8481000</v>
      </c>
    </row>
    <row r="37" spans="1:85" x14ac:dyDescent="0.25">
      <c r="A37" s="320" t="s">
        <v>947</v>
      </c>
      <c r="B37" s="320" t="s">
        <v>948</v>
      </c>
      <c r="C37" s="320"/>
      <c r="D37" s="320" t="s">
        <v>949</v>
      </c>
      <c r="E37" s="320">
        <v>2015</v>
      </c>
      <c r="F37" s="404"/>
      <c r="G37" s="676">
        <v>60387</v>
      </c>
      <c r="H37" s="676">
        <v>57228</v>
      </c>
      <c r="I37" s="676">
        <v>223284</v>
      </c>
      <c r="J37" s="676">
        <v>135789</v>
      </c>
      <c r="K37" s="676">
        <v>689093</v>
      </c>
      <c r="L37" s="676">
        <v>88237</v>
      </c>
      <c r="M37" s="676">
        <v>936</v>
      </c>
      <c r="N37" s="676">
        <v>504</v>
      </c>
      <c r="O37" s="676">
        <v>11307</v>
      </c>
      <c r="P37" s="676">
        <v>153631</v>
      </c>
      <c r="Q37" s="676"/>
      <c r="R37" s="676">
        <v>79734</v>
      </c>
      <c r="S37" s="676">
        <v>942161</v>
      </c>
      <c r="T37" s="676">
        <v>148552</v>
      </c>
      <c r="U37" s="676"/>
      <c r="V37" s="676">
        <v>18154</v>
      </c>
      <c r="W37" s="676">
        <v>56305</v>
      </c>
      <c r="X37" s="676">
        <v>18672.05</v>
      </c>
      <c r="Y37" s="676"/>
      <c r="Z37" s="676">
        <v>1538035</v>
      </c>
      <c r="AA37" s="676">
        <v>139873</v>
      </c>
      <c r="AB37" s="676">
        <v>1206235</v>
      </c>
      <c r="AC37" s="676">
        <v>25981.75</v>
      </c>
      <c r="AD37" s="676">
        <v>926450</v>
      </c>
      <c r="AE37" s="676">
        <v>56930</v>
      </c>
      <c r="AF37" s="676">
        <v>295390</v>
      </c>
      <c r="AG37" s="676">
        <v>24285</v>
      </c>
      <c r="AH37" s="676">
        <v>34996</v>
      </c>
      <c r="AI37" s="676">
        <v>10620</v>
      </c>
      <c r="AJ37" s="676">
        <v>2482</v>
      </c>
      <c r="AK37" s="676">
        <v>2228539</v>
      </c>
      <c r="AL37" s="676">
        <v>30277</v>
      </c>
      <c r="AM37" s="676">
        <v>3233835</v>
      </c>
      <c r="AN37" s="676"/>
      <c r="AO37" s="676">
        <v>8020543</v>
      </c>
      <c r="AP37" s="676">
        <v>409608</v>
      </c>
      <c r="AQ37" s="676">
        <v>1465480</v>
      </c>
      <c r="AR37" s="676">
        <v>559832</v>
      </c>
      <c r="AS37" s="676">
        <v>366267</v>
      </c>
      <c r="AT37" s="676">
        <v>1198051.01</v>
      </c>
      <c r="AU37" s="676">
        <v>343516</v>
      </c>
      <c r="AV37" s="676">
        <v>211838</v>
      </c>
      <c r="AW37" s="676">
        <v>20280</v>
      </c>
      <c r="AX37" s="676">
        <v>484</v>
      </c>
      <c r="AY37" s="676"/>
      <c r="AZ37" s="676">
        <v>26090</v>
      </c>
      <c r="BA37" s="676"/>
      <c r="BB37" s="676">
        <v>118153</v>
      </c>
      <c r="BC37" s="676">
        <v>131991</v>
      </c>
      <c r="BD37" s="676">
        <v>1156797</v>
      </c>
      <c r="BE37" s="676">
        <v>0</v>
      </c>
      <c r="BF37" s="676"/>
      <c r="BG37" s="676">
        <v>327959000</v>
      </c>
      <c r="BH37" s="676"/>
      <c r="BI37" s="676">
        <v>3535070</v>
      </c>
      <c r="BJ37" s="676">
        <v>801979</v>
      </c>
      <c r="BK37" s="676">
        <v>13748</v>
      </c>
      <c r="BL37" s="676">
        <v>14306</v>
      </c>
      <c r="BM37" s="676"/>
      <c r="BN37" s="676">
        <v>653340</v>
      </c>
      <c r="BO37" s="676">
        <v>6641</v>
      </c>
      <c r="BP37" s="676">
        <v>1945</v>
      </c>
      <c r="BQ37" s="676">
        <v>49152</v>
      </c>
      <c r="BR37" s="676">
        <v>13387</v>
      </c>
      <c r="BS37" s="676">
        <v>564242</v>
      </c>
      <c r="BT37" s="676">
        <v>1400541</v>
      </c>
      <c r="BU37" s="676">
        <v>135</v>
      </c>
      <c r="BV37" s="676"/>
      <c r="BW37" s="676">
        <v>782152</v>
      </c>
      <c r="BX37" s="676">
        <v>42261</v>
      </c>
      <c r="BY37" s="676">
        <v>268738</v>
      </c>
      <c r="BZ37" s="676"/>
      <c r="CA37" s="676">
        <v>172782.86</v>
      </c>
      <c r="CB37" s="676">
        <v>363538.08</v>
      </c>
      <c r="CC37" s="676">
        <v>74000</v>
      </c>
      <c r="CD37" s="676">
        <v>14065</v>
      </c>
      <c r="CE37" s="676">
        <v>708000</v>
      </c>
      <c r="CF37" s="676"/>
      <c r="CG37" s="676">
        <v>8481000</v>
      </c>
    </row>
    <row r="38" spans="1:85" x14ac:dyDescent="0.25">
      <c r="A38" s="320" t="s">
        <v>950</v>
      </c>
      <c r="B38" s="320" t="s">
        <v>951</v>
      </c>
      <c r="C38" s="320"/>
      <c r="D38" s="320" t="s">
        <v>952</v>
      </c>
      <c r="E38" s="320">
        <v>2015</v>
      </c>
      <c r="F38" s="404"/>
      <c r="G38" s="676">
        <v>36970</v>
      </c>
      <c r="H38" s="676"/>
      <c r="I38" s="676"/>
      <c r="J38" s="676"/>
      <c r="K38" s="676">
        <v>100209</v>
      </c>
      <c r="L38" s="676"/>
      <c r="M38" s="676">
        <v>1290304</v>
      </c>
      <c r="N38" s="676"/>
      <c r="O38" s="676"/>
      <c r="P38" s="676"/>
      <c r="Q38" s="676"/>
      <c r="R38" s="676">
        <v>17201</v>
      </c>
      <c r="S38" s="676"/>
      <c r="T38" s="676"/>
      <c r="U38" s="676"/>
      <c r="V38" s="676"/>
      <c r="W38" s="676"/>
      <c r="X38" s="676">
        <v>0</v>
      </c>
      <c r="Y38" s="676"/>
      <c r="Z38" s="676">
        <v>0</v>
      </c>
      <c r="AA38" s="676">
        <v>69960</v>
      </c>
      <c r="AB38" s="676">
        <v>8777179</v>
      </c>
      <c r="AC38" s="676">
        <v>0</v>
      </c>
      <c r="AD38" s="676">
        <v>1611096</v>
      </c>
      <c r="AE38" s="676"/>
      <c r="AF38" s="676"/>
      <c r="AG38" s="676"/>
      <c r="AH38" s="676"/>
      <c r="AI38" s="676"/>
      <c r="AJ38" s="676"/>
      <c r="AK38" s="676"/>
      <c r="AL38" s="676"/>
      <c r="AM38" s="676">
        <v>1920422</v>
      </c>
      <c r="AN38" s="676"/>
      <c r="AO38" s="676"/>
      <c r="AP38" s="676"/>
      <c r="AQ38" s="676">
        <v>0</v>
      </c>
      <c r="AR38" s="676"/>
      <c r="AS38" s="676"/>
      <c r="AT38" s="676">
        <v>0</v>
      </c>
      <c r="AU38" s="676"/>
      <c r="AV38" s="676"/>
      <c r="AW38" s="676"/>
      <c r="AX38" s="676"/>
      <c r="AY38" s="676"/>
      <c r="AZ38" s="676">
        <v>0</v>
      </c>
      <c r="BA38" s="676"/>
      <c r="BB38" s="676"/>
      <c r="BC38" s="676"/>
      <c r="BD38" s="676"/>
      <c r="BE38" s="676">
        <v>0</v>
      </c>
      <c r="BF38" s="676"/>
      <c r="BG38" s="676"/>
      <c r="BH38" s="676"/>
      <c r="BI38" s="676"/>
      <c r="BJ38" s="676"/>
      <c r="BK38" s="676"/>
      <c r="BL38" s="676"/>
      <c r="BM38" s="676"/>
      <c r="BN38" s="676">
        <v>0</v>
      </c>
      <c r="BO38" s="676"/>
      <c r="BP38" s="676"/>
      <c r="BQ38" s="676"/>
      <c r="BR38" s="676">
        <v>27305</v>
      </c>
      <c r="BS38" s="676"/>
      <c r="BT38" s="676">
        <v>0</v>
      </c>
      <c r="BU38" s="676"/>
      <c r="BV38" s="676"/>
      <c r="BW38" s="676"/>
      <c r="BX38" s="676">
        <v>270060</v>
      </c>
      <c r="BY38" s="676"/>
      <c r="BZ38" s="676"/>
      <c r="CA38" s="676"/>
      <c r="CB38" s="676">
        <v>0</v>
      </c>
      <c r="CC38" s="676"/>
      <c r="CD38" s="676"/>
      <c r="CE38" s="676"/>
      <c r="CF38" s="676"/>
      <c r="CG38" s="676"/>
    </row>
    <row r="39" spans="1:85" x14ac:dyDescent="0.25">
      <c r="A39" s="320" t="s">
        <v>953</v>
      </c>
      <c r="B39" s="320" t="s">
        <v>954</v>
      </c>
      <c r="C39" s="320"/>
      <c r="D39" s="320" t="s">
        <v>955</v>
      </c>
      <c r="E39" s="320">
        <v>2015</v>
      </c>
      <c r="F39" s="404"/>
      <c r="G39" s="676"/>
      <c r="H39" s="676"/>
      <c r="I39" s="676"/>
      <c r="J39" s="676"/>
      <c r="K39" s="676"/>
      <c r="L39" s="676"/>
      <c r="M39" s="676"/>
      <c r="N39" s="676"/>
      <c r="O39" s="676"/>
      <c r="P39" s="676"/>
      <c r="Q39" s="676"/>
      <c r="R39" s="676">
        <v>91231</v>
      </c>
      <c r="S39" s="676"/>
      <c r="T39" s="676"/>
      <c r="U39" s="676"/>
      <c r="V39" s="676"/>
      <c r="W39" s="676"/>
      <c r="X39" s="676">
        <v>0</v>
      </c>
      <c r="Y39" s="676"/>
      <c r="Z39" s="676">
        <v>0</v>
      </c>
      <c r="AA39" s="676">
        <v>426283</v>
      </c>
      <c r="AB39" s="676">
        <v>12253281</v>
      </c>
      <c r="AC39" s="676">
        <v>0</v>
      </c>
      <c r="AD39" s="676"/>
      <c r="AE39" s="676"/>
      <c r="AF39" s="676"/>
      <c r="AG39" s="676"/>
      <c r="AH39" s="676"/>
      <c r="AI39" s="676"/>
      <c r="AJ39" s="676"/>
      <c r="AK39" s="676">
        <v>21569</v>
      </c>
      <c r="AL39" s="676"/>
      <c r="AM39" s="676">
        <v>302214</v>
      </c>
      <c r="AN39" s="676"/>
      <c r="AO39" s="676"/>
      <c r="AP39" s="676"/>
      <c r="AQ39" s="676">
        <v>0</v>
      </c>
      <c r="AR39" s="676"/>
      <c r="AS39" s="676"/>
      <c r="AT39" s="676">
        <v>0</v>
      </c>
      <c r="AU39" s="676"/>
      <c r="AV39" s="676"/>
      <c r="AW39" s="676">
        <v>8593</v>
      </c>
      <c r="AX39" s="676"/>
      <c r="AY39" s="676"/>
      <c r="AZ39" s="676">
        <v>0</v>
      </c>
      <c r="BA39" s="676"/>
      <c r="BB39" s="676"/>
      <c r="BC39" s="676"/>
      <c r="BD39" s="676"/>
      <c r="BE39" s="676">
        <v>0</v>
      </c>
      <c r="BF39" s="676"/>
      <c r="BG39" s="676"/>
      <c r="BH39" s="676"/>
      <c r="BI39" s="676">
        <v>217240</v>
      </c>
      <c r="BJ39" s="676"/>
      <c r="BK39" s="676"/>
      <c r="BL39" s="676"/>
      <c r="BM39" s="676"/>
      <c r="BN39" s="676">
        <v>0</v>
      </c>
      <c r="BO39" s="676"/>
      <c r="BP39" s="676"/>
      <c r="BQ39" s="676"/>
      <c r="BR39" s="676"/>
      <c r="BS39" s="676"/>
      <c r="BT39" s="676">
        <v>0</v>
      </c>
      <c r="BU39" s="676"/>
      <c r="BV39" s="676"/>
      <c r="BW39" s="676"/>
      <c r="BX39" s="676">
        <v>332794</v>
      </c>
      <c r="BY39" s="676"/>
      <c r="BZ39" s="676"/>
      <c r="CA39" s="676"/>
      <c r="CB39" s="676">
        <v>0</v>
      </c>
      <c r="CC39" s="676"/>
      <c r="CD39" s="676"/>
      <c r="CE39" s="676">
        <v>6074000</v>
      </c>
      <c r="CF39" s="676"/>
      <c r="CG39" s="676"/>
    </row>
    <row r="40" spans="1:85" x14ac:dyDescent="0.25">
      <c r="A40" s="320" t="s">
        <v>956</v>
      </c>
      <c r="B40" s="320" t="s">
        <v>957</v>
      </c>
      <c r="C40" s="320"/>
      <c r="D40" s="320" t="s">
        <v>958</v>
      </c>
      <c r="E40" s="320">
        <v>2015</v>
      </c>
      <c r="F40" s="404"/>
      <c r="G40" s="676"/>
      <c r="H40" s="676"/>
      <c r="I40" s="676"/>
      <c r="J40" s="676"/>
      <c r="K40" s="676">
        <v>3</v>
      </c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>
        <v>0</v>
      </c>
      <c r="Y40" s="676"/>
      <c r="Z40" s="676">
        <v>0</v>
      </c>
      <c r="AA40" s="676">
        <v>217879</v>
      </c>
      <c r="AB40" s="676">
        <v>296253</v>
      </c>
      <c r="AC40" s="676">
        <v>0</v>
      </c>
      <c r="AD40" s="676"/>
      <c r="AE40" s="676">
        <v>3082</v>
      </c>
      <c r="AF40" s="676">
        <v>4561</v>
      </c>
      <c r="AG40" s="676"/>
      <c r="AH40" s="676"/>
      <c r="AI40" s="676"/>
      <c r="AJ40" s="676"/>
      <c r="AK40" s="676"/>
      <c r="AL40" s="676"/>
      <c r="AM40" s="676"/>
      <c r="AN40" s="676"/>
      <c r="AO40" s="676"/>
      <c r="AP40" s="676"/>
      <c r="AQ40" s="676">
        <v>0</v>
      </c>
      <c r="AR40" s="676"/>
      <c r="AS40" s="676"/>
      <c r="AT40" s="676">
        <v>0</v>
      </c>
      <c r="AU40" s="676"/>
      <c r="AV40" s="676"/>
      <c r="AW40" s="676"/>
      <c r="AX40" s="676"/>
      <c r="AY40" s="676"/>
      <c r="AZ40" s="676">
        <v>33</v>
      </c>
      <c r="BA40" s="676"/>
      <c r="BB40" s="676"/>
      <c r="BC40" s="676"/>
      <c r="BD40" s="676"/>
      <c r="BE40" s="676">
        <v>0</v>
      </c>
      <c r="BF40" s="676"/>
      <c r="BG40" s="676"/>
      <c r="BH40" s="676"/>
      <c r="BI40" s="676">
        <v>6094</v>
      </c>
      <c r="BJ40" s="676"/>
      <c r="BK40" s="676"/>
      <c r="BL40" s="676"/>
      <c r="BM40" s="676"/>
      <c r="BN40" s="676">
        <v>0</v>
      </c>
      <c r="BO40" s="676"/>
      <c r="BP40" s="676"/>
      <c r="BQ40" s="676"/>
      <c r="BR40" s="676"/>
      <c r="BS40" s="676"/>
      <c r="BT40" s="676">
        <v>0</v>
      </c>
      <c r="BU40" s="676"/>
      <c r="BV40" s="676"/>
      <c r="BW40" s="676"/>
      <c r="BX40" s="676">
        <v>13915</v>
      </c>
      <c r="BY40" s="676"/>
      <c r="BZ40" s="676"/>
      <c r="CA40" s="676"/>
      <c r="CB40" s="676">
        <v>0</v>
      </c>
      <c r="CC40" s="676"/>
      <c r="CD40" s="676"/>
      <c r="CE40" s="676"/>
      <c r="CF40" s="676"/>
      <c r="CG40" s="676"/>
    </row>
    <row r="41" spans="1:85" x14ac:dyDescent="0.25">
      <c r="A41" s="320" t="s">
        <v>959</v>
      </c>
      <c r="B41" s="320" t="s">
        <v>960</v>
      </c>
      <c r="C41" s="320"/>
      <c r="D41" s="320" t="s">
        <v>961</v>
      </c>
      <c r="E41" s="320">
        <v>2015</v>
      </c>
      <c r="F41" s="404"/>
      <c r="G41" s="676"/>
      <c r="H41" s="676"/>
      <c r="I41" s="676"/>
      <c r="J41" s="676">
        <v>72745</v>
      </c>
      <c r="K41" s="676"/>
      <c r="L41" s="676"/>
      <c r="M41" s="676">
        <v>6450</v>
      </c>
      <c r="N41" s="676">
        <v>2703181</v>
      </c>
      <c r="O41" s="676"/>
      <c r="P41" s="676"/>
      <c r="Q41" s="676"/>
      <c r="R41" s="676">
        <v>447</v>
      </c>
      <c r="S41" s="676"/>
      <c r="T41" s="676"/>
      <c r="U41" s="676"/>
      <c r="V41" s="676">
        <v>2825</v>
      </c>
      <c r="W41" s="676">
        <v>23871</v>
      </c>
      <c r="X41" s="676">
        <v>0</v>
      </c>
      <c r="Y41" s="676">
        <v>92574</v>
      </c>
      <c r="Z41" s="676">
        <v>0</v>
      </c>
      <c r="AA41" s="676"/>
      <c r="AB41" s="676">
        <v>52568</v>
      </c>
      <c r="AC41" s="676">
        <v>0</v>
      </c>
      <c r="AD41" s="676">
        <v>25644</v>
      </c>
      <c r="AE41" s="676">
        <v>84198</v>
      </c>
      <c r="AF41" s="676">
        <v>1381</v>
      </c>
      <c r="AG41" s="676">
        <v>17760</v>
      </c>
      <c r="AH41" s="676">
        <v>50138</v>
      </c>
      <c r="AI41" s="676">
        <v>20935</v>
      </c>
      <c r="AJ41" s="676">
        <v>2686</v>
      </c>
      <c r="AK41" s="676"/>
      <c r="AL41" s="676"/>
      <c r="AM41" s="676">
        <v>1095237</v>
      </c>
      <c r="AN41" s="676"/>
      <c r="AO41" s="676"/>
      <c r="AP41" s="676">
        <v>7982</v>
      </c>
      <c r="AQ41" s="676">
        <v>165580</v>
      </c>
      <c r="AR41" s="676"/>
      <c r="AS41" s="676"/>
      <c r="AT41" s="676">
        <v>0</v>
      </c>
      <c r="AU41" s="676"/>
      <c r="AV41" s="676"/>
      <c r="AW41" s="676">
        <v>146403</v>
      </c>
      <c r="AX41" s="676">
        <v>13047</v>
      </c>
      <c r="AY41" s="676"/>
      <c r="AZ41" s="676">
        <v>0</v>
      </c>
      <c r="BA41" s="676"/>
      <c r="BB41" s="676"/>
      <c r="BC41" s="676">
        <v>17199</v>
      </c>
      <c r="BD41" s="676"/>
      <c r="BE41" s="676">
        <v>0</v>
      </c>
      <c r="BF41" s="676"/>
      <c r="BG41" s="676"/>
      <c r="BH41" s="676"/>
      <c r="BI41" s="676">
        <v>908</v>
      </c>
      <c r="BJ41" s="676"/>
      <c r="BK41" s="676">
        <v>14319</v>
      </c>
      <c r="BL41" s="676"/>
      <c r="BM41" s="676"/>
      <c r="BN41" s="676">
        <v>129198</v>
      </c>
      <c r="BO41" s="676"/>
      <c r="BP41" s="676"/>
      <c r="BQ41" s="676"/>
      <c r="BR41" s="676"/>
      <c r="BS41" s="676"/>
      <c r="BT41" s="676">
        <v>6713</v>
      </c>
      <c r="BU41" s="676">
        <v>2248553</v>
      </c>
      <c r="BV41" s="676"/>
      <c r="BW41" s="676"/>
      <c r="BX41" s="676">
        <v>10324</v>
      </c>
      <c r="BY41" s="676">
        <v>96013</v>
      </c>
      <c r="BZ41" s="676"/>
      <c r="CA41" s="676">
        <v>175629.75</v>
      </c>
      <c r="CB41" s="676">
        <v>103906.47</v>
      </c>
      <c r="CC41" s="676"/>
      <c r="CD41" s="676"/>
      <c r="CE41" s="676">
        <v>910000</v>
      </c>
      <c r="CF41" s="676"/>
      <c r="CG41" s="676"/>
    </row>
    <row r="42" spans="1:85" x14ac:dyDescent="0.25">
      <c r="A42" s="320" t="s">
        <v>962</v>
      </c>
      <c r="B42" s="320" t="s">
        <v>963</v>
      </c>
      <c r="C42" s="320"/>
      <c r="D42" s="320" t="s">
        <v>964</v>
      </c>
      <c r="E42" s="320">
        <v>2015</v>
      </c>
      <c r="F42" s="404"/>
      <c r="G42" s="676"/>
      <c r="H42" s="676"/>
      <c r="I42" s="676"/>
      <c r="J42" s="676"/>
      <c r="K42" s="676"/>
      <c r="L42" s="676"/>
      <c r="M42" s="676"/>
      <c r="N42" s="676"/>
      <c r="O42" s="676"/>
      <c r="P42" s="676"/>
      <c r="Q42" s="676"/>
      <c r="R42" s="676"/>
      <c r="S42" s="676"/>
      <c r="T42" s="676"/>
      <c r="U42" s="676"/>
      <c r="V42" s="676"/>
      <c r="W42" s="676"/>
      <c r="X42" s="676">
        <v>0</v>
      </c>
      <c r="Y42" s="676"/>
      <c r="Z42" s="676">
        <v>0</v>
      </c>
      <c r="AA42" s="676"/>
      <c r="AB42" s="676">
        <v>77563</v>
      </c>
      <c r="AC42" s="676">
        <v>0</v>
      </c>
      <c r="AD42" s="676">
        <v>22853</v>
      </c>
      <c r="AE42" s="676"/>
      <c r="AF42" s="676"/>
      <c r="AG42" s="676"/>
      <c r="AH42" s="676"/>
      <c r="AI42" s="676"/>
      <c r="AJ42" s="676"/>
      <c r="AK42" s="676">
        <v>1470</v>
      </c>
      <c r="AL42" s="676"/>
      <c r="AM42" s="676">
        <v>1461569</v>
      </c>
      <c r="AN42" s="676"/>
      <c r="AO42" s="676"/>
      <c r="AP42" s="676"/>
      <c r="AQ42" s="676">
        <v>0</v>
      </c>
      <c r="AR42" s="676"/>
      <c r="AS42" s="676">
        <v>1368</v>
      </c>
      <c r="AT42" s="676">
        <v>0</v>
      </c>
      <c r="AU42" s="676"/>
      <c r="AV42" s="676"/>
      <c r="AW42" s="676"/>
      <c r="AX42" s="676"/>
      <c r="AY42" s="676"/>
      <c r="AZ42" s="676">
        <v>801</v>
      </c>
      <c r="BA42" s="676"/>
      <c r="BB42" s="676"/>
      <c r="BC42" s="676"/>
      <c r="BD42" s="676"/>
      <c r="BE42" s="676">
        <v>0</v>
      </c>
      <c r="BF42" s="676"/>
      <c r="BG42" s="676">
        <v>21397000</v>
      </c>
      <c r="BH42" s="676"/>
      <c r="BI42" s="676">
        <v>1766</v>
      </c>
      <c r="BJ42" s="676"/>
      <c r="BK42" s="676"/>
      <c r="BL42" s="676"/>
      <c r="BM42" s="676"/>
      <c r="BN42" s="676">
        <v>0</v>
      </c>
      <c r="BO42" s="676"/>
      <c r="BP42" s="676"/>
      <c r="BQ42" s="676"/>
      <c r="BR42" s="676"/>
      <c r="BS42" s="676"/>
      <c r="BT42" s="676">
        <v>0</v>
      </c>
      <c r="BU42" s="676"/>
      <c r="BV42" s="676"/>
      <c r="BW42" s="676"/>
      <c r="BX42" s="676">
        <v>10161</v>
      </c>
      <c r="BY42" s="676"/>
      <c r="BZ42" s="676"/>
      <c r="CA42" s="676"/>
      <c r="CB42" s="676">
        <v>0</v>
      </c>
      <c r="CC42" s="676"/>
      <c r="CD42" s="676"/>
      <c r="CE42" s="676"/>
      <c r="CF42" s="676"/>
      <c r="CG42" s="676"/>
    </row>
    <row r="43" spans="1:85" x14ac:dyDescent="0.25">
      <c r="A43" s="320" t="s">
        <v>965</v>
      </c>
      <c r="B43" s="320" t="s">
        <v>1360</v>
      </c>
      <c r="C43" s="320" t="s">
        <v>1361</v>
      </c>
      <c r="D43" s="320" t="s">
        <v>966</v>
      </c>
      <c r="E43" s="320">
        <v>2015</v>
      </c>
      <c r="F43" s="404"/>
      <c r="G43" s="676"/>
      <c r="H43" s="676"/>
      <c r="I43" s="676"/>
      <c r="J43" s="676">
        <v>4977</v>
      </c>
      <c r="K43" s="676"/>
      <c r="L43" s="676">
        <v>66</v>
      </c>
      <c r="M43" s="676"/>
      <c r="N43" s="676">
        <v>917175</v>
      </c>
      <c r="O43" s="676"/>
      <c r="P43" s="676">
        <v>187719</v>
      </c>
      <c r="Q43" s="676"/>
      <c r="R43" s="676">
        <v>135834</v>
      </c>
      <c r="S43" s="676"/>
      <c r="T43" s="676"/>
      <c r="U43" s="676"/>
      <c r="V43" s="676">
        <v>51860</v>
      </c>
      <c r="W43" s="676">
        <v>34100</v>
      </c>
      <c r="X43" s="676">
        <v>0</v>
      </c>
      <c r="Y43" s="676">
        <v>388431</v>
      </c>
      <c r="Z43" s="676">
        <v>3938813</v>
      </c>
      <c r="AA43" s="676">
        <v>0</v>
      </c>
      <c r="AB43" s="676"/>
      <c r="AC43" s="676">
        <v>0</v>
      </c>
      <c r="AD43" s="676">
        <v>2400</v>
      </c>
      <c r="AE43" s="676">
        <v>1022212</v>
      </c>
      <c r="AF43" s="676">
        <v>0</v>
      </c>
      <c r="AG43" s="676"/>
      <c r="AH43" s="676"/>
      <c r="AI43" s="676">
        <v>0</v>
      </c>
      <c r="AJ43" s="676"/>
      <c r="AK43" s="676">
        <v>3843</v>
      </c>
      <c r="AL43" s="676">
        <v>51434</v>
      </c>
      <c r="AM43" s="676">
        <v>36679</v>
      </c>
      <c r="AN43" s="676"/>
      <c r="AO43" s="676"/>
      <c r="AP43" s="676">
        <v>54395</v>
      </c>
      <c r="AQ43" s="676">
        <v>1629</v>
      </c>
      <c r="AR43" s="676">
        <v>214289</v>
      </c>
      <c r="AS43" s="676">
        <v>151116</v>
      </c>
      <c r="AT43" s="676">
        <v>50855.78</v>
      </c>
      <c r="AU43" s="676">
        <v>7153</v>
      </c>
      <c r="AV43" s="676">
        <v>9564</v>
      </c>
      <c r="AW43" s="676"/>
      <c r="AX43" s="676">
        <v>1179422</v>
      </c>
      <c r="AY43" s="676">
        <v>629686</v>
      </c>
      <c r="AZ43" s="676">
        <v>0</v>
      </c>
      <c r="BA43" s="676">
        <v>20900000</v>
      </c>
      <c r="BB43" s="676"/>
      <c r="BC43" s="676">
        <v>13000000</v>
      </c>
      <c r="BD43" s="676">
        <v>0</v>
      </c>
      <c r="BE43" s="676">
        <v>0</v>
      </c>
      <c r="BF43" s="676">
        <v>369000</v>
      </c>
      <c r="BG43" s="676">
        <v>1055194000</v>
      </c>
      <c r="BH43" s="676"/>
      <c r="BI43" s="676">
        <v>18096</v>
      </c>
      <c r="BJ43" s="676">
        <v>116436</v>
      </c>
      <c r="BK43" s="676">
        <v>0</v>
      </c>
      <c r="BL43" s="676"/>
      <c r="BM43" s="676">
        <v>1461000</v>
      </c>
      <c r="BN43" s="676">
        <v>0</v>
      </c>
      <c r="BO43" s="676"/>
      <c r="BP43" s="676"/>
      <c r="BQ43" s="676">
        <v>138538</v>
      </c>
      <c r="BR43" s="676"/>
      <c r="BS43" s="676">
        <v>3824536</v>
      </c>
      <c r="BT43" s="676">
        <v>0</v>
      </c>
      <c r="BU43" s="676">
        <v>22200</v>
      </c>
      <c r="BV43" s="676">
        <v>102822</v>
      </c>
      <c r="BW43" s="676">
        <v>9776889</v>
      </c>
      <c r="BX43" s="676"/>
      <c r="BY43" s="676">
        <v>34003</v>
      </c>
      <c r="BZ43" s="676">
        <v>1477000</v>
      </c>
      <c r="CA43" s="676"/>
      <c r="CB43" s="676">
        <v>0</v>
      </c>
      <c r="CC43" s="676"/>
      <c r="CD43" s="676"/>
      <c r="CE43" s="676">
        <v>61148000</v>
      </c>
      <c r="CF43" s="676"/>
      <c r="CG43" s="676">
        <v>519000</v>
      </c>
    </row>
    <row r="44" spans="1:85" x14ac:dyDescent="0.25">
      <c r="A44" s="320" t="s">
        <v>967</v>
      </c>
      <c r="B44" s="320" t="s">
        <v>1362</v>
      </c>
      <c r="C44" s="320" t="s">
        <v>1363</v>
      </c>
      <c r="D44" s="320" t="s">
        <v>968</v>
      </c>
      <c r="E44" s="320">
        <v>2015</v>
      </c>
      <c r="F44" s="404"/>
      <c r="G44" s="676"/>
      <c r="H44" s="676"/>
      <c r="I44" s="676"/>
      <c r="J44" s="676"/>
      <c r="K44" s="676"/>
      <c r="L44" s="676">
        <v>66</v>
      </c>
      <c r="M44" s="676"/>
      <c r="N44" s="676"/>
      <c r="O44" s="676"/>
      <c r="P44" s="676"/>
      <c r="Q44" s="676"/>
      <c r="R44" s="676">
        <v>135834</v>
      </c>
      <c r="S44" s="676"/>
      <c r="T44" s="676"/>
      <c r="U44" s="676"/>
      <c r="V44" s="676"/>
      <c r="W44" s="676"/>
      <c r="X44" s="676">
        <v>0</v>
      </c>
      <c r="Y44" s="676"/>
      <c r="Z44" s="676">
        <v>0</v>
      </c>
      <c r="AA44" s="676">
        <v>0</v>
      </c>
      <c r="AB44" s="676"/>
      <c r="AC44" s="676">
        <v>0</v>
      </c>
      <c r="AD44" s="676"/>
      <c r="AE44" s="676"/>
      <c r="AF44" s="676">
        <v>0</v>
      </c>
      <c r="AG44" s="676"/>
      <c r="AH44" s="676"/>
      <c r="AI44" s="676"/>
      <c r="AJ44" s="676"/>
      <c r="AK44" s="676">
        <v>3843</v>
      </c>
      <c r="AL44" s="676"/>
      <c r="AM44" s="676">
        <v>1710</v>
      </c>
      <c r="AN44" s="676"/>
      <c r="AO44" s="676"/>
      <c r="AP44" s="676"/>
      <c r="AQ44" s="676">
        <v>1629</v>
      </c>
      <c r="AR44" s="676"/>
      <c r="AS44" s="676"/>
      <c r="AT44" s="676">
        <v>0</v>
      </c>
      <c r="AU44" s="676"/>
      <c r="AV44" s="676"/>
      <c r="AW44" s="676"/>
      <c r="AX44" s="676">
        <v>959820</v>
      </c>
      <c r="AY44" s="676">
        <v>33949</v>
      </c>
      <c r="AZ44" s="676">
        <v>0</v>
      </c>
      <c r="BA44" s="676"/>
      <c r="BB44" s="676"/>
      <c r="BC44" s="676"/>
      <c r="BD44" s="676"/>
      <c r="BE44" s="676">
        <v>0</v>
      </c>
      <c r="BF44" s="676"/>
      <c r="BG44" s="676"/>
      <c r="BH44" s="676"/>
      <c r="BI44" s="676">
        <v>18096</v>
      </c>
      <c r="BJ44" s="676">
        <v>799</v>
      </c>
      <c r="BK44" s="676">
        <v>0</v>
      </c>
      <c r="BL44" s="676"/>
      <c r="BM44" s="676"/>
      <c r="BN44" s="676">
        <v>0</v>
      </c>
      <c r="BO44" s="676"/>
      <c r="BP44" s="676"/>
      <c r="BQ44" s="676">
        <v>0</v>
      </c>
      <c r="BR44" s="676"/>
      <c r="BS44" s="676">
        <v>33</v>
      </c>
      <c r="BT44" s="676">
        <v>0</v>
      </c>
      <c r="BU44" s="676">
        <v>22200</v>
      </c>
      <c r="BV44" s="676"/>
      <c r="BW44" s="676">
        <v>680</v>
      </c>
      <c r="BX44" s="676"/>
      <c r="BY44" s="676">
        <v>9000</v>
      </c>
      <c r="BZ44" s="676"/>
      <c r="CA44" s="676"/>
      <c r="CB44" s="676">
        <v>0</v>
      </c>
      <c r="CC44" s="676"/>
      <c r="CD44" s="676"/>
      <c r="CE44" s="676">
        <v>18060000</v>
      </c>
      <c r="CF44" s="676"/>
      <c r="CG44" s="676">
        <v>510000</v>
      </c>
    </row>
    <row r="45" spans="1:85" x14ac:dyDescent="0.25">
      <c r="A45" s="320" t="s">
        <v>969</v>
      </c>
      <c r="B45" s="320" t="s">
        <v>1364</v>
      </c>
      <c r="C45" s="320" t="s">
        <v>1365</v>
      </c>
      <c r="D45" s="320" t="s">
        <v>970</v>
      </c>
      <c r="E45" s="320">
        <v>2015</v>
      </c>
      <c r="F45" s="404"/>
      <c r="G45" s="676"/>
      <c r="H45" s="676"/>
      <c r="I45" s="676"/>
      <c r="J45" s="676"/>
      <c r="K45" s="676"/>
      <c r="L45" s="676"/>
      <c r="M45" s="676"/>
      <c r="N45" s="676"/>
      <c r="O45" s="676"/>
      <c r="P45" s="676"/>
      <c r="Q45" s="676"/>
      <c r="R45" s="676"/>
      <c r="S45" s="676"/>
      <c r="T45" s="676"/>
      <c r="U45" s="676"/>
      <c r="V45" s="676"/>
      <c r="W45" s="676"/>
      <c r="X45" s="676">
        <v>0</v>
      </c>
      <c r="Y45" s="676"/>
      <c r="Z45" s="676">
        <v>0</v>
      </c>
      <c r="AA45" s="676"/>
      <c r="AB45" s="676"/>
      <c r="AC45" s="676">
        <v>0</v>
      </c>
      <c r="AD45" s="676"/>
      <c r="AE45" s="676"/>
      <c r="AF45" s="676"/>
      <c r="AG45" s="676"/>
      <c r="AH45" s="676"/>
      <c r="AI45" s="676"/>
      <c r="AJ45" s="676"/>
      <c r="AK45" s="676"/>
      <c r="AL45" s="676"/>
      <c r="AM45" s="676"/>
      <c r="AN45" s="676"/>
      <c r="AO45" s="676"/>
      <c r="AP45" s="676"/>
      <c r="AQ45" s="676">
        <v>1129</v>
      </c>
      <c r="AR45" s="676"/>
      <c r="AS45" s="676"/>
      <c r="AT45" s="676">
        <v>0</v>
      </c>
      <c r="AU45" s="676"/>
      <c r="AV45" s="676"/>
      <c r="AW45" s="676"/>
      <c r="AX45" s="676"/>
      <c r="AY45" s="676"/>
      <c r="AZ45" s="676">
        <v>0</v>
      </c>
      <c r="BA45" s="676"/>
      <c r="BB45" s="676"/>
      <c r="BC45" s="676"/>
      <c r="BD45" s="676"/>
      <c r="BE45" s="676">
        <v>0</v>
      </c>
      <c r="BF45" s="676"/>
      <c r="BG45" s="676"/>
      <c r="BH45" s="676"/>
      <c r="BI45" s="676"/>
      <c r="BJ45" s="676"/>
      <c r="BK45" s="676"/>
      <c r="BL45" s="676"/>
      <c r="BM45" s="676"/>
      <c r="BN45" s="676">
        <v>0</v>
      </c>
      <c r="BO45" s="676"/>
      <c r="BP45" s="676"/>
      <c r="BQ45" s="676"/>
      <c r="BR45" s="676"/>
      <c r="BS45" s="676"/>
      <c r="BT45" s="676">
        <v>0</v>
      </c>
      <c r="BU45" s="676"/>
      <c r="BV45" s="676"/>
      <c r="BW45" s="676">
        <v>0</v>
      </c>
      <c r="BX45" s="676"/>
      <c r="BY45" s="676">
        <v>9000</v>
      </c>
      <c r="BZ45" s="676"/>
      <c r="CA45" s="676"/>
      <c r="CB45" s="676">
        <v>0</v>
      </c>
      <c r="CC45" s="676"/>
      <c r="CD45" s="676"/>
      <c r="CE45" s="676"/>
      <c r="CF45" s="676"/>
      <c r="CG45" s="676"/>
    </row>
    <row r="46" spans="1:85" x14ac:dyDescent="0.25">
      <c r="A46" s="320" t="s">
        <v>971</v>
      </c>
      <c r="B46" s="320" t="s">
        <v>1366</v>
      </c>
      <c r="C46" s="320" t="s">
        <v>1365</v>
      </c>
      <c r="D46" s="320" t="s">
        <v>972</v>
      </c>
      <c r="E46" s="320">
        <v>2015</v>
      </c>
      <c r="F46" s="404"/>
      <c r="G46" s="676"/>
      <c r="H46" s="676"/>
      <c r="I46" s="676"/>
      <c r="J46" s="676"/>
      <c r="K46" s="676"/>
      <c r="L46" s="676"/>
      <c r="M46" s="676"/>
      <c r="N46" s="676"/>
      <c r="O46" s="676"/>
      <c r="P46" s="676"/>
      <c r="Q46" s="676"/>
      <c r="R46" s="676"/>
      <c r="S46" s="676"/>
      <c r="T46" s="676"/>
      <c r="U46" s="676"/>
      <c r="V46" s="676"/>
      <c r="W46" s="676"/>
      <c r="X46" s="676">
        <v>0</v>
      </c>
      <c r="Y46" s="676"/>
      <c r="Z46" s="676">
        <v>0</v>
      </c>
      <c r="AA46" s="676"/>
      <c r="AB46" s="676"/>
      <c r="AC46" s="676">
        <v>0</v>
      </c>
      <c r="AD46" s="676"/>
      <c r="AE46" s="676"/>
      <c r="AF46" s="676"/>
      <c r="AG46" s="676"/>
      <c r="AH46" s="676"/>
      <c r="AI46" s="676"/>
      <c r="AJ46" s="676"/>
      <c r="AK46" s="676"/>
      <c r="AL46" s="676"/>
      <c r="AM46" s="676"/>
      <c r="AN46" s="676"/>
      <c r="AO46" s="676"/>
      <c r="AP46" s="676"/>
      <c r="AQ46" s="676">
        <v>0</v>
      </c>
      <c r="AR46" s="676"/>
      <c r="AS46" s="676"/>
      <c r="AT46" s="676">
        <v>0</v>
      </c>
      <c r="AU46" s="676"/>
      <c r="AV46" s="676"/>
      <c r="AW46" s="676"/>
      <c r="AX46" s="676"/>
      <c r="AY46" s="676"/>
      <c r="AZ46" s="676">
        <v>0</v>
      </c>
      <c r="BA46" s="676"/>
      <c r="BB46" s="676"/>
      <c r="BC46" s="676"/>
      <c r="BD46" s="676"/>
      <c r="BE46" s="676">
        <v>0</v>
      </c>
      <c r="BF46" s="676"/>
      <c r="BG46" s="676"/>
      <c r="BH46" s="676"/>
      <c r="BI46" s="676"/>
      <c r="BJ46" s="676"/>
      <c r="BK46" s="676"/>
      <c r="BL46" s="676"/>
      <c r="BM46" s="676"/>
      <c r="BN46" s="676">
        <v>0</v>
      </c>
      <c r="BO46" s="676"/>
      <c r="BP46" s="676"/>
      <c r="BQ46" s="676"/>
      <c r="BR46" s="676"/>
      <c r="BS46" s="676"/>
      <c r="BT46" s="676">
        <v>0</v>
      </c>
      <c r="BU46" s="676"/>
      <c r="BV46" s="676"/>
      <c r="BW46" s="676"/>
      <c r="BX46" s="676"/>
      <c r="BY46" s="676"/>
      <c r="BZ46" s="676"/>
      <c r="CA46" s="676"/>
      <c r="CB46" s="676">
        <v>0</v>
      </c>
      <c r="CC46" s="676"/>
      <c r="CD46" s="676"/>
      <c r="CE46" s="676"/>
      <c r="CF46" s="676"/>
      <c r="CG46" s="676"/>
    </row>
    <row r="47" spans="1:85" x14ac:dyDescent="0.25">
      <c r="A47" s="320" t="s">
        <v>973</v>
      </c>
      <c r="B47" s="320" t="s">
        <v>1367</v>
      </c>
      <c r="C47" s="320" t="s">
        <v>1365</v>
      </c>
      <c r="D47" s="320" t="s">
        <v>974</v>
      </c>
      <c r="E47" s="320">
        <v>2015</v>
      </c>
      <c r="F47" s="404"/>
      <c r="G47" s="676"/>
      <c r="H47" s="676"/>
      <c r="I47" s="676"/>
      <c r="J47" s="676"/>
      <c r="K47" s="676"/>
      <c r="L47" s="676">
        <v>66</v>
      </c>
      <c r="M47" s="676"/>
      <c r="N47" s="676"/>
      <c r="O47" s="676"/>
      <c r="P47" s="676"/>
      <c r="Q47" s="676"/>
      <c r="R47" s="676">
        <v>135834</v>
      </c>
      <c r="S47" s="676"/>
      <c r="T47" s="676"/>
      <c r="U47" s="676"/>
      <c r="V47" s="676"/>
      <c r="W47" s="676"/>
      <c r="X47" s="676">
        <v>0</v>
      </c>
      <c r="Y47" s="676"/>
      <c r="Z47" s="676">
        <v>0</v>
      </c>
      <c r="AA47" s="676">
        <v>0</v>
      </c>
      <c r="AB47" s="676"/>
      <c r="AC47" s="676">
        <v>0</v>
      </c>
      <c r="AD47" s="676"/>
      <c r="AE47" s="676"/>
      <c r="AF47" s="676"/>
      <c r="AG47" s="676"/>
      <c r="AH47" s="676"/>
      <c r="AI47" s="676"/>
      <c r="AJ47" s="676"/>
      <c r="AK47" s="676">
        <v>3843</v>
      </c>
      <c r="AL47" s="676"/>
      <c r="AM47" s="676">
        <v>1710</v>
      </c>
      <c r="AN47" s="676"/>
      <c r="AO47" s="676"/>
      <c r="AP47" s="676"/>
      <c r="AQ47" s="676">
        <v>500</v>
      </c>
      <c r="AR47" s="676"/>
      <c r="AS47" s="676"/>
      <c r="AT47" s="676">
        <v>0</v>
      </c>
      <c r="AU47" s="676"/>
      <c r="AV47" s="676"/>
      <c r="AW47" s="676"/>
      <c r="AX47" s="676">
        <v>959820</v>
      </c>
      <c r="AY47" s="676">
        <v>33949</v>
      </c>
      <c r="AZ47" s="676">
        <v>0</v>
      </c>
      <c r="BA47" s="676"/>
      <c r="BB47" s="676"/>
      <c r="BC47" s="676"/>
      <c r="BD47" s="676"/>
      <c r="BE47" s="676">
        <v>0</v>
      </c>
      <c r="BF47" s="676"/>
      <c r="BG47" s="676"/>
      <c r="BH47" s="676"/>
      <c r="BI47" s="676">
        <v>18096</v>
      </c>
      <c r="BJ47" s="676">
        <v>799</v>
      </c>
      <c r="BK47" s="676"/>
      <c r="BL47" s="676"/>
      <c r="BM47" s="676"/>
      <c r="BN47" s="676">
        <v>0</v>
      </c>
      <c r="BO47" s="676"/>
      <c r="BP47" s="676"/>
      <c r="BQ47" s="676">
        <v>0</v>
      </c>
      <c r="BR47" s="676"/>
      <c r="BS47" s="676">
        <v>33</v>
      </c>
      <c r="BT47" s="676">
        <v>0</v>
      </c>
      <c r="BU47" s="676">
        <v>22200</v>
      </c>
      <c r="BV47" s="676"/>
      <c r="BW47" s="676">
        <v>680</v>
      </c>
      <c r="BX47" s="676"/>
      <c r="BY47" s="676"/>
      <c r="BZ47" s="676"/>
      <c r="CA47" s="676"/>
      <c r="CB47" s="676">
        <v>0</v>
      </c>
      <c r="CC47" s="676"/>
      <c r="CD47" s="676"/>
      <c r="CE47" s="676"/>
      <c r="CF47" s="676"/>
      <c r="CG47" s="676"/>
    </row>
    <row r="48" spans="1:85" x14ac:dyDescent="0.25">
      <c r="A48" s="320" t="s">
        <v>975</v>
      </c>
      <c r="B48" s="320" t="s">
        <v>976</v>
      </c>
      <c r="C48" s="320"/>
      <c r="D48" s="320" t="s">
        <v>977</v>
      </c>
      <c r="E48" s="320">
        <v>2015</v>
      </c>
      <c r="F48" s="404"/>
      <c r="G48" s="676"/>
      <c r="H48" s="676"/>
      <c r="I48" s="676"/>
      <c r="J48" s="676"/>
      <c r="K48" s="676"/>
      <c r="L48" s="676"/>
      <c r="M48" s="676"/>
      <c r="N48" s="676"/>
      <c r="O48" s="676"/>
      <c r="P48" s="676"/>
      <c r="Q48" s="676"/>
      <c r="R48" s="676"/>
      <c r="S48" s="676"/>
      <c r="T48" s="676"/>
      <c r="U48" s="676"/>
      <c r="V48" s="676"/>
      <c r="W48" s="676"/>
      <c r="X48" s="676">
        <v>0</v>
      </c>
      <c r="Y48" s="676"/>
      <c r="Z48" s="676">
        <v>0</v>
      </c>
      <c r="AA48" s="676"/>
      <c r="AB48" s="676"/>
      <c r="AC48" s="676">
        <v>0</v>
      </c>
      <c r="AD48" s="676"/>
      <c r="AE48" s="676"/>
      <c r="AF48" s="676"/>
      <c r="AG48" s="676"/>
      <c r="AH48" s="676"/>
      <c r="AI48" s="676"/>
      <c r="AJ48" s="676"/>
      <c r="AK48" s="676"/>
      <c r="AL48" s="676"/>
      <c r="AM48" s="676"/>
      <c r="AN48" s="676"/>
      <c r="AO48" s="676"/>
      <c r="AP48" s="676"/>
      <c r="AQ48" s="676">
        <v>0</v>
      </c>
      <c r="AR48" s="676"/>
      <c r="AS48" s="676"/>
      <c r="AT48" s="676">
        <v>0</v>
      </c>
      <c r="AU48" s="676"/>
      <c r="AV48" s="676"/>
      <c r="AW48" s="676"/>
      <c r="AX48" s="676"/>
      <c r="AY48" s="676"/>
      <c r="AZ48" s="676">
        <v>0</v>
      </c>
      <c r="BA48" s="676"/>
      <c r="BB48" s="676"/>
      <c r="BC48" s="676"/>
      <c r="BD48" s="676"/>
      <c r="BE48" s="676">
        <v>0</v>
      </c>
      <c r="BF48" s="676"/>
      <c r="BG48" s="676"/>
      <c r="BH48" s="676"/>
      <c r="BI48" s="676"/>
      <c r="BJ48" s="676"/>
      <c r="BK48" s="676"/>
      <c r="BL48" s="676"/>
      <c r="BM48" s="676"/>
      <c r="BN48" s="676">
        <v>0</v>
      </c>
      <c r="BO48" s="676"/>
      <c r="BP48" s="676"/>
      <c r="BQ48" s="676"/>
      <c r="BR48" s="676"/>
      <c r="BS48" s="676"/>
      <c r="BT48" s="676">
        <v>0</v>
      </c>
      <c r="BU48" s="676"/>
      <c r="BV48" s="676"/>
      <c r="BW48" s="676"/>
      <c r="BX48" s="676"/>
      <c r="BY48" s="676"/>
      <c r="BZ48" s="676"/>
      <c r="CA48" s="676"/>
      <c r="CB48" s="676">
        <v>0</v>
      </c>
      <c r="CC48" s="676"/>
      <c r="CD48" s="676"/>
      <c r="CE48" s="676"/>
      <c r="CF48" s="676"/>
      <c r="CG48" s="676"/>
    </row>
    <row r="49" spans="1:85" x14ac:dyDescent="0.25">
      <c r="A49" s="320" t="s">
        <v>978</v>
      </c>
      <c r="B49" s="320" t="s">
        <v>1368</v>
      </c>
      <c r="C49" s="320" t="s">
        <v>1369</v>
      </c>
      <c r="D49" s="320" t="s">
        <v>979</v>
      </c>
      <c r="E49" s="320">
        <v>2015</v>
      </c>
      <c r="F49" s="404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>
        <v>0</v>
      </c>
      <c r="Y49" s="676"/>
      <c r="Z49" s="676">
        <v>0</v>
      </c>
      <c r="AA49" s="676"/>
      <c r="AB49" s="676"/>
      <c r="AC49" s="676">
        <v>0</v>
      </c>
      <c r="AD49" s="676"/>
      <c r="AE49" s="676"/>
      <c r="AF49" s="676"/>
      <c r="AG49" s="676"/>
      <c r="AH49" s="676"/>
      <c r="AI49" s="676"/>
      <c r="AJ49" s="676"/>
      <c r="AK49" s="676"/>
      <c r="AL49" s="676"/>
      <c r="AM49" s="676"/>
      <c r="AN49" s="676"/>
      <c r="AO49" s="676"/>
      <c r="AP49" s="676"/>
      <c r="AQ49" s="676">
        <v>0</v>
      </c>
      <c r="AR49" s="676"/>
      <c r="AS49" s="676"/>
      <c r="AT49" s="676">
        <v>0</v>
      </c>
      <c r="AU49" s="676"/>
      <c r="AV49" s="676"/>
      <c r="AW49" s="676"/>
      <c r="AX49" s="676"/>
      <c r="AY49" s="676"/>
      <c r="AZ49" s="676">
        <v>0</v>
      </c>
      <c r="BA49" s="676">
        <v>20900000</v>
      </c>
      <c r="BB49" s="676"/>
      <c r="BC49" s="676"/>
      <c r="BD49" s="676"/>
      <c r="BE49" s="676">
        <v>0</v>
      </c>
      <c r="BF49" s="676"/>
      <c r="BG49" s="676"/>
      <c r="BH49" s="676"/>
      <c r="BI49" s="676"/>
      <c r="BJ49" s="676"/>
      <c r="BK49" s="676"/>
      <c r="BL49" s="676"/>
      <c r="BM49" s="676"/>
      <c r="BN49" s="676">
        <v>0</v>
      </c>
      <c r="BO49" s="676"/>
      <c r="BP49" s="676"/>
      <c r="BQ49" s="676"/>
      <c r="BR49" s="676"/>
      <c r="BS49" s="676"/>
      <c r="BT49" s="676">
        <v>0</v>
      </c>
      <c r="BU49" s="676"/>
      <c r="BV49" s="676"/>
      <c r="BW49" s="676"/>
      <c r="BX49" s="676"/>
      <c r="BY49" s="676"/>
      <c r="BZ49" s="676"/>
      <c r="CA49" s="676"/>
      <c r="CB49" s="676">
        <v>0</v>
      </c>
      <c r="CC49" s="676"/>
      <c r="CD49" s="676"/>
      <c r="CE49" s="676"/>
      <c r="CF49" s="676"/>
      <c r="CG49" s="676"/>
    </row>
    <row r="50" spans="1:85" x14ac:dyDescent="0.25">
      <c r="A50" s="320" t="s">
        <v>980</v>
      </c>
      <c r="B50" s="320" t="s">
        <v>1370</v>
      </c>
      <c r="C50" s="320" t="s">
        <v>1369</v>
      </c>
      <c r="D50" s="320" t="s">
        <v>981</v>
      </c>
      <c r="E50" s="320">
        <v>2015</v>
      </c>
      <c r="F50" s="404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>
        <v>0</v>
      </c>
      <c r="Y50" s="676"/>
      <c r="Z50" s="676">
        <v>0</v>
      </c>
      <c r="AA50" s="676"/>
      <c r="AB50" s="676"/>
      <c r="AC50" s="676">
        <v>0</v>
      </c>
      <c r="AD50" s="676"/>
      <c r="AE50" s="676"/>
      <c r="AF50" s="676"/>
      <c r="AG50" s="676"/>
      <c r="AH50" s="676"/>
      <c r="AI50" s="676"/>
      <c r="AJ50" s="676"/>
      <c r="AK50" s="676"/>
      <c r="AL50" s="676"/>
      <c r="AM50" s="676"/>
      <c r="AN50" s="676"/>
      <c r="AO50" s="676"/>
      <c r="AP50" s="676"/>
      <c r="AQ50" s="676">
        <v>0</v>
      </c>
      <c r="AR50" s="676"/>
      <c r="AS50" s="676"/>
      <c r="AT50" s="676">
        <v>0</v>
      </c>
      <c r="AU50" s="676"/>
      <c r="AV50" s="676"/>
      <c r="AW50" s="676"/>
      <c r="AX50" s="676"/>
      <c r="AY50" s="676"/>
      <c r="AZ50" s="676">
        <v>0</v>
      </c>
      <c r="BA50" s="676"/>
      <c r="BB50" s="676"/>
      <c r="BC50" s="676"/>
      <c r="BD50" s="676"/>
      <c r="BE50" s="676">
        <v>0</v>
      </c>
      <c r="BF50" s="676"/>
      <c r="BG50" s="676"/>
      <c r="BH50" s="676"/>
      <c r="BI50" s="676"/>
      <c r="BJ50" s="676"/>
      <c r="BK50" s="676"/>
      <c r="BL50" s="676"/>
      <c r="BM50" s="676"/>
      <c r="BN50" s="676">
        <v>0</v>
      </c>
      <c r="BO50" s="676"/>
      <c r="BP50" s="676"/>
      <c r="BQ50" s="676"/>
      <c r="BR50" s="676"/>
      <c r="BS50" s="676"/>
      <c r="BT50" s="676">
        <v>0</v>
      </c>
      <c r="BU50" s="676"/>
      <c r="BV50" s="676"/>
      <c r="BW50" s="676"/>
      <c r="BX50" s="676"/>
      <c r="BY50" s="676"/>
      <c r="BZ50" s="676"/>
      <c r="CA50" s="676"/>
      <c r="CB50" s="676">
        <v>0</v>
      </c>
      <c r="CC50" s="676"/>
      <c r="CD50" s="676"/>
      <c r="CE50" s="676"/>
      <c r="CF50" s="676"/>
      <c r="CG50" s="676"/>
    </row>
    <row r="51" spans="1:85" x14ac:dyDescent="0.25">
      <c r="A51" s="320" t="s">
        <v>982</v>
      </c>
      <c r="B51" s="320" t="s">
        <v>983</v>
      </c>
      <c r="C51" s="320"/>
      <c r="D51" s="320" t="s">
        <v>984</v>
      </c>
      <c r="E51" s="320">
        <v>2015</v>
      </c>
      <c r="F51" s="404"/>
      <c r="G51" s="676"/>
      <c r="H51" s="676"/>
      <c r="I51" s="676"/>
      <c r="J51" s="676"/>
      <c r="K51" s="676"/>
      <c r="L51" s="676"/>
      <c r="M51" s="676"/>
      <c r="N51" s="676"/>
      <c r="O51" s="676"/>
      <c r="P51" s="676"/>
      <c r="Q51" s="676"/>
      <c r="R51" s="676"/>
      <c r="S51" s="676"/>
      <c r="T51" s="676"/>
      <c r="U51" s="676"/>
      <c r="V51" s="676"/>
      <c r="W51" s="676"/>
      <c r="X51" s="676">
        <v>0</v>
      </c>
      <c r="Y51" s="676"/>
      <c r="Z51" s="676">
        <v>0</v>
      </c>
      <c r="AA51" s="676"/>
      <c r="AB51" s="676"/>
      <c r="AC51" s="676">
        <v>0</v>
      </c>
      <c r="AD51" s="676"/>
      <c r="AE51" s="676"/>
      <c r="AF51" s="676"/>
      <c r="AG51" s="676"/>
      <c r="AH51" s="676"/>
      <c r="AI51" s="676">
        <v>0</v>
      </c>
      <c r="AJ51" s="676"/>
      <c r="AK51" s="676"/>
      <c r="AL51" s="676"/>
      <c r="AM51" s="676"/>
      <c r="AN51" s="676"/>
      <c r="AO51" s="676"/>
      <c r="AP51" s="676"/>
      <c r="AQ51" s="676">
        <v>0</v>
      </c>
      <c r="AR51" s="676"/>
      <c r="AS51" s="676"/>
      <c r="AT51" s="676">
        <v>0</v>
      </c>
      <c r="AU51" s="676"/>
      <c r="AV51" s="676"/>
      <c r="AW51" s="676"/>
      <c r="AX51" s="676"/>
      <c r="AY51" s="676"/>
      <c r="AZ51" s="676">
        <v>0</v>
      </c>
      <c r="BA51" s="676"/>
      <c r="BB51" s="676"/>
      <c r="BC51" s="676"/>
      <c r="BD51" s="676"/>
      <c r="BE51" s="676">
        <v>0</v>
      </c>
      <c r="BF51" s="676"/>
      <c r="BG51" s="676"/>
      <c r="BH51" s="676"/>
      <c r="BI51" s="676"/>
      <c r="BJ51" s="676"/>
      <c r="BK51" s="676"/>
      <c r="BL51" s="676"/>
      <c r="BM51" s="676"/>
      <c r="BN51" s="676">
        <v>0</v>
      </c>
      <c r="BO51" s="676"/>
      <c r="BP51" s="676"/>
      <c r="BQ51" s="676"/>
      <c r="BR51" s="676"/>
      <c r="BS51" s="676"/>
      <c r="BT51" s="676">
        <v>0</v>
      </c>
      <c r="BU51" s="676"/>
      <c r="BV51" s="676"/>
      <c r="BW51" s="676"/>
      <c r="BX51" s="676"/>
      <c r="BY51" s="676"/>
      <c r="BZ51" s="676"/>
      <c r="CA51" s="676"/>
      <c r="CB51" s="676">
        <v>0</v>
      </c>
      <c r="CC51" s="676"/>
      <c r="CD51" s="676"/>
      <c r="CE51" s="676"/>
      <c r="CF51" s="676"/>
      <c r="CG51" s="676"/>
    </row>
    <row r="52" spans="1:85" x14ac:dyDescent="0.25">
      <c r="A52" s="320" t="s">
        <v>985</v>
      </c>
      <c r="B52" s="320" t="s">
        <v>1018</v>
      </c>
      <c r="C52" s="320" t="s">
        <v>1371</v>
      </c>
      <c r="D52" s="320" t="s">
        <v>986</v>
      </c>
      <c r="E52" s="320">
        <v>2015</v>
      </c>
      <c r="F52" s="404"/>
      <c r="G52" s="676"/>
      <c r="H52" s="676"/>
      <c r="I52" s="676"/>
      <c r="J52" s="676"/>
      <c r="K52" s="676"/>
      <c r="L52" s="676"/>
      <c r="M52" s="676"/>
      <c r="N52" s="676"/>
      <c r="O52" s="676"/>
      <c r="P52" s="676"/>
      <c r="Q52" s="676"/>
      <c r="R52" s="676"/>
      <c r="S52" s="676"/>
      <c r="T52" s="676"/>
      <c r="U52" s="676"/>
      <c r="V52" s="676"/>
      <c r="W52" s="676"/>
      <c r="X52" s="676">
        <v>0</v>
      </c>
      <c r="Y52" s="676"/>
      <c r="Z52" s="676">
        <v>0</v>
      </c>
      <c r="AA52" s="676"/>
      <c r="AB52" s="676"/>
      <c r="AC52" s="676">
        <v>0</v>
      </c>
      <c r="AD52" s="676"/>
      <c r="AE52" s="676"/>
      <c r="AF52" s="676"/>
      <c r="AG52" s="676"/>
      <c r="AH52" s="676"/>
      <c r="AI52" s="676"/>
      <c r="AJ52" s="676"/>
      <c r="AK52" s="676"/>
      <c r="AL52" s="676"/>
      <c r="AM52" s="676"/>
      <c r="AN52" s="676"/>
      <c r="AO52" s="676"/>
      <c r="AP52" s="676"/>
      <c r="AQ52" s="676">
        <v>0</v>
      </c>
      <c r="AR52" s="676"/>
      <c r="AS52" s="676"/>
      <c r="AT52" s="676">
        <v>0</v>
      </c>
      <c r="AU52" s="676"/>
      <c r="AV52" s="676"/>
      <c r="AW52" s="676"/>
      <c r="AX52" s="676"/>
      <c r="AY52" s="676"/>
      <c r="AZ52" s="676">
        <v>0</v>
      </c>
      <c r="BA52" s="676"/>
      <c r="BB52" s="676"/>
      <c r="BC52" s="676"/>
      <c r="BD52" s="676"/>
      <c r="BE52" s="676">
        <v>0</v>
      </c>
      <c r="BF52" s="676"/>
      <c r="BG52" s="676">
        <v>260000</v>
      </c>
      <c r="BH52" s="676"/>
      <c r="BI52" s="676"/>
      <c r="BJ52" s="676"/>
      <c r="BK52" s="676"/>
      <c r="BL52" s="676"/>
      <c r="BM52" s="676"/>
      <c r="BN52" s="676">
        <v>0</v>
      </c>
      <c r="BO52" s="676"/>
      <c r="BP52" s="676"/>
      <c r="BQ52" s="676"/>
      <c r="BR52" s="676"/>
      <c r="BS52" s="676"/>
      <c r="BT52" s="676">
        <v>0</v>
      </c>
      <c r="BU52" s="676"/>
      <c r="BV52" s="676"/>
      <c r="BW52" s="676"/>
      <c r="BX52" s="676"/>
      <c r="BY52" s="676"/>
      <c r="BZ52" s="676"/>
      <c r="CA52" s="676"/>
      <c r="CB52" s="676">
        <v>0</v>
      </c>
      <c r="CC52" s="676"/>
      <c r="CD52" s="676"/>
      <c r="CE52" s="676"/>
      <c r="CF52" s="676"/>
      <c r="CG52" s="676"/>
    </row>
    <row r="53" spans="1:85" x14ac:dyDescent="0.25">
      <c r="A53" s="320" t="s">
        <v>987</v>
      </c>
      <c r="B53" s="320" t="s">
        <v>988</v>
      </c>
      <c r="C53" s="320"/>
      <c r="D53" s="320" t="s">
        <v>989</v>
      </c>
      <c r="E53" s="320">
        <v>2015</v>
      </c>
      <c r="F53" s="404"/>
      <c r="G53" s="676"/>
      <c r="H53" s="676"/>
      <c r="I53" s="676"/>
      <c r="J53" s="676"/>
      <c r="K53" s="676"/>
      <c r="L53" s="676"/>
      <c r="M53" s="676"/>
      <c r="N53" s="676">
        <v>22851</v>
      </c>
      <c r="O53" s="676"/>
      <c r="P53" s="676"/>
      <c r="Q53" s="676"/>
      <c r="R53" s="676"/>
      <c r="S53" s="676"/>
      <c r="T53" s="676"/>
      <c r="U53" s="676"/>
      <c r="V53" s="676"/>
      <c r="W53" s="676">
        <v>34100</v>
      </c>
      <c r="X53" s="676">
        <v>0</v>
      </c>
      <c r="Y53" s="676"/>
      <c r="Z53" s="676">
        <v>134693</v>
      </c>
      <c r="AA53" s="676"/>
      <c r="AB53" s="676"/>
      <c r="AC53" s="676">
        <v>0</v>
      </c>
      <c r="AD53" s="676">
        <v>2400</v>
      </c>
      <c r="AE53" s="676"/>
      <c r="AF53" s="676"/>
      <c r="AG53" s="676"/>
      <c r="AH53" s="676"/>
      <c r="AI53" s="676"/>
      <c r="AJ53" s="676"/>
      <c r="AK53" s="676"/>
      <c r="AL53" s="676"/>
      <c r="AM53" s="676"/>
      <c r="AN53" s="676"/>
      <c r="AO53" s="676"/>
      <c r="AP53" s="676"/>
      <c r="AQ53" s="676">
        <v>0</v>
      </c>
      <c r="AR53" s="676"/>
      <c r="AS53" s="676"/>
      <c r="AT53" s="676">
        <v>50855.78</v>
      </c>
      <c r="AU53" s="676"/>
      <c r="AV53" s="676"/>
      <c r="AW53" s="676"/>
      <c r="AX53" s="676">
        <v>216727</v>
      </c>
      <c r="AY53" s="676"/>
      <c r="AZ53" s="676">
        <v>0</v>
      </c>
      <c r="BA53" s="676"/>
      <c r="BB53" s="676"/>
      <c r="BC53" s="676">
        <v>13000000</v>
      </c>
      <c r="BD53" s="676">
        <v>0</v>
      </c>
      <c r="BE53" s="676">
        <v>0</v>
      </c>
      <c r="BF53" s="676">
        <v>369000</v>
      </c>
      <c r="BG53" s="676">
        <v>1054934000</v>
      </c>
      <c r="BH53" s="676"/>
      <c r="BI53" s="676"/>
      <c r="BJ53" s="676"/>
      <c r="BK53" s="676"/>
      <c r="BL53" s="676"/>
      <c r="BM53" s="676"/>
      <c r="BN53" s="676">
        <v>0</v>
      </c>
      <c r="BO53" s="676"/>
      <c r="BP53" s="676"/>
      <c r="BQ53" s="676"/>
      <c r="BR53" s="676"/>
      <c r="BS53" s="676"/>
      <c r="BT53" s="676">
        <v>0</v>
      </c>
      <c r="BU53" s="676"/>
      <c r="BV53" s="676"/>
      <c r="BW53" s="676">
        <v>8695946</v>
      </c>
      <c r="BX53" s="676"/>
      <c r="BY53" s="676"/>
      <c r="BZ53" s="676"/>
      <c r="CA53" s="676"/>
      <c r="CB53" s="676">
        <v>0</v>
      </c>
      <c r="CC53" s="676"/>
      <c r="CD53" s="676"/>
      <c r="CE53" s="676">
        <v>43088000</v>
      </c>
      <c r="CF53" s="676"/>
      <c r="CG53" s="676">
        <v>9000</v>
      </c>
    </row>
    <row r="54" spans="1:85" x14ac:dyDescent="0.25">
      <c r="A54" s="320" t="s">
        <v>990</v>
      </c>
      <c r="B54" s="320" t="s">
        <v>991</v>
      </c>
      <c r="C54" s="320"/>
      <c r="D54" s="320" t="s">
        <v>992</v>
      </c>
      <c r="E54" s="320">
        <v>2015</v>
      </c>
      <c r="F54" s="404"/>
      <c r="G54" s="676"/>
      <c r="H54" s="676"/>
      <c r="I54" s="676"/>
      <c r="J54" s="676">
        <v>4977</v>
      </c>
      <c r="K54" s="676"/>
      <c r="L54" s="676"/>
      <c r="M54" s="676"/>
      <c r="N54" s="676">
        <v>894324</v>
      </c>
      <c r="O54" s="676"/>
      <c r="P54" s="676">
        <v>187719</v>
      </c>
      <c r="Q54" s="676"/>
      <c r="R54" s="676"/>
      <c r="S54" s="676"/>
      <c r="T54" s="676"/>
      <c r="U54" s="676"/>
      <c r="V54" s="676">
        <v>51860</v>
      </c>
      <c r="W54" s="676"/>
      <c r="X54" s="676">
        <v>0</v>
      </c>
      <c r="Y54" s="676">
        <v>388431</v>
      </c>
      <c r="Z54" s="676">
        <v>3804120</v>
      </c>
      <c r="AA54" s="676"/>
      <c r="AB54" s="676"/>
      <c r="AC54" s="676">
        <v>0</v>
      </c>
      <c r="AD54" s="676"/>
      <c r="AE54" s="676">
        <v>1022212</v>
      </c>
      <c r="AF54" s="676"/>
      <c r="AG54" s="676"/>
      <c r="AH54" s="676"/>
      <c r="AI54" s="676"/>
      <c r="AJ54" s="676"/>
      <c r="AK54" s="676"/>
      <c r="AL54" s="676">
        <v>51434</v>
      </c>
      <c r="AM54" s="676">
        <v>34969</v>
      </c>
      <c r="AN54" s="676"/>
      <c r="AO54" s="676"/>
      <c r="AP54" s="676">
        <v>54395</v>
      </c>
      <c r="AQ54" s="676">
        <v>0</v>
      </c>
      <c r="AR54" s="676">
        <v>214289</v>
      </c>
      <c r="AS54" s="676">
        <v>151116</v>
      </c>
      <c r="AT54" s="676">
        <v>0</v>
      </c>
      <c r="AU54" s="676">
        <v>7153</v>
      </c>
      <c r="AV54" s="676">
        <v>9564</v>
      </c>
      <c r="AW54" s="676"/>
      <c r="AX54" s="676">
        <v>2875</v>
      </c>
      <c r="AY54" s="676">
        <v>595737</v>
      </c>
      <c r="AZ54" s="676">
        <v>0</v>
      </c>
      <c r="BA54" s="676"/>
      <c r="BB54" s="676"/>
      <c r="BC54" s="676"/>
      <c r="BD54" s="676"/>
      <c r="BE54" s="676">
        <v>0</v>
      </c>
      <c r="BF54" s="676"/>
      <c r="BG54" s="676"/>
      <c r="BH54" s="676"/>
      <c r="BI54" s="676"/>
      <c r="BJ54" s="676">
        <v>115637</v>
      </c>
      <c r="BK54" s="676"/>
      <c r="BL54" s="676"/>
      <c r="BM54" s="676">
        <v>1461000</v>
      </c>
      <c r="BN54" s="676">
        <v>0</v>
      </c>
      <c r="BO54" s="676"/>
      <c r="BP54" s="676"/>
      <c r="BQ54" s="676">
        <v>138538</v>
      </c>
      <c r="BR54" s="676"/>
      <c r="BS54" s="676">
        <v>3824503</v>
      </c>
      <c r="BT54" s="676">
        <v>0</v>
      </c>
      <c r="BU54" s="676"/>
      <c r="BV54" s="676">
        <v>102822</v>
      </c>
      <c r="BW54" s="676">
        <v>1080263</v>
      </c>
      <c r="BX54" s="676"/>
      <c r="BY54" s="676">
        <v>25003</v>
      </c>
      <c r="BZ54" s="676">
        <v>1477000</v>
      </c>
      <c r="CA54" s="676"/>
      <c r="CB54" s="676">
        <v>0</v>
      </c>
      <c r="CC54" s="676"/>
      <c r="CD54" s="676"/>
      <c r="CE54" s="676"/>
      <c r="CF54" s="676"/>
      <c r="CG54" s="676"/>
    </row>
    <row r="55" spans="1:85" x14ac:dyDescent="0.25">
      <c r="A55" s="320" t="s">
        <v>993</v>
      </c>
      <c r="B55" s="320" t="s">
        <v>1372</v>
      </c>
      <c r="C55" s="320" t="s">
        <v>1373</v>
      </c>
      <c r="D55" s="320" t="s">
        <v>994</v>
      </c>
      <c r="E55" s="320">
        <v>2015</v>
      </c>
      <c r="F55" s="404">
        <v>75194</v>
      </c>
      <c r="G55" s="676">
        <v>168194</v>
      </c>
      <c r="H55" s="676">
        <v>5854519</v>
      </c>
      <c r="I55" s="676">
        <v>3520108</v>
      </c>
      <c r="J55" s="676">
        <v>3045240</v>
      </c>
      <c r="K55" s="676">
        <v>198813</v>
      </c>
      <c r="L55" s="676">
        <v>863614</v>
      </c>
      <c r="M55" s="676">
        <v>29735820</v>
      </c>
      <c r="N55" s="676">
        <v>54003118</v>
      </c>
      <c r="O55" s="676">
        <v>10846189</v>
      </c>
      <c r="P55" s="676">
        <v>3891679</v>
      </c>
      <c r="Q55" s="676">
        <v>157995</v>
      </c>
      <c r="R55" s="676">
        <v>8272445</v>
      </c>
      <c r="S55" s="676">
        <v>26486097</v>
      </c>
      <c r="T55" s="676">
        <v>4516620</v>
      </c>
      <c r="U55" s="676">
        <v>464003000</v>
      </c>
      <c r="V55" s="676">
        <v>2784142</v>
      </c>
      <c r="W55" s="676">
        <v>596356</v>
      </c>
      <c r="X55" s="676">
        <v>540359.42000000004</v>
      </c>
      <c r="Y55" s="676">
        <v>53856925</v>
      </c>
      <c r="Z55" s="676">
        <v>1079961465</v>
      </c>
      <c r="AA55" s="676">
        <v>757942</v>
      </c>
      <c r="AB55" s="676">
        <v>21327142</v>
      </c>
      <c r="AC55" s="676">
        <v>681829.42</v>
      </c>
      <c r="AD55" s="676">
        <v>314510</v>
      </c>
      <c r="AE55" s="676">
        <v>1365311</v>
      </c>
      <c r="AF55" s="676">
        <v>2632512</v>
      </c>
      <c r="AG55" s="676">
        <v>144641</v>
      </c>
      <c r="AH55" s="676">
        <v>352331</v>
      </c>
      <c r="AI55" s="676">
        <v>262370</v>
      </c>
      <c r="AJ55" s="676">
        <v>35831</v>
      </c>
      <c r="AK55" s="676">
        <v>12479206</v>
      </c>
      <c r="AL55" s="676">
        <v>14452457</v>
      </c>
      <c r="AM55" s="676">
        <v>3567974</v>
      </c>
      <c r="AN55" s="676">
        <v>63313000</v>
      </c>
      <c r="AO55" s="676">
        <v>15553515</v>
      </c>
      <c r="AP55" s="676">
        <v>11218299</v>
      </c>
      <c r="AQ55" s="676">
        <v>5692193</v>
      </c>
      <c r="AR55" s="676">
        <v>2773467</v>
      </c>
      <c r="AS55" s="676">
        <v>3515245</v>
      </c>
      <c r="AT55" s="676">
        <v>1688808.31</v>
      </c>
      <c r="AU55" s="676">
        <v>2455387</v>
      </c>
      <c r="AV55" s="676">
        <v>435617</v>
      </c>
      <c r="AW55" s="676">
        <v>191079</v>
      </c>
      <c r="AX55" s="676">
        <v>18096459</v>
      </c>
      <c r="AY55" s="676">
        <v>10026944</v>
      </c>
      <c r="AZ55" s="676">
        <v>69864</v>
      </c>
      <c r="BA55" s="676">
        <v>592548</v>
      </c>
      <c r="BB55" s="676">
        <v>8044720</v>
      </c>
      <c r="BC55" s="676">
        <v>3607135</v>
      </c>
      <c r="BD55" s="676">
        <v>24792590</v>
      </c>
      <c r="BE55" s="676">
        <v>5608132.5199999996</v>
      </c>
      <c r="BF55" s="676">
        <v>60279000</v>
      </c>
      <c r="BG55" s="676">
        <v>213664000</v>
      </c>
      <c r="BH55" s="676">
        <v>385449000</v>
      </c>
      <c r="BI55" s="676">
        <v>36496444</v>
      </c>
      <c r="BJ55" s="676">
        <v>4249970</v>
      </c>
      <c r="BK55" s="676">
        <v>141282</v>
      </c>
      <c r="BL55" s="676">
        <v>192759</v>
      </c>
      <c r="BM55" s="676">
        <v>90809000</v>
      </c>
      <c r="BN55" s="676">
        <v>8439829</v>
      </c>
      <c r="BO55" s="676">
        <v>277513</v>
      </c>
      <c r="BP55" s="676">
        <v>778215</v>
      </c>
      <c r="BQ55" s="676">
        <v>631993</v>
      </c>
      <c r="BR55" s="676">
        <v>188452</v>
      </c>
      <c r="BS55" s="676">
        <v>4935169</v>
      </c>
      <c r="BT55" s="676">
        <v>3969180</v>
      </c>
      <c r="BU55" s="676">
        <v>6490392</v>
      </c>
      <c r="BV55" s="676">
        <v>572165</v>
      </c>
      <c r="BW55" s="676">
        <v>12845363</v>
      </c>
      <c r="BX55" s="676">
        <v>1652499</v>
      </c>
      <c r="BY55" s="676">
        <v>2455347</v>
      </c>
      <c r="BZ55" s="676">
        <v>2244000</v>
      </c>
      <c r="CA55" s="676">
        <v>2925527.84</v>
      </c>
      <c r="CB55" s="676">
        <v>11124848.75</v>
      </c>
      <c r="CC55" s="676">
        <v>21556000</v>
      </c>
      <c r="CD55" s="676">
        <v>36580</v>
      </c>
      <c r="CE55" s="676">
        <v>62664000</v>
      </c>
      <c r="CF55" s="676">
        <v>42052000</v>
      </c>
      <c r="CG55" s="676">
        <v>47513000</v>
      </c>
    </row>
    <row r="56" spans="1:85" x14ac:dyDescent="0.25">
      <c r="A56" s="320" t="s">
        <v>995</v>
      </c>
      <c r="B56" s="320" t="s">
        <v>1362</v>
      </c>
      <c r="C56" s="320" t="s">
        <v>1374</v>
      </c>
      <c r="D56" s="320" t="s">
        <v>996</v>
      </c>
      <c r="E56" s="320">
        <v>2015</v>
      </c>
      <c r="F56" s="404">
        <v>74774</v>
      </c>
      <c r="G56" s="676">
        <v>114259</v>
      </c>
      <c r="H56" s="676">
        <v>1428324</v>
      </c>
      <c r="I56" s="676">
        <v>190631</v>
      </c>
      <c r="J56" s="676">
        <v>2742814</v>
      </c>
      <c r="K56" s="676">
        <v>197620</v>
      </c>
      <c r="L56" s="676">
        <v>832955</v>
      </c>
      <c r="M56" s="676">
        <v>18091310</v>
      </c>
      <c r="N56" s="676">
        <v>53999147</v>
      </c>
      <c r="O56" s="676">
        <v>9969650</v>
      </c>
      <c r="P56" s="676">
        <v>3288385</v>
      </c>
      <c r="Q56" s="676">
        <v>156884</v>
      </c>
      <c r="R56" s="676">
        <v>5610073</v>
      </c>
      <c r="S56" s="676">
        <v>19006705</v>
      </c>
      <c r="T56" s="676">
        <v>1996312</v>
      </c>
      <c r="U56" s="676">
        <v>39053000</v>
      </c>
      <c r="V56" s="676">
        <v>2780179</v>
      </c>
      <c r="W56" s="676">
        <v>428397</v>
      </c>
      <c r="X56" s="676">
        <v>493752.14</v>
      </c>
      <c r="Y56" s="676">
        <v>30378572</v>
      </c>
      <c r="Z56" s="676">
        <v>6752487</v>
      </c>
      <c r="AA56" s="676">
        <v>660314</v>
      </c>
      <c r="AB56" s="676">
        <v>20615080</v>
      </c>
      <c r="AC56" s="676">
        <v>681629.42</v>
      </c>
      <c r="AD56" s="676">
        <v>195562</v>
      </c>
      <c r="AE56" s="676">
        <v>876742</v>
      </c>
      <c r="AF56" s="676">
        <v>2344948</v>
      </c>
      <c r="AG56" s="676">
        <v>23251</v>
      </c>
      <c r="AH56" s="676">
        <v>117932</v>
      </c>
      <c r="AI56" s="676">
        <v>29239</v>
      </c>
      <c r="AJ56" s="676">
        <v>3915</v>
      </c>
      <c r="AK56" s="676">
        <v>9588166</v>
      </c>
      <c r="AL56" s="676">
        <v>14452457</v>
      </c>
      <c r="AM56" s="676">
        <v>3344608</v>
      </c>
      <c r="AN56" s="676">
        <v>14961000</v>
      </c>
      <c r="AO56" s="676">
        <v>15150438</v>
      </c>
      <c r="AP56" s="676">
        <v>4357008</v>
      </c>
      <c r="AQ56" s="676">
        <v>5642453</v>
      </c>
      <c r="AR56" s="676">
        <v>2753503</v>
      </c>
      <c r="AS56" s="676">
        <v>3018535</v>
      </c>
      <c r="AT56" s="676">
        <v>1627491.53</v>
      </c>
      <c r="AU56" s="676">
        <v>2273181</v>
      </c>
      <c r="AV56" s="676">
        <v>323617</v>
      </c>
      <c r="AW56" s="676">
        <v>187808</v>
      </c>
      <c r="AX56" s="676">
        <v>10649458</v>
      </c>
      <c r="AY56" s="676">
        <v>10019355</v>
      </c>
      <c r="AZ56" s="676">
        <v>2836</v>
      </c>
      <c r="BA56" s="676">
        <v>315271</v>
      </c>
      <c r="BB56" s="676">
        <v>4251290</v>
      </c>
      <c r="BC56" s="676">
        <v>2182189</v>
      </c>
      <c r="BD56" s="676">
        <v>21011486</v>
      </c>
      <c r="BE56" s="676">
        <v>5541019.6100000003</v>
      </c>
      <c r="BF56" s="676">
        <v>48143000</v>
      </c>
      <c r="BG56" s="676">
        <v>89356000</v>
      </c>
      <c r="BH56" s="676">
        <v>353716000</v>
      </c>
      <c r="BI56" s="676">
        <v>18356470</v>
      </c>
      <c r="BJ56" s="676">
        <v>3942314</v>
      </c>
      <c r="BK56" s="676">
        <v>140283</v>
      </c>
      <c r="BL56" s="676">
        <v>191655</v>
      </c>
      <c r="BM56" s="676">
        <v>83058000</v>
      </c>
      <c r="BN56" s="676">
        <v>8427410</v>
      </c>
      <c r="BO56" s="676">
        <v>277354</v>
      </c>
      <c r="BP56" s="676">
        <v>776705</v>
      </c>
      <c r="BQ56" s="676">
        <v>569444</v>
      </c>
      <c r="BR56" s="676">
        <v>157417</v>
      </c>
      <c r="BS56" s="676">
        <v>4918015</v>
      </c>
      <c r="BT56" s="676">
        <v>1910278</v>
      </c>
      <c r="BU56" s="676">
        <v>6467295</v>
      </c>
      <c r="BV56" s="676">
        <v>569678</v>
      </c>
      <c r="BW56" s="676">
        <v>8356238</v>
      </c>
      <c r="BX56" s="676">
        <v>1302286</v>
      </c>
      <c r="BY56" s="676">
        <v>2427749</v>
      </c>
      <c r="BZ56" s="676">
        <v>1030000</v>
      </c>
      <c r="CA56" s="676">
        <v>2898916.04</v>
      </c>
      <c r="CB56" s="676">
        <v>11111930.92</v>
      </c>
      <c r="CC56" s="676">
        <v>3871000</v>
      </c>
      <c r="CD56" s="676">
        <v>36580</v>
      </c>
      <c r="CE56" s="676">
        <v>13473000</v>
      </c>
      <c r="CF56" s="676">
        <v>42052000</v>
      </c>
      <c r="CG56" s="676">
        <v>31893000</v>
      </c>
    </row>
    <row r="57" spans="1:85" x14ac:dyDescent="0.25">
      <c r="A57" s="320" t="s">
        <v>997</v>
      </c>
      <c r="B57" s="320" t="s">
        <v>1364</v>
      </c>
      <c r="C57" s="320" t="s">
        <v>1365</v>
      </c>
      <c r="D57" s="320" t="s">
        <v>998</v>
      </c>
      <c r="E57" s="320">
        <v>2015</v>
      </c>
      <c r="F57" s="404"/>
      <c r="G57" s="676"/>
      <c r="H57" s="676">
        <v>13271</v>
      </c>
      <c r="I57" s="676">
        <v>77908</v>
      </c>
      <c r="J57" s="676">
        <v>1946427</v>
      </c>
      <c r="K57" s="676">
        <v>120504</v>
      </c>
      <c r="L57" s="676"/>
      <c r="M57" s="676">
        <v>899508</v>
      </c>
      <c r="N57" s="676">
        <v>208563</v>
      </c>
      <c r="O57" s="676">
        <v>35649</v>
      </c>
      <c r="P57" s="676">
        <v>605011</v>
      </c>
      <c r="Q57" s="676"/>
      <c r="R57" s="676">
        <v>2055200</v>
      </c>
      <c r="S57" s="676">
        <v>3594336</v>
      </c>
      <c r="T57" s="676">
        <v>1059919</v>
      </c>
      <c r="U57" s="676"/>
      <c r="V57" s="676">
        <v>308071</v>
      </c>
      <c r="W57" s="676"/>
      <c r="X57" s="676">
        <v>0</v>
      </c>
      <c r="Y57" s="676">
        <v>31003</v>
      </c>
      <c r="Z57" s="676">
        <v>4165439</v>
      </c>
      <c r="AA57" s="676"/>
      <c r="AB57" s="676"/>
      <c r="AC57" s="676">
        <v>521895.39</v>
      </c>
      <c r="AD57" s="676"/>
      <c r="AE57" s="676">
        <v>46133</v>
      </c>
      <c r="AF57" s="676"/>
      <c r="AG57" s="676"/>
      <c r="AH57" s="676"/>
      <c r="AI57" s="676"/>
      <c r="AJ57" s="676"/>
      <c r="AK57" s="676"/>
      <c r="AL57" s="676"/>
      <c r="AM57" s="676"/>
      <c r="AN57" s="676"/>
      <c r="AO57" s="676"/>
      <c r="AP57" s="676">
        <v>217398</v>
      </c>
      <c r="AQ57" s="676">
        <v>4641415</v>
      </c>
      <c r="AR57" s="676">
        <v>458462</v>
      </c>
      <c r="AS57" s="676">
        <v>390286</v>
      </c>
      <c r="AT57" s="676">
        <v>0</v>
      </c>
      <c r="AU57" s="676">
        <v>36886</v>
      </c>
      <c r="AV57" s="676"/>
      <c r="AW57" s="676"/>
      <c r="AX57" s="676">
        <v>474235</v>
      </c>
      <c r="AY57" s="676">
        <v>390</v>
      </c>
      <c r="AZ57" s="676">
        <v>0</v>
      </c>
      <c r="BA57" s="676">
        <v>35593</v>
      </c>
      <c r="BB57" s="676">
        <v>1123858</v>
      </c>
      <c r="BC57" s="676">
        <v>494733</v>
      </c>
      <c r="BD57" s="676"/>
      <c r="BE57" s="676">
        <v>0</v>
      </c>
      <c r="BF57" s="676"/>
      <c r="BG57" s="676"/>
      <c r="BH57" s="676"/>
      <c r="BI57" s="676"/>
      <c r="BJ57" s="676">
        <v>1374854</v>
      </c>
      <c r="BK57" s="676">
        <v>92931</v>
      </c>
      <c r="BL57" s="676"/>
      <c r="BM57" s="676"/>
      <c r="BN57" s="676">
        <v>0</v>
      </c>
      <c r="BO57" s="676"/>
      <c r="BP57" s="676"/>
      <c r="BQ57" s="676"/>
      <c r="BR57" s="676"/>
      <c r="BS57" s="676"/>
      <c r="BT57" s="676">
        <v>1050008</v>
      </c>
      <c r="BU57" s="676"/>
      <c r="BV57" s="676"/>
      <c r="BW57" s="676">
        <v>1763725</v>
      </c>
      <c r="BX57" s="676"/>
      <c r="BY57" s="676">
        <v>179587</v>
      </c>
      <c r="BZ57" s="676"/>
      <c r="CA57" s="676">
        <v>2043052.42</v>
      </c>
      <c r="CB57" s="676">
        <v>7455594.0300000003</v>
      </c>
      <c r="CC57" s="676"/>
      <c r="CD57" s="676"/>
      <c r="CE57" s="676"/>
      <c r="CF57" s="676"/>
      <c r="CG57" s="676"/>
    </row>
    <row r="58" spans="1:85" x14ac:dyDescent="0.25">
      <c r="A58" s="320" t="s">
        <v>999</v>
      </c>
      <c r="B58" s="320" t="s">
        <v>1366</v>
      </c>
      <c r="C58" s="320" t="s">
        <v>1365</v>
      </c>
      <c r="D58" s="320" t="s">
        <v>1000</v>
      </c>
      <c r="E58" s="320">
        <v>2015</v>
      </c>
      <c r="F58" s="404"/>
      <c r="G58" s="676"/>
      <c r="H58" s="676">
        <v>518486</v>
      </c>
      <c r="I58" s="676"/>
      <c r="J58" s="676"/>
      <c r="K58" s="676"/>
      <c r="L58" s="676"/>
      <c r="M58" s="676"/>
      <c r="N58" s="676"/>
      <c r="O58" s="676"/>
      <c r="P58" s="676"/>
      <c r="Q58" s="676"/>
      <c r="R58" s="676"/>
      <c r="S58" s="676">
        <v>243158</v>
      </c>
      <c r="T58" s="676"/>
      <c r="U58" s="676"/>
      <c r="V58" s="676"/>
      <c r="W58" s="676"/>
      <c r="X58" s="676">
        <v>0</v>
      </c>
      <c r="Y58" s="676"/>
      <c r="Z58" s="676">
        <v>0</v>
      </c>
      <c r="AA58" s="676"/>
      <c r="AB58" s="676"/>
      <c r="AC58" s="676">
        <v>0</v>
      </c>
      <c r="AD58" s="676"/>
      <c r="AE58" s="676"/>
      <c r="AF58" s="676"/>
      <c r="AG58" s="676"/>
      <c r="AH58" s="676"/>
      <c r="AI58" s="676"/>
      <c r="AJ58" s="676"/>
      <c r="AK58" s="676"/>
      <c r="AL58" s="676">
        <v>13244</v>
      </c>
      <c r="AM58" s="676"/>
      <c r="AN58" s="676"/>
      <c r="AO58" s="676"/>
      <c r="AP58" s="676"/>
      <c r="AQ58" s="676">
        <v>0</v>
      </c>
      <c r="AR58" s="676">
        <v>313810</v>
      </c>
      <c r="AS58" s="676">
        <v>655893</v>
      </c>
      <c r="AT58" s="676">
        <v>0</v>
      </c>
      <c r="AU58" s="676"/>
      <c r="AV58" s="676"/>
      <c r="AW58" s="676"/>
      <c r="AX58" s="676">
        <v>183433</v>
      </c>
      <c r="AY58" s="676"/>
      <c r="AZ58" s="676">
        <v>0</v>
      </c>
      <c r="BA58" s="676"/>
      <c r="BB58" s="676"/>
      <c r="BC58" s="676"/>
      <c r="BD58" s="676"/>
      <c r="BE58" s="676">
        <v>0</v>
      </c>
      <c r="BF58" s="676"/>
      <c r="BG58" s="676"/>
      <c r="BH58" s="676"/>
      <c r="BI58" s="676"/>
      <c r="BJ58" s="676"/>
      <c r="BK58" s="676"/>
      <c r="BL58" s="676"/>
      <c r="BM58" s="676"/>
      <c r="BN58" s="676">
        <v>0</v>
      </c>
      <c r="BO58" s="676"/>
      <c r="BP58" s="676"/>
      <c r="BQ58" s="676"/>
      <c r="BR58" s="676"/>
      <c r="BS58" s="676"/>
      <c r="BT58" s="676">
        <v>0</v>
      </c>
      <c r="BU58" s="676"/>
      <c r="BV58" s="676"/>
      <c r="BW58" s="676"/>
      <c r="BX58" s="676"/>
      <c r="BY58" s="676">
        <v>120</v>
      </c>
      <c r="BZ58" s="676"/>
      <c r="CA58" s="676"/>
      <c r="CB58" s="676">
        <v>0</v>
      </c>
      <c r="CC58" s="676"/>
      <c r="CD58" s="676"/>
      <c r="CE58" s="676"/>
      <c r="CF58" s="676"/>
      <c r="CG58" s="676"/>
    </row>
    <row r="59" spans="1:85" x14ac:dyDescent="0.25">
      <c r="A59" s="320" t="s">
        <v>1001</v>
      </c>
      <c r="B59" s="320" t="s">
        <v>1367</v>
      </c>
      <c r="C59" s="320" t="s">
        <v>1365</v>
      </c>
      <c r="D59" s="320" t="s">
        <v>1002</v>
      </c>
      <c r="E59" s="320">
        <v>2015</v>
      </c>
      <c r="F59" s="404">
        <v>74774</v>
      </c>
      <c r="G59" s="676">
        <v>114259</v>
      </c>
      <c r="H59" s="676">
        <v>896567</v>
      </c>
      <c r="I59" s="676">
        <v>112723</v>
      </c>
      <c r="J59" s="676">
        <v>796387</v>
      </c>
      <c r="K59" s="676">
        <v>77116</v>
      </c>
      <c r="L59" s="676">
        <v>832955</v>
      </c>
      <c r="M59" s="676">
        <v>17191802</v>
      </c>
      <c r="N59" s="676">
        <v>53790584</v>
      </c>
      <c r="O59" s="676">
        <v>9934001</v>
      </c>
      <c r="P59" s="676">
        <v>2683374</v>
      </c>
      <c r="Q59" s="676">
        <v>156884</v>
      </c>
      <c r="R59" s="676">
        <v>3554873</v>
      </c>
      <c r="S59" s="676">
        <v>15169211</v>
      </c>
      <c r="T59" s="676">
        <v>936393</v>
      </c>
      <c r="U59" s="676"/>
      <c r="V59" s="676">
        <v>2472108</v>
      </c>
      <c r="W59" s="676">
        <v>428397</v>
      </c>
      <c r="X59" s="676">
        <v>493752.14</v>
      </c>
      <c r="Y59" s="676">
        <v>30347569</v>
      </c>
      <c r="Z59" s="676">
        <v>2587048</v>
      </c>
      <c r="AA59" s="676">
        <v>660314</v>
      </c>
      <c r="AB59" s="676">
        <v>20615080</v>
      </c>
      <c r="AC59" s="676">
        <v>159734.03</v>
      </c>
      <c r="AD59" s="676">
        <v>195562</v>
      </c>
      <c r="AE59" s="676">
        <v>830609</v>
      </c>
      <c r="AF59" s="676">
        <v>2344948</v>
      </c>
      <c r="AG59" s="676">
        <v>23251</v>
      </c>
      <c r="AH59" s="676">
        <v>117932</v>
      </c>
      <c r="AI59" s="676">
        <v>29239</v>
      </c>
      <c r="AJ59" s="676">
        <v>3915</v>
      </c>
      <c r="AK59" s="676">
        <v>9588166</v>
      </c>
      <c r="AL59" s="676">
        <v>14439213</v>
      </c>
      <c r="AM59" s="676">
        <v>3344608</v>
      </c>
      <c r="AN59" s="676">
        <v>14961000</v>
      </c>
      <c r="AO59" s="676">
        <v>15150438</v>
      </c>
      <c r="AP59" s="676">
        <v>4139610</v>
      </c>
      <c r="AQ59" s="676">
        <v>1001038</v>
      </c>
      <c r="AR59" s="676">
        <v>1981231</v>
      </c>
      <c r="AS59" s="676">
        <v>1972356</v>
      </c>
      <c r="AT59" s="676">
        <v>1627491.53</v>
      </c>
      <c r="AU59" s="676">
        <v>2236295</v>
      </c>
      <c r="AV59" s="676">
        <v>323617</v>
      </c>
      <c r="AW59" s="676">
        <v>187808</v>
      </c>
      <c r="AX59" s="676">
        <v>9991790</v>
      </c>
      <c r="AY59" s="676">
        <v>10018965</v>
      </c>
      <c r="AZ59" s="676">
        <v>2836</v>
      </c>
      <c r="BA59" s="676">
        <v>279678</v>
      </c>
      <c r="BB59" s="676">
        <v>3127432</v>
      </c>
      <c r="BC59" s="676">
        <v>1687456</v>
      </c>
      <c r="BD59" s="676">
        <v>21011486</v>
      </c>
      <c r="BE59" s="676">
        <v>5541019.6100000003</v>
      </c>
      <c r="BF59" s="676"/>
      <c r="BG59" s="676"/>
      <c r="BH59" s="676"/>
      <c r="BI59" s="676">
        <v>18356470</v>
      </c>
      <c r="BJ59" s="676">
        <v>2567460</v>
      </c>
      <c r="BK59" s="676">
        <v>47352</v>
      </c>
      <c r="BL59" s="676">
        <v>191655</v>
      </c>
      <c r="BM59" s="676"/>
      <c r="BN59" s="676">
        <v>8427410</v>
      </c>
      <c r="BO59" s="676">
        <v>277354</v>
      </c>
      <c r="BP59" s="676">
        <v>776705</v>
      </c>
      <c r="BQ59" s="676">
        <v>569444</v>
      </c>
      <c r="BR59" s="676">
        <v>157417</v>
      </c>
      <c r="BS59" s="676">
        <v>4918015</v>
      </c>
      <c r="BT59" s="676">
        <v>860270</v>
      </c>
      <c r="BU59" s="676">
        <v>6467295</v>
      </c>
      <c r="BV59" s="676">
        <v>569678</v>
      </c>
      <c r="BW59" s="676">
        <v>6592513</v>
      </c>
      <c r="BX59" s="676">
        <v>1302286</v>
      </c>
      <c r="BY59" s="676">
        <v>2248042</v>
      </c>
      <c r="BZ59" s="676"/>
      <c r="CA59" s="676">
        <v>855863.62</v>
      </c>
      <c r="CB59" s="676">
        <v>3656336.89</v>
      </c>
      <c r="CC59" s="676"/>
      <c r="CD59" s="676">
        <v>36580</v>
      </c>
      <c r="CE59" s="676"/>
      <c r="CF59" s="676">
        <v>42052000</v>
      </c>
      <c r="CG59" s="676"/>
    </row>
    <row r="60" spans="1:85" x14ac:dyDescent="0.25">
      <c r="A60" s="320" t="s">
        <v>1003</v>
      </c>
      <c r="B60" s="320" t="s">
        <v>976</v>
      </c>
      <c r="C60" s="320"/>
      <c r="D60" s="320" t="s">
        <v>1004</v>
      </c>
      <c r="E60" s="320">
        <v>2015</v>
      </c>
      <c r="F60" s="404"/>
      <c r="G60" s="676"/>
      <c r="H60" s="676"/>
      <c r="I60" s="676"/>
      <c r="J60" s="676"/>
      <c r="K60" s="676"/>
      <c r="L60" s="676"/>
      <c r="M60" s="676"/>
      <c r="N60" s="676"/>
      <c r="O60" s="676"/>
      <c r="P60" s="676"/>
      <c r="Q60" s="676"/>
      <c r="R60" s="676"/>
      <c r="S60" s="676"/>
      <c r="T60" s="676"/>
      <c r="U60" s="676"/>
      <c r="V60" s="676"/>
      <c r="W60" s="676"/>
      <c r="X60" s="676">
        <v>0</v>
      </c>
      <c r="Y60" s="676"/>
      <c r="Z60" s="676">
        <v>0</v>
      </c>
      <c r="AA60" s="676"/>
      <c r="AB60" s="676"/>
      <c r="AC60" s="676">
        <v>0</v>
      </c>
      <c r="AD60" s="676"/>
      <c r="AE60" s="676"/>
      <c r="AF60" s="676"/>
      <c r="AG60" s="676"/>
      <c r="AH60" s="676"/>
      <c r="AI60" s="676"/>
      <c r="AJ60" s="676"/>
      <c r="AK60" s="676"/>
      <c r="AL60" s="676"/>
      <c r="AM60" s="676"/>
      <c r="AN60" s="676"/>
      <c r="AO60" s="676"/>
      <c r="AP60" s="676"/>
      <c r="AQ60" s="676">
        <v>0</v>
      </c>
      <c r="AR60" s="676"/>
      <c r="AS60" s="676"/>
      <c r="AT60" s="676">
        <v>0</v>
      </c>
      <c r="AU60" s="676"/>
      <c r="AV60" s="676"/>
      <c r="AW60" s="676"/>
      <c r="AX60" s="676"/>
      <c r="AY60" s="676"/>
      <c r="AZ60" s="676">
        <v>0</v>
      </c>
      <c r="BA60" s="676"/>
      <c r="BB60" s="676"/>
      <c r="BC60" s="676"/>
      <c r="BD60" s="676"/>
      <c r="BE60" s="676">
        <v>0</v>
      </c>
      <c r="BF60" s="676"/>
      <c r="BG60" s="676"/>
      <c r="BH60" s="676"/>
      <c r="BI60" s="676"/>
      <c r="BJ60" s="676"/>
      <c r="BK60" s="676"/>
      <c r="BL60" s="676"/>
      <c r="BM60" s="676"/>
      <c r="BN60" s="676">
        <v>0</v>
      </c>
      <c r="BO60" s="676"/>
      <c r="BP60" s="676"/>
      <c r="BQ60" s="676">
        <v>44380</v>
      </c>
      <c r="BR60" s="676"/>
      <c r="BS60" s="676"/>
      <c r="BT60" s="676">
        <v>0</v>
      </c>
      <c r="BU60" s="676"/>
      <c r="BV60" s="676"/>
      <c r="BW60" s="676"/>
      <c r="BX60" s="676"/>
      <c r="BY60" s="676"/>
      <c r="BZ60" s="676"/>
      <c r="CA60" s="676"/>
      <c r="CB60" s="676">
        <v>0</v>
      </c>
      <c r="CC60" s="676"/>
      <c r="CD60" s="676"/>
      <c r="CE60" s="676"/>
      <c r="CF60" s="676"/>
      <c r="CG60" s="676"/>
    </row>
    <row r="61" spans="1:85" x14ac:dyDescent="0.25">
      <c r="A61" s="320" t="s">
        <v>1005</v>
      </c>
      <c r="B61" s="320" t="s">
        <v>1368</v>
      </c>
      <c r="C61" s="320" t="s">
        <v>1369</v>
      </c>
      <c r="D61" s="320" t="s">
        <v>1006</v>
      </c>
      <c r="E61" s="320">
        <v>2015</v>
      </c>
      <c r="F61" s="404"/>
      <c r="G61" s="676"/>
      <c r="H61" s="676">
        <v>1568</v>
      </c>
      <c r="I61" s="676">
        <v>3821</v>
      </c>
      <c r="J61" s="676"/>
      <c r="K61" s="676"/>
      <c r="L61" s="676"/>
      <c r="M61" s="676"/>
      <c r="N61" s="676"/>
      <c r="O61" s="676"/>
      <c r="P61" s="676"/>
      <c r="Q61" s="676"/>
      <c r="R61" s="676">
        <v>2595678</v>
      </c>
      <c r="S61" s="676">
        <v>5197838</v>
      </c>
      <c r="T61" s="676"/>
      <c r="U61" s="676"/>
      <c r="V61" s="676"/>
      <c r="W61" s="676"/>
      <c r="X61" s="676">
        <v>0</v>
      </c>
      <c r="Y61" s="676">
        <v>23478353</v>
      </c>
      <c r="Z61" s="676">
        <v>0</v>
      </c>
      <c r="AA61" s="676"/>
      <c r="AB61" s="676"/>
      <c r="AC61" s="676">
        <v>0</v>
      </c>
      <c r="AD61" s="676"/>
      <c r="AE61" s="676"/>
      <c r="AF61" s="676"/>
      <c r="AG61" s="676"/>
      <c r="AH61" s="676">
        <v>213615</v>
      </c>
      <c r="AI61" s="676"/>
      <c r="AJ61" s="676"/>
      <c r="AK61" s="676"/>
      <c r="AL61" s="676"/>
      <c r="AM61" s="676"/>
      <c r="AN61" s="676"/>
      <c r="AO61" s="676"/>
      <c r="AP61" s="676">
        <v>5977528</v>
      </c>
      <c r="AQ61" s="676">
        <v>0</v>
      </c>
      <c r="AR61" s="676"/>
      <c r="AS61" s="676">
        <v>478457</v>
      </c>
      <c r="AT61" s="676">
        <v>0</v>
      </c>
      <c r="AU61" s="676">
        <v>181000</v>
      </c>
      <c r="AV61" s="676"/>
      <c r="AW61" s="676"/>
      <c r="AX61" s="676"/>
      <c r="AY61" s="676"/>
      <c r="AZ61" s="676">
        <v>0</v>
      </c>
      <c r="BA61" s="676"/>
      <c r="BB61" s="676">
        <v>3700000</v>
      </c>
      <c r="BC61" s="676"/>
      <c r="BD61" s="676"/>
      <c r="BE61" s="676">
        <v>0</v>
      </c>
      <c r="BF61" s="676"/>
      <c r="BG61" s="676"/>
      <c r="BH61" s="676"/>
      <c r="BI61" s="676"/>
      <c r="BJ61" s="676"/>
      <c r="BK61" s="676"/>
      <c r="BL61" s="676"/>
      <c r="BM61" s="676">
        <v>7751000</v>
      </c>
      <c r="BN61" s="676">
        <v>0</v>
      </c>
      <c r="BO61" s="676"/>
      <c r="BP61" s="676"/>
      <c r="BQ61" s="676"/>
      <c r="BR61" s="676"/>
      <c r="BS61" s="676"/>
      <c r="BT61" s="676">
        <v>0</v>
      </c>
      <c r="BU61" s="676"/>
      <c r="BV61" s="676"/>
      <c r="BW61" s="676"/>
      <c r="BX61" s="676"/>
      <c r="BY61" s="676"/>
      <c r="BZ61" s="676"/>
      <c r="CA61" s="676"/>
      <c r="CB61" s="676">
        <v>0</v>
      </c>
      <c r="CC61" s="676">
        <v>17496000</v>
      </c>
      <c r="CD61" s="676"/>
      <c r="CE61" s="676"/>
      <c r="CF61" s="676"/>
      <c r="CG61" s="676"/>
    </row>
    <row r="62" spans="1:85" x14ac:dyDescent="0.25">
      <c r="A62" s="320" t="s">
        <v>1007</v>
      </c>
      <c r="B62" s="320" t="s">
        <v>1370</v>
      </c>
      <c r="C62" s="320" t="s">
        <v>1369</v>
      </c>
      <c r="D62" s="320" t="s">
        <v>1008</v>
      </c>
      <c r="E62" s="320">
        <v>2015</v>
      </c>
      <c r="F62" s="404"/>
      <c r="G62" s="676"/>
      <c r="H62" s="676"/>
      <c r="I62" s="676"/>
      <c r="J62" s="676"/>
      <c r="K62" s="676"/>
      <c r="L62" s="676"/>
      <c r="M62" s="676"/>
      <c r="N62" s="676"/>
      <c r="O62" s="676"/>
      <c r="P62" s="676">
        <v>497710</v>
      </c>
      <c r="Q62" s="676"/>
      <c r="R62" s="676"/>
      <c r="S62" s="676"/>
      <c r="T62" s="676"/>
      <c r="U62" s="676"/>
      <c r="V62" s="676"/>
      <c r="W62" s="676"/>
      <c r="X62" s="676">
        <v>0</v>
      </c>
      <c r="Y62" s="676"/>
      <c r="Z62" s="676">
        <v>0</v>
      </c>
      <c r="AA62" s="676"/>
      <c r="AB62" s="676"/>
      <c r="AC62" s="676">
        <v>0</v>
      </c>
      <c r="AD62" s="676"/>
      <c r="AE62" s="676"/>
      <c r="AF62" s="676"/>
      <c r="AG62" s="676"/>
      <c r="AH62" s="676"/>
      <c r="AI62" s="676"/>
      <c r="AJ62" s="676"/>
      <c r="AK62" s="676"/>
      <c r="AL62" s="676"/>
      <c r="AM62" s="676"/>
      <c r="AN62" s="676"/>
      <c r="AO62" s="676"/>
      <c r="AP62" s="676"/>
      <c r="AQ62" s="676">
        <v>0</v>
      </c>
      <c r="AR62" s="676"/>
      <c r="AS62" s="676"/>
      <c r="AT62" s="676">
        <v>0</v>
      </c>
      <c r="AU62" s="676"/>
      <c r="AV62" s="676"/>
      <c r="AW62" s="676"/>
      <c r="AX62" s="676"/>
      <c r="AY62" s="676"/>
      <c r="AZ62" s="676">
        <v>0</v>
      </c>
      <c r="BA62" s="676"/>
      <c r="BB62" s="676"/>
      <c r="BC62" s="676"/>
      <c r="BD62" s="676"/>
      <c r="BE62" s="676">
        <v>0</v>
      </c>
      <c r="BF62" s="676"/>
      <c r="BG62" s="676"/>
      <c r="BH62" s="676"/>
      <c r="BI62" s="676"/>
      <c r="BJ62" s="676"/>
      <c r="BK62" s="676"/>
      <c r="BL62" s="676"/>
      <c r="BM62" s="676"/>
      <c r="BN62" s="676">
        <v>0</v>
      </c>
      <c r="BO62" s="676"/>
      <c r="BP62" s="676"/>
      <c r="BQ62" s="676"/>
      <c r="BR62" s="676"/>
      <c r="BS62" s="676"/>
      <c r="BT62" s="676">
        <v>0</v>
      </c>
      <c r="BU62" s="676"/>
      <c r="BV62" s="676"/>
      <c r="BW62" s="676"/>
      <c r="BX62" s="676"/>
      <c r="BY62" s="676"/>
      <c r="BZ62" s="676"/>
      <c r="CA62" s="676"/>
      <c r="CB62" s="676">
        <v>0</v>
      </c>
      <c r="CC62" s="676"/>
      <c r="CD62" s="676"/>
      <c r="CE62" s="676"/>
      <c r="CF62" s="676"/>
      <c r="CG62" s="676"/>
    </row>
    <row r="63" spans="1:85" x14ac:dyDescent="0.25">
      <c r="A63" s="320" t="s">
        <v>1009</v>
      </c>
      <c r="B63" s="320" t="s">
        <v>983</v>
      </c>
      <c r="C63" s="320"/>
      <c r="D63" s="320" t="s">
        <v>1010</v>
      </c>
      <c r="E63" s="320">
        <v>2015</v>
      </c>
      <c r="F63" s="404"/>
      <c r="G63" s="676"/>
      <c r="H63" s="676">
        <v>56335</v>
      </c>
      <c r="I63" s="676"/>
      <c r="J63" s="676"/>
      <c r="K63" s="676"/>
      <c r="L63" s="676"/>
      <c r="M63" s="676"/>
      <c r="N63" s="676"/>
      <c r="O63" s="676"/>
      <c r="P63" s="676">
        <v>0</v>
      </c>
      <c r="Q63" s="676"/>
      <c r="R63" s="676"/>
      <c r="S63" s="676"/>
      <c r="T63" s="676"/>
      <c r="U63" s="676"/>
      <c r="V63" s="676"/>
      <c r="W63" s="676"/>
      <c r="X63" s="676">
        <v>0</v>
      </c>
      <c r="Y63" s="676"/>
      <c r="Z63" s="676">
        <v>0</v>
      </c>
      <c r="AA63" s="676"/>
      <c r="AB63" s="676"/>
      <c r="AC63" s="676">
        <v>0</v>
      </c>
      <c r="AD63" s="676"/>
      <c r="AE63" s="676"/>
      <c r="AF63" s="676"/>
      <c r="AG63" s="676"/>
      <c r="AH63" s="676"/>
      <c r="AI63" s="676">
        <v>1496</v>
      </c>
      <c r="AJ63" s="676"/>
      <c r="AK63" s="676"/>
      <c r="AL63" s="676"/>
      <c r="AM63" s="676"/>
      <c r="AN63" s="676"/>
      <c r="AO63" s="676"/>
      <c r="AP63" s="676"/>
      <c r="AQ63" s="676">
        <v>0</v>
      </c>
      <c r="AR63" s="676"/>
      <c r="AS63" s="676"/>
      <c r="AT63" s="676">
        <v>0</v>
      </c>
      <c r="AU63" s="676"/>
      <c r="AV63" s="676"/>
      <c r="AW63" s="676"/>
      <c r="AX63" s="676"/>
      <c r="AY63" s="676"/>
      <c r="AZ63" s="676">
        <v>0</v>
      </c>
      <c r="BA63" s="676"/>
      <c r="BB63" s="676"/>
      <c r="BC63" s="676"/>
      <c r="BD63" s="676"/>
      <c r="BE63" s="676">
        <v>0</v>
      </c>
      <c r="BF63" s="676"/>
      <c r="BG63" s="676"/>
      <c r="BH63" s="676"/>
      <c r="BI63" s="676"/>
      <c r="BJ63" s="676"/>
      <c r="BK63" s="676"/>
      <c r="BL63" s="676"/>
      <c r="BM63" s="676"/>
      <c r="BN63" s="676">
        <v>0</v>
      </c>
      <c r="BO63" s="676"/>
      <c r="BP63" s="676"/>
      <c r="BQ63" s="676"/>
      <c r="BR63" s="676"/>
      <c r="BS63" s="676"/>
      <c r="BT63" s="676">
        <v>0</v>
      </c>
      <c r="BU63" s="676">
        <v>21485</v>
      </c>
      <c r="BV63" s="676"/>
      <c r="BW63" s="676"/>
      <c r="BX63" s="676"/>
      <c r="BY63" s="676"/>
      <c r="BZ63" s="676"/>
      <c r="CA63" s="676"/>
      <c r="CB63" s="676">
        <v>0</v>
      </c>
      <c r="CC63" s="676"/>
      <c r="CD63" s="676"/>
      <c r="CE63" s="676"/>
      <c r="CF63" s="676"/>
      <c r="CG63" s="676"/>
    </row>
    <row r="64" spans="1:85" x14ac:dyDescent="0.25">
      <c r="A64" s="320" t="s">
        <v>1011</v>
      </c>
      <c r="B64" s="320" t="s">
        <v>1012</v>
      </c>
      <c r="C64" s="320"/>
      <c r="D64" s="320" t="s">
        <v>1013</v>
      </c>
      <c r="E64" s="320">
        <v>2015</v>
      </c>
      <c r="F64" s="404"/>
      <c r="G64" s="676"/>
      <c r="H64" s="676"/>
      <c r="I64" s="676"/>
      <c r="J64" s="676"/>
      <c r="K64" s="676"/>
      <c r="L64" s="676"/>
      <c r="M64" s="676">
        <v>12734</v>
      </c>
      <c r="N64" s="676"/>
      <c r="O64" s="676"/>
      <c r="P64" s="676"/>
      <c r="Q64" s="676"/>
      <c r="R64" s="676"/>
      <c r="S64" s="676"/>
      <c r="T64" s="676"/>
      <c r="U64" s="676"/>
      <c r="V64" s="676"/>
      <c r="W64" s="676"/>
      <c r="X64" s="676">
        <v>0</v>
      </c>
      <c r="Y64" s="676"/>
      <c r="Z64" s="676">
        <v>0</v>
      </c>
      <c r="AA64" s="676"/>
      <c r="AB64" s="676"/>
      <c r="AC64" s="676">
        <v>0</v>
      </c>
      <c r="AD64" s="676"/>
      <c r="AE64" s="676"/>
      <c r="AF64" s="676"/>
      <c r="AG64" s="676"/>
      <c r="AH64" s="676"/>
      <c r="AI64" s="676"/>
      <c r="AJ64" s="676"/>
      <c r="AK64" s="676"/>
      <c r="AL64" s="676"/>
      <c r="AM64" s="676"/>
      <c r="AN64" s="676"/>
      <c r="AO64" s="676"/>
      <c r="AP64" s="676"/>
      <c r="AQ64" s="676">
        <v>0</v>
      </c>
      <c r="AR64" s="676"/>
      <c r="AS64" s="676"/>
      <c r="AT64" s="676">
        <v>0</v>
      </c>
      <c r="AU64" s="676"/>
      <c r="AV64" s="676"/>
      <c r="AW64" s="676"/>
      <c r="AX64" s="676"/>
      <c r="AY64" s="676"/>
      <c r="AZ64" s="676">
        <v>0</v>
      </c>
      <c r="BA64" s="676"/>
      <c r="BB64" s="676"/>
      <c r="BC64" s="676"/>
      <c r="BD64" s="676"/>
      <c r="BE64" s="676">
        <v>0</v>
      </c>
      <c r="BF64" s="676"/>
      <c r="BG64" s="676"/>
      <c r="BH64" s="676"/>
      <c r="BI64" s="676"/>
      <c r="BJ64" s="676"/>
      <c r="BK64" s="676"/>
      <c r="BL64" s="676"/>
      <c r="BM64" s="676"/>
      <c r="BN64" s="676">
        <v>0</v>
      </c>
      <c r="BO64" s="676"/>
      <c r="BP64" s="676"/>
      <c r="BQ64" s="676"/>
      <c r="BR64" s="676"/>
      <c r="BS64" s="676"/>
      <c r="BT64" s="676">
        <v>0</v>
      </c>
      <c r="BU64" s="676"/>
      <c r="BV64" s="676"/>
      <c r="BW64" s="676"/>
      <c r="BX64" s="676"/>
      <c r="BY64" s="676"/>
      <c r="BZ64" s="676"/>
      <c r="CA64" s="676"/>
      <c r="CB64" s="676">
        <v>0</v>
      </c>
      <c r="CC64" s="676"/>
      <c r="CD64" s="676"/>
      <c r="CE64" s="676"/>
      <c r="CF64" s="676"/>
      <c r="CG64" s="676"/>
    </row>
    <row r="65" spans="1:85" x14ac:dyDescent="0.25">
      <c r="A65" s="320" t="s">
        <v>1014</v>
      </c>
      <c r="B65" s="320" t="s">
        <v>1015</v>
      </c>
      <c r="C65" s="320"/>
      <c r="D65" s="320" t="s">
        <v>1016</v>
      </c>
      <c r="E65" s="320">
        <v>2015</v>
      </c>
      <c r="F65" s="404"/>
      <c r="G65" s="676">
        <v>23305</v>
      </c>
      <c r="H65" s="676">
        <v>3831930</v>
      </c>
      <c r="I65" s="676">
        <v>2768961</v>
      </c>
      <c r="J65" s="676"/>
      <c r="K65" s="676">
        <v>240</v>
      </c>
      <c r="L65" s="676"/>
      <c r="M65" s="676">
        <v>11326232</v>
      </c>
      <c r="N65" s="676"/>
      <c r="O65" s="676">
        <v>909</v>
      </c>
      <c r="P65" s="676">
        <v>49636</v>
      </c>
      <c r="Q65" s="676"/>
      <c r="R65" s="676">
        <v>5686</v>
      </c>
      <c r="S65" s="676">
        <v>534867</v>
      </c>
      <c r="T65" s="676">
        <v>1321702</v>
      </c>
      <c r="U65" s="676">
        <v>1120000</v>
      </c>
      <c r="V65" s="676"/>
      <c r="W65" s="676">
        <v>30459</v>
      </c>
      <c r="X65" s="676">
        <v>43716.36</v>
      </c>
      <c r="Y65" s="676"/>
      <c r="Z65" s="676">
        <v>1073189251</v>
      </c>
      <c r="AA65" s="676">
        <v>97556</v>
      </c>
      <c r="AB65" s="676">
        <v>593744</v>
      </c>
      <c r="AC65" s="676">
        <v>0</v>
      </c>
      <c r="AD65" s="676">
        <v>109974</v>
      </c>
      <c r="AE65" s="676">
        <v>400367</v>
      </c>
      <c r="AF65" s="676">
        <v>278114</v>
      </c>
      <c r="AG65" s="676">
        <v>29002</v>
      </c>
      <c r="AH65" s="676">
        <v>18820</v>
      </c>
      <c r="AI65" s="676">
        <v>36137</v>
      </c>
      <c r="AJ65" s="676">
        <v>24916</v>
      </c>
      <c r="AK65" s="676">
        <v>1714697</v>
      </c>
      <c r="AL65" s="676"/>
      <c r="AM65" s="676">
        <v>217603</v>
      </c>
      <c r="AN65" s="676">
        <v>8428000</v>
      </c>
      <c r="AO65" s="676">
        <v>84</v>
      </c>
      <c r="AP65" s="676">
        <v>827674</v>
      </c>
      <c r="AQ65" s="676">
        <v>6609</v>
      </c>
      <c r="AR65" s="676">
        <v>14295</v>
      </c>
      <c r="AS65" s="676">
        <v>7507</v>
      </c>
      <c r="AT65" s="676">
        <v>1680</v>
      </c>
      <c r="AU65" s="676"/>
      <c r="AV65" s="676"/>
      <c r="AW65" s="676">
        <v>3108</v>
      </c>
      <c r="AX65" s="676">
        <v>284935</v>
      </c>
      <c r="AY65" s="676"/>
      <c r="AZ65" s="676">
        <v>61717</v>
      </c>
      <c r="BA65" s="676">
        <v>205779</v>
      </c>
      <c r="BB65" s="676">
        <v>86406</v>
      </c>
      <c r="BC65" s="676">
        <v>511561</v>
      </c>
      <c r="BD65" s="676">
        <v>0</v>
      </c>
      <c r="BE65" s="676">
        <v>41580.720000000001</v>
      </c>
      <c r="BF65" s="676">
        <v>0</v>
      </c>
      <c r="BG65" s="676">
        <v>21459000</v>
      </c>
      <c r="BH65" s="676">
        <v>31733000</v>
      </c>
      <c r="BI65" s="676">
        <v>10611322</v>
      </c>
      <c r="BJ65" s="676">
        <v>307656</v>
      </c>
      <c r="BK65" s="676"/>
      <c r="BL65" s="676"/>
      <c r="BM65" s="676">
        <v>0</v>
      </c>
      <c r="BN65" s="676">
        <v>0</v>
      </c>
      <c r="BO65" s="676"/>
      <c r="BP65" s="676">
        <v>1029</v>
      </c>
      <c r="BQ65" s="676">
        <v>13016</v>
      </c>
      <c r="BR65" s="676">
        <v>22070</v>
      </c>
      <c r="BS65" s="676">
        <v>156</v>
      </c>
      <c r="BT65" s="676">
        <v>2015987</v>
      </c>
      <c r="BU65" s="676"/>
      <c r="BV65" s="676"/>
      <c r="BW65" s="676">
        <v>3943237</v>
      </c>
      <c r="BX65" s="676">
        <v>258406</v>
      </c>
      <c r="BY65" s="676">
        <v>38</v>
      </c>
      <c r="BZ65" s="676">
        <v>1190000</v>
      </c>
      <c r="CA65" s="676">
        <v>26611.8</v>
      </c>
      <c r="CB65" s="676">
        <v>12314.22</v>
      </c>
      <c r="CC65" s="676">
        <v>0</v>
      </c>
      <c r="CD65" s="676"/>
      <c r="CE65" s="676">
        <v>48841000</v>
      </c>
      <c r="CF65" s="676"/>
      <c r="CG65" s="676"/>
    </row>
    <row r="66" spans="1:85" x14ac:dyDescent="0.25">
      <c r="A66" s="320" t="s">
        <v>1017</v>
      </c>
      <c r="B66" s="320" t="s">
        <v>1018</v>
      </c>
      <c r="C66" s="320"/>
      <c r="D66" s="320" t="s">
        <v>1019</v>
      </c>
      <c r="E66" s="320">
        <v>2015</v>
      </c>
      <c r="F66" s="404"/>
      <c r="G66" s="676"/>
      <c r="H66" s="676"/>
      <c r="I66" s="676"/>
      <c r="J66" s="676"/>
      <c r="K66" s="676"/>
      <c r="L66" s="676"/>
      <c r="M66" s="676"/>
      <c r="N66" s="676"/>
      <c r="O66" s="676"/>
      <c r="P66" s="676"/>
      <c r="Q66" s="676"/>
      <c r="R66" s="676"/>
      <c r="S66" s="676"/>
      <c r="T66" s="676"/>
      <c r="U66" s="676">
        <v>67242000</v>
      </c>
      <c r="V66" s="676"/>
      <c r="W66" s="676"/>
      <c r="X66" s="676">
        <v>0</v>
      </c>
      <c r="Y66" s="676"/>
      <c r="Z66" s="676">
        <v>0</v>
      </c>
      <c r="AA66" s="676"/>
      <c r="AB66" s="676"/>
      <c r="AC66" s="676">
        <v>0</v>
      </c>
      <c r="AD66" s="676"/>
      <c r="AE66" s="676"/>
      <c r="AF66" s="676"/>
      <c r="AG66" s="676"/>
      <c r="AH66" s="676"/>
      <c r="AI66" s="676"/>
      <c r="AJ66" s="676"/>
      <c r="AK66" s="676"/>
      <c r="AL66" s="676"/>
      <c r="AM66" s="676"/>
      <c r="AN66" s="676"/>
      <c r="AO66" s="676"/>
      <c r="AP66" s="676"/>
      <c r="AQ66" s="676">
        <v>0</v>
      </c>
      <c r="AR66" s="676"/>
      <c r="AS66" s="676"/>
      <c r="AT66" s="676">
        <v>0</v>
      </c>
      <c r="AU66" s="676"/>
      <c r="AV66" s="676"/>
      <c r="AW66" s="676"/>
      <c r="AX66" s="676"/>
      <c r="AY66" s="676"/>
      <c r="AZ66" s="676">
        <v>0</v>
      </c>
      <c r="BA66" s="676"/>
      <c r="BB66" s="676"/>
      <c r="BC66" s="676"/>
      <c r="BD66" s="676"/>
      <c r="BE66" s="676">
        <v>0</v>
      </c>
      <c r="BF66" s="676"/>
      <c r="BG66" s="676">
        <v>102849000</v>
      </c>
      <c r="BH66" s="676"/>
      <c r="BI66" s="676"/>
      <c r="BJ66" s="676"/>
      <c r="BK66" s="676"/>
      <c r="BL66" s="676"/>
      <c r="BM66" s="676"/>
      <c r="BN66" s="676">
        <v>0</v>
      </c>
      <c r="BO66" s="676"/>
      <c r="BP66" s="676"/>
      <c r="BQ66" s="676"/>
      <c r="BR66" s="676"/>
      <c r="BS66" s="676"/>
      <c r="BT66" s="676">
        <v>0</v>
      </c>
      <c r="BU66" s="676"/>
      <c r="BV66" s="676"/>
      <c r="BW66" s="676"/>
      <c r="BX66" s="676"/>
      <c r="BY66" s="676"/>
      <c r="BZ66" s="676"/>
      <c r="CA66" s="676"/>
      <c r="CB66" s="676">
        <v>0</v>
      </c>
      <c r="CC66" s="676"/>
      <c r="CD66" s="676"/>
      <c r="CE66" s="676"/>
      <c r="CF66" s="676"/>
      <c r="CG66" s="676"/>
    </row>
    <row r="67" spans="1:85" x14ac:dyDescent="0.25">
      <c r="A67" s="320" t="s">
        <v>1020</v>
      </c>
      <c r="B67" s="320" t="s">
        <v>988</v>
      </c>
      <c r="C67" s="320"/>
      <c r="D67" s="320" t="s">
        <v>1021</v>
      </c>
      <c r="E67" s="320">
        <v>2015</v>
      </c>
      <c r="F67" s="404">
        <v>420</v>
      </c>
      <c r="G67" s="676">
        <v>30630</v>
      </c>
      <c r="H67" s="676">
        <v>536362</v>
      </c>
      <c r="I67" s="676">
        <v>556695</v>
      </c>
      <c r="J67" s="676">
        <v>302426</v>
      </c>
      <c r="K67" s="676">
        <v>953</v>
      </c>
      <c r="L67" s="676">
        <v>30659</v>
      </c>
      <c r="M67" s="676">
        <v>305544</v>
      </c>
      <c r="N67" s="676">
        <v>3971</v>
      </c>
      <c r="O67" s="676">
        <v>875630</v>
      </c>
      <c r="P67" s="676">
        <v>55948</v>
      </c>
      <c r="Q67" s="676">
        <v>1111</v>
      </c>
      <c r="R67" s="676">
        <v>61008</v>
      </c>
      <c r="S67" s="676">
        <v>1746687</v>
      </c>
      <c r="T67" s="676">
        <v>1198606</v>
      </c>
      <c r="U67" s="676">
        <v>356588000</v>
      </c>
      <c r="V67" s="676">
        <v>3963</v>
      </c>
      <c r="W67" s="676">
        <v>137500</v>
      </c>
      <c r="X67" s="676">
        <v>2890.92</v>
      </c>
      <c r="Y67" s="676"/>
      <c r="Z67" s="676">
        <v>19727</v>
      </c>
      <c r="AA67" s="676">
        <v>72</v>
      </c>
      <c r="AB67" s="676">
        <v>118318</v>
      </c>
      <c r="AC67" s="676">
        <v>200</v>
      </c>
      <c r="AD67" s="676">
        <v>8974</v>
      </c>
      <c r="AE67" s="676">
        <v>88202</v>
      </c>
      <c r="AF67" s="676">
        <v>9450</v>
      </c>
      <c r="AG67" s="676">
        <v>92388</v>
      </c>
      <c r="AH67" s="676">
        <v>1964</v>
      </c>
      <c r="AI67" s="676">
        <v>195498</v>
      </c>
      <c r="AJ67" s="676">
        <v>7000</v>
      </c>
      <c r="AK67" s="676">
        <v>1176343</v>
      </c>
      <c r="AL67" s="676"/>
      <c r="AM67" s="676">
        <v>5763</v>
      </c>
      <c r="AN67" s="676">
        <v>39924000</v>
      </c>
      <c r="AO67" s="676">
        <v>402993</v>
      </c>
      <c r="AP67" s="676">
        <v>56089</v>
      </c>
      <c r="AQ67" s="676">
        <v>43131</v>
      </c>
      <c r="AR67" s="676">
        <v>5669</v>
      </c>
      <c r="AS67" s="676">
        <v>10746</v>
      </c>
      <c r="AT67" s="676">
        <v>59636.78</v>
      </c>
      <c r="AU67" s="676">
        <v>1206</v>
      </c>
      <c r="AV67" s="676">
        <v>112000</v>
      </c>
      <c r="AW67" s="676">
        <v>163</v>
      </c>
      <c r="AX67" s="676">
        <v>7162066</v>
      </c>
      <c r="AY67" s="676">
        <v>7589</v>
      </c>
      <c r="AZ67" s="676">
        <v>5311</v>
      </c>
      <c r="BA67" s="676">
        <v>71498</v>
      </c>
      <c r="BB67" s="676">
        <v>7024</v>
      </c>
      <c r="BC67" s="676">
        <v>913385</v>
      </c>
      <c r="BD67" s="676">
        <v>3781104</v>
      </c>
      <c r="BE67" s="676">
        <v>25532.19</v>
      </c>
      <c r="BF67" s="676">
        <v>12136000</v>
      </c>
      <c r="BG67" s="676">
        <v>0</v>
      </c>
      <c r="BH67" s="676"/>
      <c r="BI67" s="676">
        <v>7528652</v>
      </c>
      <c r="BJ67" s="676"/>
      <c r="BK67" s="676">
        <v>999</v>
      </c>
      <c r="BL67" s="676">
        <v>1104</v>
      </c>
      <c r="BM67" s="676"/>
      <c r="BN67" s="676">
        <v>12419</v>
      </c>
      <c r="BO67" s="676">
        <v>159</v>
      </c>
      <c r="BP67" s="676">
        <v>481</v>
      </c>
      <c r="BQ67" s="676">
        <v>5153</v>
      </c>
      <c r="BR67" s="676">
        <v>8965</v>
      </c>
      <c r="BS67" s="676">
        <v>16998</v>
      </c>
      <c r="BT67" s="676">
        <v>42915</v>
      </c>
      <c r="BU67" s="676">
        <v>1612</v>
      </c>
      <c r="BV67" s="676">
        <v>2487</v>
      </c>
      <c r="BW67" s="676">
        <v>545888</v>
      </c>
      <c r="BX67" s="676">
        <v>91807</v>
      </c>
      <c r="BY67" s="676">
        <v>27560</v>
      </c>
      <c r="BZ67" s="676">
        <v>24000</v>
      </c>
      <c r="CA67" s="676"/>
      <c r="CB67" s="676">
        <v>603.61</v>
      </c>
      <c r="CC67" s="676">
        <v>189000</v>
      </c>
      <c r="CD67" s="676"/>
      <c r="CE67" s="676">
        <v>350000</v>
      </c>
      <c r="CF67" s="676"/>
      <c r="CG67" s="676">
        <v>15620000</v>
      </c>
    </row>
    <row r="68" spans="1:85" x14ac:dyDescent="0.25">
      <c r="A68" s="320" t="s">
        <v>1022</v>
      </c>
      <c r="B68" s="320" t="s">
        <v>1375</v>
      </c>
      <c r="C68" s="320" t="s">
        <v>1376</v>
      </c>
      <c r="D68" s="320" t="s">
        <v>1023</v>
      </c>
      <c r="E68" s="320">
        <v>2015</v>
      </c>
      <c r="F68" s="404"/>
      <c r="G68" s="676"/>
      <c r="H68" s="676"/>
      <c r="I68" s="676"/>
      <c r="J68" s="676"/>
      <c r="K68" s="676"/>
      <c r="L68" s="676"/>
      <c r="M68" s="676"/>
      <c r="N68" s="676"/>
      <c r="O68" s="676"/>
      <c r="P68" s="676"/>
      <c r="Q68" s="676"/>
      <c r="R68" s="676"/>
      <c r="S68" s="676"/>
      <c r="T68" s="676"/>
      <c r="U68" s="676"/>
      <c r="V68" s="676"/>
      <c r="W68" s="676"/>
      <c r="X68" s="676">
        <v>0</v>
      </c>
      <c r="Y68" s="676"/>
      <c r="Z68" s="676">
        <v>345</v>
      </c>
      <c r="AA68" s="676"/>
      <c r="AB68" s="676"/>
      <c r="AC68" s="676">
        <v>0</v>
      </c>
      <c r="AD68" s="676"/>
      <c r="AE68" s="676"/>
      <c r="AF68" s="676">
        <v>0</v>
      </c>
      <c r="AG68" s="676"/>
      <c r="AH68" s="676"/>
      <c r="AI68" s="676"/>
      <c r="AJ68" s="676"/>
      <c r="AK68" s="676"/>
      <c r="AL68" s="676"/>
      <c r="AM68" s="676">
        <v>0</v>
      </c>
      <c r="AN68" s="676"/>
      <c r="AO68" s="676"/>
      <c r="AP68" s="676"/>
      <c r="AQ68" s="676">
        <v>0</v>
      </c>
      <c r="AR68" s="676"/>
      <c r="AS68" s="676"/>
      <c r="AT68" s="676">
        <v>0</v>
      </c>
      <c r="AU68" s="676"/>
      <c r="AV68" s="676"/>
      <c r="AW68" s="676"/>
      <c r="AX68" s="676"/>
      <c r="AY68" s="676">
        <v>0</v>
      </c>
      <c r="AZ68" s="676">
        <v>0</v>
      </c>
      <c r="BA68" s="676"/>
      <c r="BB68" s="676"/>
      <c r="BC68" s="676"/>
      <c r="BD68" s="676"/>
      <c r="BE68" s="676">
        <v>0</v>
      </c>
      <c r="BF68" s="676"/>
      <c r="BG68" s="676"/>
      <c r="BH68" s="676"/>
      <c r="BI68" s="676"/>
      <c r="BJ68" s="676">
        <v>6179</v>
      </c>
      <c r="BK68" s="676"/>
      <c r="BL68" s="676"/>
      <c r="BM68" s="676"/>
      <c r="BN68" s="676">
        <v>0</v>
      </c>
      <c r="BO68" s="676"/>
      <c r="BP68" s="676"/>
      <c r="BQ68" s="676"/>
      <c r="BR68" s="676"/>
      <c r="BS68" s="676"/>
      <c r="BT68" s="676">
        <v>0</v>
      </c>
      <c r="BU68" s="676"/>
      <c r="BV68" s="676"/>
      <c r="BW68" s="676"/>
      <c r="BX68" s="676"/>
      <c r="BY68" s="676"/>
      <c r="BZ68" s="676"/>
      <c r="CA68" s="676"/>
      <c r="CB68" s="676">
        <v>0</v>
      </c>
      <c r="CC68" s="676"/>
      <c r="CD68" s="676"/>
      <c r="CE68" s="676"/>
      <c r="CF68" s="676"/>
      <c r="CG68" s="676"/>
    </row>
    <row r="69" spans="1:85" x14ac:dyDescent="0.25">
      <c r="A69" s="320" t="s">
        <v>1024</v>
      </c>
      <c r="B69" s="320" t="s">
        <v>1377</v>
      </c>
      <c r="C69" s="320" t="s">
        <v>1378</v>
      </c>
      <c r="D69" s="320" t="s">
        <v>1025</v>
      </c>
      <c r="E69" s="320">
        <v>2015</v>
      </c>
      <c r="F69" s="404"/>
      <c r="G69" s="676"/>
      <c r="H69" s="676"/>
      <c r="I69" s="676"/>
      <c r="J69" s="676"/>
      <c r="K69" s="676"/>
      <c r="L69" s="676"/>
      <c r="M69" s="676"/>
      <c r="N69" s="676"/>
      <c r="O69" s="676"/>
      <c r="P69" s="676"/>
      <c r="Q69" s="676"/>
      <c r="R69" s="676"/>
      <c r="S69" s="676"/>
      <c r="T69" s="676"/>
      <c r="U69" s="676"/>
      <c r="V69" s="676"/>
      <c r="W69" s="676"/>
      <c r="X69" s="676">
        <v>0</v>
      </c>
      <c r="Y69" s="676"/>
      <c r="Z69" s="676">
        <v>345</v>
      </c>
      <c r="AA69" s="676"/>
      <c r="AB69" s="676"/>
      <c r="AC69" s="676">
        <v>0</v>
      </c>
      <c r="AD69" s="676"/>
      <c r="AE69" s="676"/>
      <c r="AF69" s="676"/>
      <c r="AG69" s="676"/>
      <c r="AH69" s="676"/>
      <c r="AI69" s="676"/>
      <c r="AJ69" s="676"/>
      <c r="AK69" s="676"/>
      <c r="AL69" s="676"/>
      <c r="AM69" s="676"/>
      <c r="AN69" s="676"/>
      <c r="AO69" s="676"/>
      <c r="AP69" s="676"/>
      <c r="AQ69" s="676">
        <v>0</v>
      </c>
      <c r="AR69" s="676"/>
      <c r="AS69" s="676"/>
      <c r="AT69" s="676">
        <v>0</v>
      </c>
      <c r="AU69" s="676"/>
      <c r="AV69" s="676"/>
      <c r="AW69" s="676"/>
      <c r="AX69" s="676"/>
      <c r="AY69" s="676"/>
      <c r="AZ69" s="676">
        <v>0</v>
      </c>
      <c r="BA69" s="676"/>
      <c r="BB69" s="676"/>
      <c r="BC69" s="676"/>
      <c r="BD69" s="676"/>
      <c r="BE69" s="676">
        <v>0</v>
      </c>
      <c r="BF69" s="676"/>
      <c r="BG69" s="676"/>
      <c r="BH69" s="676"/>
      <c r="BI69" s="676"/>
      <c r="BJ69" s="676"/>
      <c r="BK69" s="676"/>
      <c r="BL69" s="676"/>
      <c r="BM69" s="676"/>
      <c r="BN69" s="676">
        <v>0</v>
      </c>
      <c r="BO69" s="676"/>
      <c r="BP69" s="676"/>
      <c r="BQ69" s="676"/>
      <c r="BR69" s="676"/>
      <c r="BS69" s="676"/>
      <c r="BT69" s="676">
        <v>0</v>
      </c>
      <c r="BU69" s="676"/>
      <c r="BV69" s="676"/>
      <c r="BW69" s="676"/>
      <c r="BX69" s="676"/>
      <c r="BY69" s="676"/>
      <c r="BZ69" s="676"/>
      <c r="CA69" s="676"/>
      <c r="CB69" s="676">
        <v>0</v>
      </c>
      <c r="CC69" s="676"/>
      <c r="CD69" s="676"/>
      <c r="CE69" s="676"/>
      <c r="CF69" s="676"/>
      <c r="CG69" s="676"/>
    </row>
    <row r="70" spans="1:85" x14ac:dyDescent="0.25">
      <c r="A70" s="320" t="s">
        <v>1026</v>
      </c>
      <c r="B70" s="320" t="s">
        <v>1379</v>
      </c>
      <c r="C70" s="320" t="s">
        <v>1378</v>
      </c>
      <c r="D70" s="320" t="s">
        <v>1027</v>
      </c>
      <c r="E70" s="320">
        <v>2015</v>
      </c>
      <c r="F70" s="404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>
        <v>0</v>
      </c>
      <c r="Y70" s="676"/>
      <c r="Z70" s="676">
        <v>0</v>
      </c>
      <c r="AA70" s="676"/>
      <c r="AB70" s="676"/>
      <c r="AC70" s="676">
        <v>0</v>
      </c>
      <c r="AD70" s="676"/>
      <c r="AE70" s="676"/>
      <c r="AF70" s="676"/>
      <c r="AG70" s="676"/>
      <c r="AH70" s="676"/>
      <c r="AI70" s="676"/>
      <c r="AJ70" s="676"/>
      <c r="AK70" s="676"/>
      <c r="AL70" s="676"/>
      <c r="AM70" s="676"/>
      <c r="AN70" s="676"/>
      <c r="AO70" s="676"/>
      <c r="AP70" s="676"/>
      <c r="AQ70" s="676">
        <v>0</v>
      </c>
      <c r="AR70" s="676"/>
      <c r="AS70" s="676"/>
      <c r="AT70" s="676">
        <v>0</v>
      </c>
      <c r="AU70" s="676"/>
      <c r="AV70" s="676"/>
      <c r="AW70" s="676"/>
      <c r="AX70" s="676"/>
      <c r="AY70" s="676"/>
      <c r="AZ70" s="676">
        <v>0</v>
      </c>
      <c r="BA70" s="676"/>
      <c r="BB70" s="676"/>
      <c r="BC70" s="676"/>
      <c r="BD70" s="676"/>
      <c r="BE70" s="676">
        <v>0</v>
      </c>
      <c r="BF70" s="676"/>
      <c r="BG70" s="676"/>
      <c r="BH70" s="676"/>
      <c r="BI70" s="676"/>
      <c r="BJ70" s="676">
        <v>6179</v>
      </c>
      <c r="BK70" s="676"/>
      <c r="BL70" s="676"/>
      <c r="BM70" s="676"/>
      <c r="BN70" s="676">
        <v>0</v>
      </c>
      <c r="BO70" s="676"/>
      <c r="BP70" s="676"/>
      <c r="BQ70" s="676"/>
      <c r="BR70" s="676"/>
      <c r="BS70" s="676"/>
      <c r="BT70" s="676">
        <v>0</v>
      </c>
      <c r="BU70" s="676"/>
      <c r="BV70" s="676"/>
      <c r="BW70" s="676"/>
      <c r="BX70" s="676"/>
      <c r="BY70" s="676"/>
      <c r="BZ70" s="676"/>
      <c r="CA70" s="676"/>
      <c r="CB70" s="676">
        <v>0</v>
      </c>
      <c r="CC70" s="676"/>
      <c r="CD70" s="676"/>
      <c r="CE70" s="676"/>
      <c r="CF70" s="676"/>
      <c r="CG70" s="676"/>
    </row>
    <row r="71" spans="1:85" x14ac:dyDescent="0.25">
      <c r="A71" s="320" t="s">
        <v>1028</v>
      </c>
      <c r="B71" s="320" t="s">
        <v>1380</v>
      </c>
      <c r="C71" s="320">
        <v>-252</v>
      </c>
      <c r="D71" s="320" t="s">
        <v>1029</v>
      </c>
      <c r="E71" s="320">
        <v>2015</v>
      </c>
      <c r="F71" s="404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>
        <v>0</v>
      </c>
      <c r="Y71" s="676"/>
      <c r="Z71" s="676">
        <v>0</v>
      </c>
      <c r="AA71" s="676"/>
      <c r="AB71" s="676"/>
      <c r="AC71" s="676">
        <v>0</v>
      </c>
      <c r="AD71" s="676"/>
      <c r="AE71" s="676"/>
      <c r="AF71" s="676"/>
      <c r="AG71" s="676"/>
      <c r="AH71" s="676"/>
      <c r="AI71" s="676"/>
      <c r="AJ71" s="676"/>
      <c r="AK71" s="676"/>
      <c r="AL71" s="676"/>
      <c r="AM71" s="676"/>
      <c r="AN71" s="676"/>
      <c r="AO71" s="676"/>
      <c r="AP71" s="676"/>
      <c r="AQ71" s="676">
        <v>0</v>
      </c>
      <c r="AR71" s="676"/>
      <c r="AS71" s="676"/>
      <c r="AT71" s="676">
        <v>0</v>
      </c>
      <c r="AU71" s="676"/>
      <c r="AV71" s="676"/>
      <c r="AW71" s="676"/>
      <c r="AX71" s="676"/>
      <c r="AY71" s="676"/>
      <c r="AZ71" s="676">
        <v>0</v>
      </c>
      <c r="BA71" s="676"/>
      <c r="BB71" s="676"/>
      <c r="BC71" s="676"/>
      <c r="BD71" s="676"/>
      <c r="BE71" s="676">
        <v>0</v>
      </c>
      <c r="BF71" s="676"/>
      <c r="BG71" s="676"/>
      <c r="BH71" s="676"/>
      <c r="BI71" s="676"/>
      <c r="BJ71" s="676"/>
      <c r="BK71" s="676"/>
      <c r="BL71" s="676"/>
      <c r="BM71" s="676"/>
      <c r="BN71" s="676">
        <v>0</v>
      </c>
      <c r="BO71" s="676"/>
      <c r="BP71" s="676"/>
      <c r="BQ71" s="676"/>
      <c r="BR71" s="676"/>
      <c r="BS71" s="676"/>
      <c r="BT71" s="676">
        <v>0</v>
      </c>
      <c r="BU71" s="676"/>
      <c r="BV71" s="676"/>
      <c r="BW71" s="676"/>
      <c r="BX71" s="676"/>
      <c r="BY71" s="676"/>
      <c r="BZ71" s="676"/>
      <c r="CA71" s="676"/>
      <c r="CB71" s="676">
        <v>0</v>
      </c>
      <c r="CC71" s="676"/>
      <c r="CD71" s="676"/>
      <c r="CE71" s="676"/>
      <c r="CF71" s="676"/>
      <c r="CG71" s="676"/>
    </row>
    <row r="72" spans="1:85" x14ac:dyDescent="0.25">
      <c r="A72" s="320" t="s">
        <v>1030</v>
      </c>
      <c r="B72" s="320" t="s">
        <v>1381</v>
      </c>
      <c r="C72" s="320" t="s">
        <v>1382</v>
      </c>
      <c r="D72" s="320" t="s">
        <v>1031</v>
      </c>
      <c r="E72" s="320">
        <v>2015</v>
      </c>
      <c r="F72" s="404"/>
      <c r="G72" s="676"/>
      <c r="H72" s="676"/>
      <c r="I72" s="676"/>
      <c r="J72" s="676"/>
      <c r="K72" s="676"/>
      <c r="L72" s="676"/>
      <c r="M72" s="676"/>
      <c r="N72" s="676"/>
      <c r="O72" s="676"/>
      <c r="P72" s="676"/>
      <c r="Q72" s="676"/>
      <c r="R72" s="676"/>
      <c r="S72" s="676"/>
      <c r="T72" s="676"/>
      <c r="U72" s="676"/>
      <c r="V72" s="676"/>
      <c r="W72" s="676"/>
      <c r="X72" s="676">
        <v>0</v>
      </c>
      <c r="Y72" s="676"/>
      <c r="Z72" s="676">
        <v>0</v>
      </c>
      <c r="AA72" s="676"/>
      <c r="AB72" s="676"/>
      <c r="AC72" s="676">
        <v>0</v>
      </c>
      <c r="AD72" s="676"/>
      <c r="AE72" s="676"/>
      <c r="AF72" s="676"/>
      <c r="AG72" s="676"/>
      <c r="AH72" s="676"/>
      <c r="AI72" s="676"/>
      <c r="AJ72" s="676"/>
      <c r="AK72" s="676"/>
      <c r="AL72" s="676"/>
      <c r="AM72" s="676"/>
      <c r="AN72" s="676"/>
      <c r="AO72" s="676"/>
      <c r="AP72" s="676"/>
      <c r="AQ72" s="676">
        <v>0</v>
      </c>
      <c r="AR72" s="676"/>
      <c r="AS72" s="676"/>
      <c r="AT72" s="676">
        <v>0</v>
      </c>
      <c r="AU72" s="676"/>
      <c r="AV72" s="676"/>
      <c r="AW72" s="676"/>
      <c r="AX72" s="676"/>
      <c r="AY72" s="676"/>
      <c r="AZ72" s="676">
        <v>0</v>
      </c>
      <c r="BA72" s="676"/>
      <c r="BB72" s="676"/>
      <c r="BC72" s="676"/>
      <c r="BD72" s="676"/>
      <c r="BE72" s="676">
        <v>0</v>
      </c>
      <c r="BF72" s="676"/>
      <c r="BG72" s="676"/>
      <c r="BH72" s="676"/>
      <c r="BI72" s="676"/>
      <c r="BJ72" s="676"/>
      <c r="BK72" s="676"/>
      <c r="BL72" s="676"/>
      <c r="BM72" s="676"/>
      <c r="BN72" s="676">
        <v>0</v>
      </c>
      <c r="BO72" s="676"/>
      <c r="BP72" s="676"/>
      <c r="BQ72" s="676"/>
      <c r="BR72" s="676"/>
      <c r="BS72" s="676"/>
      <c r="BT72" s="676">
        <v>0</v>
      </c>
      <c r="BU72" s="676"/>
      <c r="BV72" s="676"/>
      <c r="BW72" s="676"/>
      <c r="BX72" s="676"/>
      <c r="BY72" s="676"/>
      <c r="BZ72" s="676"/>
      <c r="CA72" s="676"/>
      <c r="CB72" s="676">
        <v>0</v>
      </c>
      <c r="CC72" s="676"/>
      <c r="CD72" s="676"/>
      <c r="CE72" s="676"/>
      <c r="CF72" s="676"/>
      <c r="CG72" s="676"/>
    </row>
    <row r="73" spans="1:85" x14ac:dyDescent="0.25">
      <c r="A73" s="320" t="s">
        <v>1032</v>
      </c>
      <c r="B73" s="320" t="s">
        <v>1383</v>
      </c>
      <c r="C73" s="320" t="s">
        <v>1384</v>
      </c>
      <c r="D73" s="320" t="s">
        <v>1033</v>
      </c>
      <c r="E73" s="320">
        <v>2015</v>
      </c>
      <c r="F73" s="404">
        <v>944426</v>
      </c>
      <c r="G73" s="676">
        <v>3549466</v>
      </c>
      <c r="H73" s="676">
        <v>2696774</v>
      </c>
      <c r="I73" s="676">
        <v>3052753</v>
      </c>
      <c r="J73" s="676">
        <v>1397619</v>
      </c>
      <c r="K73" s="676">
        <v>2564868</v>
      </c>
      <c r="L73" s="676">
        <v>307612</v>
      </c>
      <c r="M73" s="676">
        <v>17416474</v>
      </c>
      <c r="N73" s="676">
        <v>197711</v>
      </c>
      <c r="O73" s="676">
        <v>7583507</v>
      </c>
      <c r="P73" s="676">
        <v>3458818</v>
      </c>
      <c r="Q73" s="676">
        <v>608323</v>
      </c>
      <c r="R73" s="676">
        <v>1802845</v>
      </c>
      <c r="S73" s="676">
        <v>260961</v>
      </c>
      <c r="T73" s="676">
        <v>2619129</v>
      </c>
      <c r="U73" s="676">
        <v>90421000</v>
      </c>
      <c r="V73" s="676">
        <v>4619345</v>
      </c>
      <c r="W73" s="676">
        <v>517715</v>
      </c>
      <c r="X73" s="676">
        <v>676154.75</v>
      </c>
      <c r="Y73" s="676">
        <v>6676029</v>
      </c>
      <c r="Z73" s="676">
        <v>205889156</v>
      </c>
      <c r="AA73" s="676">
        <v>1308569</v>
      </c>
      <c r="AB73" s="676">
        <v>47143317</v>
      </c>
      <c r="AC73" s="676">
        <v>26704.36</v>
      </c>
      <c r="AD73" s="676">
        <v>478638</v>
      </c>
      <c r="AE73" s="676">
        <v>15491683</v>
      </c>
      <c r="AF73" s="676">
        <v>6792818</v>
      </c>
      <c r="AG73" s="676">
        <v>147449</v>
      </c>
      <c r="AH73" s="676">
        <v>512578</v>
      </c>
      <c r="AI73" s="676">
        <v>645175</v>
      </c>
      <c r="AJ73" s="676">
        <v>11075</v>
      </c>
      <c r="AK73" s="676">
        <v>23074574</v>
      </c>
      <c r="AL73" s="676">
        <v>1820270</v>
      </c>
      <c r="AM73" s="676">
        <v>5422697</v>
      </c>
      <c r="AN73" s="676">
        <v>14745000</v>
      </c>
      <c r="AO73" s="676">
        <v>33893320</v>
      </c>
      <c r="AP73" s="676">
        <v>206127</v>
      </c>
      <c r="AQ73" s="676">
        <v>1995536</v>
      </c>
      <c r="AR73" s="676">
        <v>56076</v>
      </c>
      <c r="AS73" s="676">
        <v>19530</v>
      </c>
      <c r="AT73" s="676">
        <v>10932048.33</v>
      </c>
      <c r="AU73" s="676">
        <v>37000</v>
      </c>
      <c r="AV73" s="676">
        <v>3930994</v>
      </c>
      <c r="AW73" s="676">
        <v>296343</v>
      </c>
      <c r="AX73" s="676">
        <v>31555677</v>
      </c>
      <c r="AY73" s="676">
        <v>181983</v>
      </c>
      <c r="AZ73" s="676">
        <v>1712194</v>
      </c>
      <c r="BA73" s="676">
        <v>2127205</v>
      </c>
      <c r="BB73" s="676">
        <v>4546599</v>
      </c>
      <c r="BC73" s="676">
        <v>1383736</v>
      </c>
      <c r="BD73" s="676">
        <v>74091016</v>
      </c>
      <c r="BE73" s="676">
        <v>48861415.600000001</v>
      </c>
      <c r="BF73" s="676">
        <v>132728000</v>
      </c>
      <c r="BG73" s="676">
        <v>36827000</v>
      </c>
      <c r="BH73" s="676">
        <v>189112000</v>
      </c>
      <c r="BI73" s="676">
        <v>14393350</v>
      </c>
      <c r="BJ73" s="676">
        <v>3091484</v>
      </c>
      <c r="BK73" s="676">
        <v>1748991</v>
      </c>
      <c r="BL73" s="676">
        <v>4221950</v>
      </c>
      <c r="BM73" s="676">
        <v>51778000</v>
      </c>
      <c r="BN73" s="676">
        <v>5836514</v>
      </c>
      <c r="BO73" s="676">
        <v>2650725</v>
      </c>
      <c r="BP73" s="676">
        <v>2594059</v>
      </c>
      <c r="BQ73" s="676">
        <v>123846</v>
      </c>
      <c r="BR73" s="676">
        <v>1164328</v>
      </c>
      <c r="BS73" s="676">
        <v>40694897</v>
      </c>
      <c r="BT73" s="676">
        <v>20052735</v>
      </c>
      <c r="BU73" s="676">
        <v>1207138</v>
      </c>
      <c r="BV73" s="676">
        <v>2727220</v>
      </c>
      <c r="BW73" s="676">
        <v>22552323</v>
      </c>
      <c r="BX73" s="676">
        <v>57502</v>
      </c>
      <c r="BY73" s="676">
        <v>218332</v>
      </c>
      <c r="BZ73" s="676">
        <v>4853000</v>
      </c>
      <c r="CA73" s="676">
        <v>5581801.5300000003</v>
      </c>
      <c r="CB73" s="676">
        <v>10772122.609999999</v>
      </c>
      <c r="CC73" s="676">
        <v>31785000</v>
      </c>
      <c r="CD73" s="676">
        <v>749724</v>
      </c>
      <c r="CE73" s="676">
        <v>35356000</v>
      </c>
      <c r="CF73" s="676">
        <v>3370000</v>
      </c>
      <c r="CG73" s="676">
        <v>838000</v>
      </c>
    </row>
    <row r="74" spans="1:85" x14ac:dyDescent="0.25">
      <c r="A74" s="320" t="s">
        <v>1034</v>
      </c>
      <c r="B74" s="320" t="s">
        <v>1035</v>
      </c>
      <c r="C74" s="320"/>
      <c r="D74" s="320" t="s">
        <v>1036</v>
      </c>
      <c r="E74" s="320">
        <v>2015</v>
      </c>
      <c r="F74" s="404">
        <v>1116</v>
      </c>
      <c r="G74" s="676">
        <v>827</v>
      </c>
      <c r="H74" s="676">
        <v>28886</v>
      </c>
      <c r="I74" s="676">
        <v>21691</v>
      </c>
      <c r="J74" s="676">
        <v>15329</v>
      </c>
      <c r="K74" s="676">
        <v>13760</v>
      </c>
      <c r="L74" s="676">
        <v>13479</v>
      </c>
      <c r="M74" s="676">
        <v>6888</v>
      </c>
      <c r="N74" s="676">
        <v>5274</v>
      </c>
      <c r="O74" s="676">
        <v>48266</v>
      </c>
      <c r="P74" s="676">
        <v>1244</v>
      </c>
      <c r="Q74" s="676">
        <v>10960</v>
      </c>
      <c r="R74" s="676">
        <v>4243</v>
      </c>
      <c r="S74" s="676">
        <v>7363</v>
      </c>
      <c r="T74" s="676">
        <v>10851</v>
      </c>
      <c r="U74" s="676"/>
      <c r="V74" s="676"/>
      <c r="W74" s="676">
        <v>19695</v>
      </c>
      <c r="X74" s="676">
        <v>2662.37</v>
      </c>
      <c r="Y74" s="676">
        <v>2533</v>
      </c>
      <c r="Z74" s="676">
        <v>50932</v>
      </c>
      <c r="AA74" s="676">
        <v>790</v>
      </c>
      <c r="AB74" s="676">
        <v>98351</v>
      </c>
      <c r="AC74" s="676">
        <v>10806.85</v>
      </c>
      <c r="AD74" s="676">
        <v>3248</v>
      </c>
      <c r="AE74" s="676">
        <v>25608</v>
      </c>
      <c r="AF74" s="676">
        <v>16388</v>
      </c>
      <c r="AG74" s="676">
        <v>3233</v>
      </c>
      <c r="AH74" s="676">
        <v>4452</v>
      </c>
      <c r="AI74" s="676">
        <v>1391</v>
      </c>
      <c r="AJ74" s="676">
        <v>805</v>
      </c>
      <c r="AK74" s="676">
        <v>27450</v>
      </c>
      <c r="AL74" s="676">
        <v>1158</v>
      </c>
      <c r="AM74" s="676">
        <v>13022</v>
      </c>
      <c r="AN74" s="676">
        <v>144000</v>
      </c>
      <c r="AO74" s="676">
        <v>1736</v>
      </c>
      <c r="AP74" s="676">
        <v>16317</v>
      </c>
      <c r="AQ74" s="676">
        <v>3420</v>
      </c>
      <c r="AR74" s="676">
        <v>2854</v>
      </c>
      <c r="AS74" s="676">
        <v>6883</v>
      </c>
      <c r="AT74" s="676">
        <v>10826.26</v>
      </c>
      <c r="AU74" s="676">
        <v>12079</v>
      </c>
      <c r="AV74" s="676">
        <v>9852</v>
      </c>
      <c r="AW74" s="676">
        <v>2438</v>
      </c>
      <c r="AX74" s="676">
        <v>15815</v>
      </c>
      <c r="AY74" s="676">
        <v>2652</v>
      </c>
      <c r="AZ74" s="676">
        <v>6863</v>
      </c>
      <c r="BA74" s="676">
        <v>3708</v>
      </c>
      <c r="BB74" s="676">
        <v>3770</v>
      </c>
      <c r="BC74" s="676">
        <v>4474</v>
      </c>
      <c r="BD74" s="676"/>
      <c r="BE74" s="676">
        <v>17181.240000000002</v>
      </c>
      <c r="BF74" s="676"/>
      <c r="BG74" s="676"/>
      <c r="BH74" s="676"/>
      <c r="BI74" s="676">
        <v>159875</v>
      </c>
      <c r="BJ74" s="676">
        <v>5016</v>
      </c>
      <c r="BK74" s="676">
        <v>1965</v>
      </c>
      <c r="BL74" s="676">
        <v>1451</v>
      </c>
      <c r="BM74" s="676"/>
      <c r="BN74" s="676">
        <v>5298</v>
      </c>
      <c r="BO74" s="676">
        <v>2240</v>
      </c>
      <c r="BP74" s="676">
        <v>2760</v>
      </c>
      <c r="BQ74" s="676">
        <v>731</v>
      </c>
      <c r="BR74" s="676">
        <v>6623</v>
      </c>
      <c r="BS74" s="676">
        <v>65068</v>
      </c>
      <c r="BT74" s="676">
        <v>46762</v>
      </c>
      <c r="BU74" s="676">
        <v>962</v>
      </c>
      <c r="BV74" s="676">
        <v>6394</v>
      </c>
      <c r="BW74" s="676">
        <v>76699</v>
      </c>
      <c r="BX74" s="676">
        <v>19731</v>
      </c>
      <c r="BY74" s="676">
        <v>3832</v>
      </c>
      <c r="BZ74" s="676"/>
      <c r="CA74" s="676">
        <v>3711.98</v>
      </c>
      <c r="CB74" s="676">
        <v>55457.49</v>
      </c>
      <c r="CC74" s="676"/>
      <c r="CD74" s="676">
        <v>4305</v>
      </c>
      <c r="CE74" s="676">
        <v>527000</v>
      </c>
      <c r="CF74" s="676"/>
      <c r="CG74" s="676">
        <v>249000</v>
      </c>
    </row>
    <row r="75" spans="1:85" x14ac:dyDescent="0.25">
      <c r="A75" s="320" t="s">
        <v>1037</v>
      </c>
      <c r="B75" s="320" t="s">
        <v>1038</v>
      </c>
      <c r="C75" s="320"/>
      <c r="D75" s="320" t="s">
        <v>1039</v>
      </c>
      <c r="E75" s="320">
        <v>2015</v>
      </c>
      <c r="F75" s="404">
        <v>943310</v>
      </c>
      <c r="G75" s="676">
        <v>3548639</v>
      </c>
      <c r="H75" s="676">
        <v>2667888</v>
      </c>
      <c r="I75" s="676">
        <v>3031062</v>
      </c>
      <c r="J75" s="676">
        <v>1382290</v>
      </c>
      <c r="K75" s="676">
        <v>2551108</v>
      </c>
      <c r="L75" s="676">
        <v>294133</v>
      </c>
      <c r="M75" s="676">
        <v>17409586</v>
      </c>
      <c r="N75" s="676">
        <v>192437</v>
      </c>
      <c r="O75" s="676">
        <v>7535241</v>
      </c>
      <c r="P75" s="676">
        <v>3457574</v>
      </c>
      <c r="Q75" s="676">
        <v>597363</v>
      </c>
      <c r="R75" s="676">
        <v>1798602</v>
      </c>
      <c r="S75" s="676">
        <v>253598</v>
      </c>
      <c r="T75" s="676">
        <v>2608278</v>
      </c>
      <c r="U75" s="676"/>
      <c r="V75" s="676">
        <v>4619345</v>
      </c>
      <c r="W75" s="676">
        <v>498020</v>
      </c>
      <c r="X75" s="676">
        <v>673492.38</v>
      </c>
      <c r="Y75" s="676">
        <v>6673496</v>
      </c>
      <c r="Z75" s="676">
        <v>205838224</v>
      </c>
      <c r="AA75" s="676">
        <v>1307779</v>
      </c>
      <c r="AB75" s="676">
        <v>47044966</v>
      </c>
      <c r="AC75" s="676">
        <v>15897.51</v>
      </c>
      <c r="AD75" s="676">
        <v>475390</v>
      </c>
      <c r="AE75" s="676">
        <v>15466075</v>
      </c>
      <c r="AF75" s="676">
        <v>6776430</v>
      </c>
      <c r="AG75" s="676">
        <v>144216</v>
      </c>
      <c r="AH75" s="676">
        <v>508126</v>
      </c>
      <c r="AI75" s="676">
        <v>643784</v>
      </c>
      <c r="AJ75" s="676">
        <v>10270</v>
      </c>
      <c r="AK75" s="676">
        <v>23047124</v>
      </c>
      <c r="AL75" s="676">
        <v>1819112</v>
      </c>
      <c r="AM75" s="676">
        <v>5409675</v>
      </c>
      <c r="AN75" s="676">
        <v>14601000</v>
      </c>
      <c r="AO75" s="676">
        <v>33891584</v>
      </c>
      <c r="AP75" s="676">
        <v>189810</v>
      </c>
      <c r="AQ75" s="676">
        <v>1992116</v>
      </c>
      <c r="AR75" s="676">
        <v>53222</v>
      </c>
      <c r="AS75" s="676">
        <v>12647</v>
      </c>
      <c r="AT75" s="676">
        <v>10921222.07</v>
      </c>
      <c r="AU75" s="676">
        <v>24921</v>
      </c>
      <c r="AV75" s="676">
        <v>3921142</v>
      </c>
      <c r="AW75" s="676">
        <v>293905</v>
      </c>
      <c r="AX75" s="676">
        <v>31539862</v>
      </c>
      <c r="AY75" s="676">
        <v>179331</v>
      </c>
      <c r="AZ75" s="676">
        <v>1705331</v>
      </c>
      <c r="BA75" s="676">
        <v>2123497</v>
      </c>
      <c r="BB75" s="676">
        <v>4542829</v>
      </c>
      <c r="BC75" s="676">
        <v>1379262</v>
      </c>
      <c r="BD75" s="676">
        <v>74091016</v>
      </c>
      <c r="BE75" s="676">
        <v>48844234.359999999</v>
      </c>
      <c r="BF75" s="676"/>
      <c r="BG75" s="676"/>
      <c r="BH75" s="676"/>
      <c r="BI75" s="676">
        <v>14233475</v>
      </c>
      <c r="BJ75" s="676">
        <v>3086468</v>
      </c>
      <c r="BK75" s="676">
        <v>1747026</v>
      </c>
      <c r="BL75" s="676">
        <v>4220499</v>
      </c>
      <c r="BM75" s="676"/>
      <c r="BN75" s="676">
        <v>5831216</v>
      </c>
      <c r="BO75" s="676">
        <v>2648485</v>
      </c>
      <c r="BP75" s="676">
        <v>2591299</v>
      </c>
      <c r="BQ75" s="676">
        <v>123115</v>
      </c>
      <c r="BR75" s="676">
        <v>1157705</v>
      </c>
      <c r="BS75" s="676">
        <v>40629829</v>
      </c>
      <c r="BT75" s="676">
        <v>20005973</v>
      </c>
      <c r="BU75" s="676">
        <v>1206176</v>
      </c>
      <c r="BV75" s="676">
        <v>2720826</v>
      </c>
      <c r="BW75" s="676">
        <v>22475624</v>
      </c>
      <c r="BX75" s="676">
        <v>37771</v>
      </c>
      <c r="BY75" s="676">
        <v>214500</v>
      </c>
      <c r="BZ75" s="676">
        <v>4853000</v>
      </c>
      <c r="CA75" s="676">
        <v>5578089.5499999998</v>
      </c>
      <c r="CB75" s="676">
        <v>10716665.119999999</v>
      </c>
      <c r="CC75" s="676">
        <v>31785000</v>
      </c>
      <c r="CD75" s="676">
        <v>745419</v>
      </c>
      <c r="CE75" s="676">
        <v>34829000</v>
      </c>
      <c r="CF75" s="676"/>
      <c r="CG75" s="676">
        <v>589000</v>
      </c>
    </row>
    <row r="76" spans="1:85" x14ac:dyDescent="0.25">
      <c r="A76" s="320" t="s">
        <v>409</v>
      </c>
      <c r="B76" s="320" t="s">
        <v>1385</v>
      </c>
      <c r="C76" s="320" t="s">
        <v>1386</v>
      </c>
      <c r="D76" s="320" t="s">
        <v>1040</v>
      </c>
      <c r="E76" s="320">
        <v>2015</v>
      </c>
      <c r="F76" s="404">
        <v>17773</v>
      </c>
      <c r="G76" s="676">
        <v>21567</v>
      </c>
      <c r="H76" s="676">
        <v>127868</v>
      </c>
      <c r="I76" s="676">
        <v>103605</v>
      </c>
      <c r="J76" s="676">
        <v>1349</v>
      </c>
      <c r="K76" s="676">
        <v>40849</v>
      </c>
      <c r="L76" s="676">
        <v>74329</v>
      </c>
      <c r="M76" s="676">
        <v>30266</v>
      </c>
      <c r="N76" s="676">
        <v>24587</v>
      </c>
      <c r="O76" s="676">
        <v>28986</v>
      </c>
      <c r="P76" s="676">
        <v>284820</v>
      </c>
      <c r="Q76" s="676">
        <v>5652</v>
      </c>
      <c r="R76" s="676">
        <v>292577</v>
      </c>
      <c r="S76" s="676">
        <v>2972046</v>
      </c>
      <c r="T76" s="676">
        <v>214622</v>
      </c>
      <c r="U76" s="676"/>
      <c r="V76" s="676">
        <v>21579</v>
      </c>
      <c r="W76" s="676">
        <v>27155</v>
      </c>
      <c r="X76" s="676">
        <v>3869.09</v>
      </c>
      <c r="Y76" s="676">
        <v>3651</v>
      </c>
      <c r="Z76" s="676">
        <v>3048970</v>
      </c>
      <c r="AA76" s="676">
        <v>3630</v>
      </c>
      <c r="AB76" s="676">
        <v>900163</v>
      </c>
      <c r="AC76" s="676">
        <v>39254.06</v>
      </c>
      <c r="AD76" s="676">
        <v>34326</v>
      </c>
      <c r="AE76" s="676">
        <v>28345</v>
      </c>
      <c r="AF76" s="676">
        <v>198431</v>
      </c>
      <c r="AG76" s="676">
        <v>40807</v>
      </c>
      <c r="AH76" s="676">
        <v>64566</v>
      </c>
      <c r="AI76" s="676">
        <v>3749</v>
      </c>
      <c r="AJ76" s="676">
        <v>951</v>
      </c>
      <c r="AK76" s="676">
        <v>3135114</v>
      </c>
      <c r="AL76" s="676">
        <v>641920</v>
      </c>
      <c r="AM76" s="676">
        <v>19650</v>
      </c>
      <c r="AN76" s="676">
        <v>168558000</v>
      </c>
      <c r="AO76" s="676">
        <v>2361917</v>
      </c>
      <c r="AP76" s="676">
        <v>97010</v>
      </c>
      <c r="AQ76" s="676">
        <v>119699</v>
      </c>
      <c r="AR76" s="676">
        <v>169</v>
      </c>
      <c r="AS76" s="676">
        <v>2111</v>
      </c>
      <c r="AT76" s="676">
        <v>16088.88</v>
      </c>
      <c r="AU76" s="676">
        <v>923</v>
      </c>
      <c r="AV76" s="676">
        <v>34034</v>
      </c>
      <c r="AW76" s="676">
        <v>1905</v>
      </c>
      <c r="AX76" s="676">
        <v>917198</v>
      </c>
      <c r="AY76" s="676">
        <v>140926</v>
      </c>
      <c r="AZ76" s="676">
        <v>8477</v>
      </c>
      <c r="BA76" s="676">
        <v>16644</v>
      </c>
      <c r="BB76" s="676">
        <v>117718</v>
      </c>
      <c r="BC76" s="676">
        <v>28169</v>
      </c>
      <c r="BD76" s="676">
        <v>769440</v>
      </c>
      <c r="BE76" s="676">
        <v>11998.32</v>
      </c>
      <c r="BF76" s="676"/>
      <c r="BG76" s="676">
        <v>36645000</v>
      </c>
      <c r="BH76" s="676">
        <v>315000</v>
      </c>
      <c r="BI76" s="676">
        <v>360779</v>
      </c>
      <c r="BJ76" s="676">
        <v>1395566</v>
      </c>
      <c r="BK76" s="676">
        <v>13099</v>
      </c>
      <c r="BL76" s="676">
        <v>9842</v>
      </c>
      <c r="BM76" s="676">
        <v>6000000</v>
      </c>
      <c r="BN76" s="676">
        <v>29652</v>
      </c>
      <c r="BO76" s="676">
        <v>6867</v>
      </c>
      <c r="BP76" s="676">
        <v>73417</v>
      </c>
      <c r="BQ76" s="676">
        <v>33644</v>
      </c>
      <c r="BR76" s="676">
        <v>6127</v>
      </c>
      <c r="BS76" s="676">
        <v>1801430</v>
      </c>
      <c r="BT76" s="676">
        <v>1659988</v>
      </c>
      <c r="BU76" s="676">
        <v>19338</v>
      </c>
      <c r="BV76" s="676">
        <v>121539</v>
      </c>
      <c r="BW76" s="676">
        <v>91294</v>
      </c>
      <c r="BX76" s="676">
        <v>346023</v>
      </c>
      <c r="BY76" s="676">
        <v>4421</v>
      </c>
      <c r="BZ76" s="676">
        <v>746000</v>
      </c>
      <c r="CA76" s="676">
        <v>67930.039999999994</v>
      </c>
      <c r="CB76" s="676">
        <v>20859.189999999999</v>
      </c>
      <c r="CC76" s="676"/>
      <c r="CD76" s="676">
        <v>3729</v>
      </c>
      <c r="CE76" s="676">
        <v>1688000</v>
      </c>
      <c r="CF76" s="676">
        <v>4000</v>
      </c>
      <c r="CG76" s="676"/>
    </row>
    <row r="77" spans="1:85" x14ac:dyDescent="0.25">
      <c r="A77" s="320" t="s">
        <v>1041</v>
      </c>
      <c r="B77" s="320" t="s">
        <v>1042</v>
      </c>
      <c r="C77" s="320"/>
      <c r="D77" s="320" t="s">
        <v>1043</v>
      </c>
      <c r="E77" s="320">
        <v>2015</v>
      </c>
      <c r="F77" s="404">
        <v>3219</v>
      </c>
      <c r="G77" s="676"/>
      <c r="H77" s="676"/>
      <c r="I77" s="676"/>
      <c r="J77" s="676"/>
      <c r="K77" s="676">
        <v>701</v>
      </c>
      <c r="L77" s="676">
        <v>2562</v>
      </c>
      <c r="M77" s="676">
        <v>1011</v>
      </c>
      <c r="N77" s="676"/>
      <c r="O77" s="676"/>
      <c r="P77" s="676">
        <v>223653</v>
      </c>
      <c r="Q77" s="676"/>
      <c r="R77" s="676">
        <v>13</v>
      </c>
      <c r="S77" s="676"/>
      <c r="T77" s="676">
        <v>35007</v>
      </c>
      <c r="U77" s="676"/>
      <c r="V77" s="676"/>
      <c r="W77" s="676"/>
      <c r="X77" s="676">
        <v>0</v>
      </c>
      <c r="Y77" s="676"/>
      <c r="Z77" s="676">
        <v>140599</v>
      </c>
      <c r="AA77" s="676">
        <v>3630</v>
      </c>
      <c r="AB77" s="676"/>
      <c r="AC77" s="676">
        <v>0</v>
      </c>
      <c r="AD77" s="676">
        <v>11809</v>
      </c>
      <c r="AE77" s="676"/>
      <c r="AF77" s="676"/>
      <c r="AG77" s="676">
        <v>3670</v>
      </c>
      <c r="AH77" s="676"/>
      <c r="AI77" s="676"/>
      <c r="AJ77" s="676"/>
      <c r="AK77" s="676">
        <v>25293</v>
      </c>
      <c r="AL77" s="676">
        <v>64141</v>
      </c>
      <c r="AM77" s="676">
        <v>11</v>
      </c>
      <c r="AN77" s="676">
        <v>144470000</v>
      </c>
      <c r="AO77" s="676"/>
      <c r="AP77" s="676"/>
      <c r="AQ77" s="676">
        <v>0</v>
      </c>
      <c r="AR77" s="676"/>
      <c r="AS77" s="676">
        <v>36</v>
      </c>
      <c r="AT77" s="676">
        <v>2442.58</v>
      </c>
      <c r="AU77" s="676"/>
      <c r="AV77" s="676">
        <v>14600</v>
      </c>
      <c r="AW77" s="676"/>
      <c r="AX77" s="676">
        <v>89</v>
      </c>
      <c r="AY77" s="676">
        <v>328</v>
      </c>
      <c r="AZ77" s="676">
        <v>0</v>
      </c>
      <c r="BA77" s="676">
        <v>1</v>
      </c>
      <c r="BB77" s="676">
        <v>105766</v>
      </c>
      <c r="BC77" s="676">
        <v>3185</v>
      </c>
      <c r="BD77" s="676"/>
      <c r="BE77" s="676">
        <v>2602.21</v>
      </c>
      <c r="BF77" s="676"/>
      <c r="BG77" s="676">
        <v>7522000</v>
      </c>
      <c r="BH77" s="676"/>
      <c r="BI77" s="676">
        <v>58852</v>
      </c>
      <c r="BJ77" s="676">
        <v>459</v>
      </c>
      <c r="BK77" s="676">
        <v>298</v>
      </c>
      <c r="BL77" s="676">
        <v>99</v>
      </c>
      <c r="BM77" s="676"/>
      <c r="BN77" s="676">
        <v>3608</v>
      </c>
      <c r="BO77" s="676"/>
      <c r="BP77" s="676">
        <v>73400</v>
      </c>
      <c r="BQ77" s="676"/>
      <c r="BR77" s="676">
        <v>30</v>
      </c>
      <c r="BS77" s="676">
        <v>1976</v>
      </c>
      <c r="BT77" s="676">
        <v>301557</v>
      </c>
      <c r="BU77" s="676"/>
      <c r="BV77" s="676"/>
      <c r="BW77" s="676">
        <v>21389</v>
      </c>
      <c r="BX77" s="676">
        <v>198559</v>
      </c>
      <c r="BY77" s="676"/>
      <c r="BZ77" s="676"/>
      <c r="CA77" s="676">
        <v>50.02</v>
      </c>
      <c r="CB77" s="676">
        <v>556.4</v>
      </c>
      <c r="CC77" s="676"/>
      <c r="CD77" s="676"/>
      <c r="CE77" s="676"/>
      <c r="CF77" s="676">
        <v>4000</v>
      </c>
      <c r="CG77" s="676"/>
    </row>
    <row r="78" spans="1:85" x14ac:dyDescent="0.25">
      <c r="A78" s="320" t="s">
        <v>1044</v>
      </c>
      <c r="B78" s="320" t="s">
        <v>1045</v>
      </c>
      <c r="C78" s="320"/>
      <c r="D78" s="320" t="s">
        <v>1046</v>
      </c>
      <c r="E78" s="320">
        <v>2015</v>
      </c>
      <c r="F78" s="404">
        <v>6387</v>
      </c>
      <c r="G78" s="676">
        <v>20112</v>
      </c>
      <c r="H78" s="676">
        <v>64395</v>
      </c>
      <c r="I78" s="676">
        <v>15515</v>
      </c>
      <c r="J78" s="676">
        <v>1349</v>
      </c>
      <c r="K78" s="676">
        <v>17636</v>
      </c>
      <c r="L78" s="676">
        <v>26721</v>
      </c>
      <c r="M78" s="676">
        <v>29255</v>
      </c>
      <c r="N78" s="676">
        <v>24587</v>
      </c>
      <c r="O78" s="676">
        <v>28986</v>
      </c>
      <c r="P78" s="676">
        <v>61167</v>
      </c>
      <c r="Q78" s="676">
        <v>5652</v>
      </c>
      <c r="R78" s="676">
        <v>290856</v>
      </c>
      <c r="S78" s="676">
        <v>141712</v>
      </c>
      <c r="T78" s="676">
        <v>179364</v>
      </c>
      <c r="U78" s="676"/>
      <c r="V78" s="676">
        <v>20201</v>
      </c>
      <c r="W78" s="676">
        <v>13537</v>
      </c>
      <c r="X78" s="676">
        <v>3841.72</v>
      </c>
      <c r="Y78" s="676">
        <v>3651</v>
      </c>
      <c r="Z78" s="676">
        <v>302122</v>
      </c>
      <c r="AA78" s="676"/>
      <c r="AB78" s="676">
        <v>795577</v>
      </c>
      <c r="AC78" s="676">
        <v>7611.12</v>
      </c>
      <c r="AD78" s="676">
        <v>22517</v>
      </c>
      <c r="AE78" s="676">
        <v>15439</v>
      </c>
      <c r="AF78" s="676">
        <v>181503</v>
      </c>
      <c r="AG78" s="676"/>
      <c r="AH78" s="676">
        <v>60057</v>
      </c>
      <c r="AI78" s="676">
        <v>3749</v>
      </c>
      <c r="AJ78" s="676">
        <v>951</v>
      </c>
      <c r="AK78" s="676">
        <v>3066511</v>
      </c>
      <c r="AL78" s="676">
        <v>84080</v>
      </c>
      <c r="AM78" s="676">
        <v>19639</v>
      </c>
      <c r="AN78" s="676">
        <v>24088000</v>
      </c>
      <c r="AO78" s="676">
        <v>23338</v>
      </c>
      <c r="AP78" s="676">
        <v>27209</v>
      </c>
      <c r="AQ78" s="676">
        <v>61673</v>
      </c>
      <c r="AR78" s="676">
        <v>169</v>
      </c>
      <c r="AS78" s="676">
        <v>1979</v>
      </c>
      <c r="AT78" s="676">
        <v>13646.3</v>
      </c>
      <c r="AU78" s="676">
        <v>923</v>
      </c>
      <c r="AV78" s="676">
        <v>19297</v>
      </c>
      <c r="AW78" s="676">
        <v>1905</v>
      </c>
      <c r="AX78" s="676">
        <v>119716</v>
      </c>
      <c r="AY78" s="676">
        <v>15589</v>
      </c>
      <c r="AZ78" s="676">
        <v>8476</v>
      </c>
      <c r="BA78" s="676">
        <v>16643</v>
      </c>
      <c r="BB78" s="676"/>
      <c r="BC78" s="676">
        <v>8892</v>
      </c>
      <c r="BD78" s="676"/>
      <c r="BE78" s="676">
        <v>9002.02</v>
      </c>
      <c r="BF78" s="676"/>
      <c r="BG78" s="676">
        <v>12555000</v>
      </c>
      <c r="BH78" s="676"/>
      <c r="BI78" s="676">
        <v>293246</v>
      </c>
      <c r="BJ78" s="676">
        <v>32610</v>
      </c>
      <c r="BK78" s="676">
        <v>12784</v>
      </c>
      <c r="BL78" s="676">
        <v>7362</v>
      </c>
      <c r="BM78" s="676"/>
      <c r="BN78" s="676">
        <v>25438</v>
      </c>
      <c r="BO78" s="676">
        <v>4381</v>
      </c>
      <c r="BP78" s="676"/>
      <c r="BQ78" s="676">
        <v>31423</v>
      </c>
      <c r="BR78" s="676">
        <v>5641</v>
      </c>
      <c r="BS78" s="676">
        <v>1050472</v>
      </c>
      <c r="BT78" s="676">
        <v>1358429</v>
      </c>
      <c r="BU78" s="676">
        <v>7294</v>
      </c>
      <c r="BV78" s="676">
        <v>7604</v>
      </c>
      <c r="BW78" s="676">
        <v>69503</v>
      </c>
      <c r="BX78" s="676">
        <v>134662</v>
      </c>
      <c r="BY78" s="676">
        <v>4421</v>
      </c>
      <c r="BZ78" s="676">
        <v>746000</v>
      </c>
      <c r="CA78" s="676">
        <v>5780.85</v>
      </c>
      <c r="CB78" s="676">
        <v>16852.79</v>
      </c>
      <c r="CC78" s="676"/>
      <c r="CD78" s="676">
        <v>3729</v>
      </c>
      <c r="CE78" s="676">
        <v>1688000</v>
      </c>
      <c r="CF78" s="676"/>
      <c r="CG78" s="676"/>
    </row>
    <row r="79" spans="1:85" x14ac:dyDescent="0.25">
      <c r="A79" s="320" t="s">
        <v>1047</v>
      </c>
      <c r="B79" s="320" t="s">
        <v>1048</v>
      </c>
      <c r="C79" s="320"/>
      <c r="D79" s="320" t="s">
        <v>1049</v>
      </c>
      <c r="E79" s="320">
        <v>2015</v>
      </c>
      <c r="F79" s="404">
        <v>8167</v>
      </c>
      <c r="G79" s="676"/>
      <c r="H79" s="676">
        <v>40138</v>
      </c>
      <c r="I79" s="676"/>
      <c r="J79" s="676"/>
      <c r="K79" s="676">
        <v>0</v>
      </c>
      <c r="L79" s="676"/>
      <c r="M79" s="676"/>
      <c r="N79" s="676"/>
      <c r="O79" s="676"/>
      <c r="P79" s="676"/>
      <c r="Q79" s="676"/>
      <c r="R79" s="676"/>
      <c r="S79" s="676"/>
      <c r="T79" s="676"/>
      <c r="U79" s="676"/>
      <c r="V79" s="676"/>
      <c r="W79" s="676"/>
      <c r="X79" s="676">
        <v>0</v>
      </c>
      <c r="Y79" s="676"/>
      <c r="Z79" s="676">
        <v>0</v>
      </c>
      <c r="AA79" s="676"/>
      <c r="AB79" s="676"/>
      <c r="AC79" s="676">
        <v>0</v>
      </c>
      <c r="AD79" s="676"/>
      <c r="AE79" s="676"/>
      <c r="AF79" s="676"/>
      <c r="AG79" s="676">
        <v>37137</v>
      </c>
      <c r="AH79" s="676"/>
      <c r="AI79" s="676"/>
      <c r="AJ79" s="676"/>
      <c r="AK79" s="676"/>
      <c r="AL79" s="676"/>
      <c r="AM79" s="676"/>
      <c r="AN79" s="676"/>
      <c r="AO79" s="676">
        <v>2338579</v>
      </c>
      <c r="AP79" s="676"/>
      <c r="AQ79" s="676">
        <v>0</v>
      </c>
      <c r="AR79" s="676"/>
      <c r="AS79" s="676"/>
      <c r="AT79" s="676">
        <v>0</v>
      </c>
      <c r="AU79" s="676"/>
      <c r="AV79" s="676"/>
      <c r="AW79" s="676"/>
      <c r="AX79" s="676"/>
      <c r="AY79" s="676"/>
      <c r="AZ79" s="676">
        <v>0</v>
      </c>
      <c r="BA79" s="676"/>
      <c r="BB79" s="676"/>
      <c r="BC79" s="676"/>
      <c r="BD79" s="676"/>
      <c r="BE79" s="676">
        <v>0</v>
      </c>
      <c r="BF79" s="676"/>
      <c r="BG79" s="676"/>
      <c r="BH79" s="676"/>
      <c r="BI79" s="676"/>
      <c r="BJ79" s="676">
        <v>1362497</v>
      </c>
      <c r="BK79" s="676"/>
      <c r="BL79" s="676"/>
      <c r="BM79" s="676"/>
      <c r="BN79" s="676">
        <v>0</v>
      </c>
      <c r="BO79" s="676"/>
      <c r="BP79" s="676">
        <v>17</v>
      </c>
      <c r="BQ79" s="676"/>
      <c r="BR79" s="676"/>
      <c r="BS79" s="676"/>
      <c r="BT79" s="676">
        <v>0</v>
      </c>
      <c r="BU79" s="676"/>
      <c r="BV79" s="676"/>
      <c r="BW79" s="676"/>
      <c r="BX79" s="676">
        <v>12640</v>
      </c>
      <c r="BY79" s="676"/>
      <c r="BZ79" s="676"/>
      <c r="CA79" s="676"/>
      <c r="CB79" s="676">
        <v>0</v>
      </c>
      <c r="CC79" s="676"/>
      <c r="CD79" s="676"/>
      <c r="CE79" s="676"/>
      <c r="CF79" s="676"/>
      <c r="CG79" s="676"/>
    </row>
    <row r="80" spans="1:85" x14ac:dyDescent="0.25">
      <c r="A80" s="320" t="s">
        <v>1050</v>
      </c>
      <c r="B80" s="320" t="s">
        <v>1051</v>
      </c>
      <c r="C80" s="320"/>
      <c r="D80" s="320" t="s">
        <v>1052</v>
      </c>
      <c r="E80" s="320">
        <v>2015</v>
      </c>
      <c r="F80" s="404"/>
      <c r="G80" s="676">
        <v>1455</v>
      </c>
      <c r="H80" s="676">
        <v>23335</v>
      </c>
      <c r="I80" s="676">
        <v>88090</v>
      </c>
      <c r="J80" s="676"/>
      <c r="K80" s="676">
        <v>22512</v>
      </c>
      <c r="L80" s="676">
        <v>45046</v>
      </c>
      <c r="M80" s="676"/>
      <c r="N80" s="676"/>
      <c r="O80" s="676"/>
      <c r="P80" s="676"/>
      <c r="Q80" s="676"/>
      <c r="R80" s="676">
        <v>1708</v>
      </c>
      <c r="S80" s="676">
        <v>2830334</v>
      </c>
      <c r="T80" s="676">
        <v>251</v>
      </c>
      <c r="U80" s="676"/>
      <c r="V80" s="676">
        <v>1378</v>
      </c>
      <c r="W80" s="676">
        <v>13618</v>
      </c>
      <c r="X80" s="676">
        <v>27.37</v>
      </c>
      <c r="Y80" s="676"/>
      <c r="Z80" s="676">
        <v>2606249</v>
      </c>
      <c r="AA80" s="676"/>
      <c r="AB80" s="676">
        <v>104586</v>
      </c>
      <c r="AC80" s="676">
        <v>31642.94</v>
      </c>
      <c r="AD80" s="676"/>
      <c r="AE80" s="676">
        <v>12906</v>
      </c>
      <c r="AF80" s="676">
        <v>16928</v>
      </c>
      <c r="AG80" s="676"/>
      <c r="AH80" s="676">
        <v>4509</v>
      </c>
      <c r="AI80" s="676"/>
      <c r="AJ80" s="676"/>
      <c r="AK80" s="676">
        <v>43310</v>
      </c>
      <c r="AL80" s="676">
        <v>493699</v>
      </c>
      <c r="AM80" s="676"/>
      <c r="AN80" s="676"/>
      <c r="AO80" s="676"/>
      <c r="AP80" s="676">
        <v>69801</v>
      </c>
      <c r="AQ80" s="676">
        <v>58026</v>
      </c>
      <c r="AR80" s="676"/>
      <c r="AS80" s="676">
        <v>96</v>
      </c>
      <c r="AT80" s="676">
        <v>0</v>
      </c>
      <c r="AU80" s="676"/>
      <c r="AV80" s="676">
        <v>137</v>
      </c>
      <c r="AW80" s="676"/>
      <c r="AX80" s="676">
        <v>797393</v>
      </c>
      <c r="AY80" s="676">
        <v>125009</v>
      </c>
      <c r="AZ80" s="676">
        <v>1</v>
      </c>
      <c r="BA80" s="676"/>
      <c r="BB80" s="676">
        <v>11952</v>
      </c>
      <c r="BC80" s="676">
        <v>16092</v>
      </c>
      <c r="BD80" s="676"/>
      <c r="BE80" s="676">
        <v>394.09</v>
      </c>
      <c r="BF80" s="676"/>
      <c r="BG80" s="676">
        <v>16568000</v>
      </c>
      <c r="BH80" s="676"/>
      <c r="BI80" s="676">
        <v>8681</v>
      </c>
      <c r="BJ80" s="676"/>
      <c r="BK80" s="676">
        <v>17</v>
      </c>
      <c r="BL80" s="676">
        <v>2381</v>
      </c>
      <c r="BM80" s="676"/>
      <c r="BN80" s="676">
        <v>606</v>
      </c>
      <c r="BO80" s="676">
        <v>2486</v>
      </c>
      <c r="BP80" s="676"/>
      <c r="BQ80" s="676">
        <v>2221</v>
      </c>
      <c r="BR80" s="676">
        <v>456</v>
      </c>
      <c r="BS80" s="676">
        <v>748982</v>
      </c>
      <c r="BT80" s="676">
        <v>2</v>
      </c>
      <c r="BU80" s="676">
        <v>12044</v>
      </c>
      <c r="BV80" s="676">
        <v>113935</v>
      </c>
      <c r="BW80" s="676">
        <v>402</v>
      </c>
      <c r="BX80" s="676">
        <v>162</v>
      </c>
      <c r="BY80" s="676"/>
      <c r="BZ80" s="676"/>
      <c r="CA80" s="676">
        <v>62099.17</v>
      </c>
      <c r="CB80" s="676">
        <v>3450</v>
      </c>
      <c r="CC80" s="676"/>
      <c r="CD80" s="676"/>
      <c r="CE80" s="676"/>
      <c r="CF80" s="676"/>
      <c r="CG80" s="676"/>
    </row>
    <row r="81" spans="1:85" s="307" customFormat="1" x14ac:dyDescent="0.25">
      <c r="A81" s="320"/>
      <c r="B81" s="320"/>
      <c r="C81" s="320"/>
      <c r="D81" s="320"/>
      <c r="E81" s="320">
        <v>2015</v>
      </c>
      <c r="F81" s="404"/>
      <c r="G81" s="405"/>
      <c r="H81" s="405"/>
      <c r="I81" s="405"/>
      <c r="J81" s="405"/>
      <c r="K81" s="405"/>
      <c r="L81" s="405"/>
      <c r="M81" s="405"/>
      <c r="N81" s="405"/>
      <c r="O81" s="405"/>
      <c r="P81" s="405"/>
      <c r="Q81" s="405"/>
      <c r="R81" s="405"/>
      <c r="S81" s="405"/>
      <c r="T81" s="405"/>
      <c r="U81" s="405"/>
      <c r="V81" s="405"/>
      <c r="W81" s="405"/>
      <c r="X81" s="405"/>
      <c r="Y81" s="405"/>
      <c r="Z81" s="405"/>
      <c r="AA81" s="405"/>
      <c r="AB81" s="405"/>
      <c r="AC81" s="405"/>
      <c r="AD81" s="405"/>
      <c r="AE81" s="405"/>
      <c r="AF81" s="405"/>
      <c r="AG81" s="405"/>
      <c r="AH81" s="405"/>
      <c r="AI81" s="405"/>
      <c r="AJ81" s="405"/>
      <c r="AK81" s="405"/>
      <c r="AL81" s="405"/>
      <c r="AM81" s="405"/>
      <c r="AN81" s="405"/>
      <c r="AO81" s="405"/>
      <c r="AP81" s="405"/>
      <c r="AQ81" s="405"/>
      <c r="AR81" s="405"/>
      <c r="AS81" s="405"/>
      <c r="AT81" s="405"/>
      <c r="AU81" s="405"/>
      <c r="AV81" s="405"/>
      <c r="AW81" s="405"/>
      <c r="AX81" s="405"/>
      <c r="AY81" s="405"/>
      <c r="AZ81" s="405"/>
      <c r="BA81" s="405"/>
      <c r="BB81" s="405"/>
      <c r="BC81" s="405"/>
      <c r="BD81" s="405"/>
      <c r="BE81" s="405"/>
      <c r="BF81" s="405"/>
      <c r="BG81" s="405"/>
      <c r="BH81" s="405"/>
      <c r="BI81" s="405"/>
      <c r="BJ81" s="405"/>
      <c r="BK81" s="405"/>
      <c r="BL81" s="405"/>
      <c r="BM81" s="405"/>
      <c r="BN81" s="405"/>
      <c r="BO81" s="405"/>
      <c r="BP81" s="405"/>
      <c r="BQ81" s="405"/>
      <c r="BR81" s="405"/>
      <c r="BS81" s="405"/>
      <c r="BT81" s="405"/>
      <c r="BU81" s="405"/>
      <c r="BV81" s="405"/>
      <c r="BW81" s="405"/>
      <c r="BX81" s="405"/>
      <c r="BY81" s="405"/>
      <c r="BZ81" s="405"/>
      <c r="CA81" s="405"/>
      <c r="CB81" s="405"/>
      <c r="CC81" s="405"/>
      <c r="CD81" s="405"/>
      <c r="CE81" s="405"/>
      <c r="CF81" s="405"/>
      <c r="CG81" s="405"/>
    </row>
    <row r="82" spans="1:85" x14ac:dyDescent="0.25">
      <c r="A82" s="319" t="s">
        <v>642</v>
      </c>
      <c r="B82" s="319" t="s">
        <v>1053</v>
      </c>
      <c r="C82" s="319"/>
      <c r="D82" s="319" t="s">
        <v>865</v>
      </c>
      <c r="E82" s="447"/>
      <c r="F82" s="406">
        <v>2015</v>
      </c>
      <c r="G82" s="407">
        <v>2015</v>
      </c>
      <c r="H82" s="407">
        <v>2015</v>
      </c>
      <c r="I82" s="407">
        <v>2015</v>
      </c>
      <c r="J82" s="407">
        <v>2015</v>
      </c>
      <c r="K82" s="407">
        <v>2015</v>
      </c>
      <c r="L82" s="407">
        <v>2015</v>
      </c>
      <c r="M82" s="407">
        <v>2015</v>
      </c>
      <c r="N82" s="407">
        <v>2015</v>
      </c>
      <c r="O82" s="407">
        <v>2015</v>
      </c>
      <c r="P82" s="407">
        <v>2015</v>
      </c>
      <c r="Q82" s="407">
        <v>2015</v>
      </c>
      <c r="R82" s="407">
        <v>2015</v>
      </c>
      <c r="S82" s="407">
        <v>2015</v>
      </c>
      <c r="T82" s="407">
        <v>2015</v>
      </c>
      <c r="U82" s="407">
        <v>2015</v>
      </c>
      <c r="V82" s="407">
        <v>2015</v>
      </c>
      <c r="W82" s="407">
        <v>2015</v>
      </c>
      <c r="X82" s="407">
        <v>2015</v>
      </c>
      <c r="Y82" s="407">
        <v>2015</v>
      </c>
      <c r="Z82" s="407">
        <v>2015</v>
      </c>
      <c r="AA82" s="407">
        <v>2015</v>
      </c>
      <c r="AB82" s="407">
        <v>2015</v>
      </c>
      <c r="AC82" s="407">
        <v>2015</v>
      </c>
      <c r="AD82" s="407">
        <v>2015</v>
      </c>
      <c r="AE82" s="407">
        <v>2015</v>
      </c>
      <c r="AF82" s="407">
        <v>2015</v>
      </c>
      <c r="AG82" s="407">
        <v>2015</v>
      </c>
      <c r="AH82" s="407">
        <v>2015</v>
      </c>
      <c r="AI82" s="407">
        <v>2015</v>
      </c>
      <c r="AJ82" s="407">
        <v>2015</v>
      </c>
      <c r="AK82" s="407">
        <v>2015</v>
      </c>
      <c r="AL82" s="407">
        <v>2015</v>
      </c>
      <c r="AM82" s="407">
        <v>2015</v>
      </c>
      <c r="AN82" s="407">
        <v>2015</v>
      </c>
      <c r="AO82" s="407">
        <v>2015</v>
      </c>
      <c r="AP82" s="407">
        <v>2015</v>
      </c>
      <c r="AQ82" s="407">
        <v>2015</v>
      </c>
      <c r="AR82" s="407">
        <v>2015</v>
      </c>
      <c r="AS82" s="407">
        <v>2015</v>
      </c>
      <c r="AT82" s="407">
        <v>2015</v>
      </c>
      <c r="AU82" s="407">
        <v>2015</v>
      </c>
      <c r="AV82" s="407">
        <v>2015</v>
      </c>
      <c r="AW82" s="407">
        <v>2015</v>
      </c>
      <c r="AX82" s="407">
        <v>2015</v>
      </c>
      <c r="AY82" s="407">
        <v>2015</v>
      </c>
      <c r="AZ82" s="407">
        <v>2015</v>
      </c>
      <c r="BA82" s="407">
        <v>2015</v>
      </c>
      <c r="BB82" s="407">
        <v>2015</v>
      </c>
      <c r="BC82" s="407">
        <v>2015</v>
      </c>
      <c r="BD82" s="407">
        <v>2015</v>
      </c>
      <c r="BE82" s="407">
        <v>2015</v>
      </c>
      <c r="BF82" s="407">
        <v>2015</v>
      </c>
      <c r="BG82" s="407">
        <v>2015</v>
      </c>
      <c r="BH82" s="407">
        <v>2015</v>
      </c>
      <c r="BI82" s="407">
        <v>2015</v>
      </c>
      <c r="BJ82" s="407">
        <v>2015</v>
      </c>
      <c r="BK82" s="407">
        <v>2015</v>
      </c>
      <c r="BL82" s="407">
        <v>2015</v>
      </c>
      <c r="BM82" s="407">
        <v>2015</v>
      </c>
      <c r="BN82" s="407">
        <v>2015</v>
      </c>
      <c r="BO82" s="407">
        <v>2015</v>
      </c>
      <c r="BP82" s="407">
        <v>2015</v>
      </c>
      <c r="BQ82" s="407">
        <v>2015</v>
      </c>
      <c r="BR82" s="407">
        <v>2015</v>
      </c>
      <c r="BS82" s="407">
        <v>2015</v>
      </c>
      <c r="BT82" s="407">
        <v>2015</v>
      </c>
      <c r="BU82" s="407">
        <v>2015</v>
      </c>
      <c r="BV82" s="407">
        <v>2015</v>
      </c>
      <c r="BW82" s="407">
        <v>2015</v>
      </c>
      <c r="BX82" s="407">
        <v>2015</v>
      </c>
      <c r="BY82" s="407">
        <v>2015</v>
      </c>
      <c r="BZ82" s="407">
        <v>2015</v>
      </c>
      <c r="CA82" s="407">
        <v>2015</v>
      </c>
      <c r="CB82" s="407">
        <v>2015</v>
      </c>
      <c r="CC82" s="407">
        <v>2015</v>
      </c>
      <c r="CD82" s="407">
        <v>2015</v>
      </c>
      <c r="CE82" s="407">
        <v>2015</v>
      </c>
      <c r="CF82" s="407">
        <v>2015</v>
      </c>
      <c r="CG82" s="407">
        <v>2015</v>
      </c>
    </row>
    <row r="83" spans="1:85" x14ac:dyDescent="0.25">
      <c r="A83" s="320" t="s">
        <v>642</v>
      </c>
      <c r="B83" s="320" t="s">
        <v>1387</v>
      </c>
      <c r="C83" s="320" t="s">
        <v>1388</v>
      </c>
      <c r="D83" s="320" t="s">
        <v>1054</v>
      </c>
      <c r="E83" s="320">
        <v>2015</v>
      </c>
      <c r="F83" s="404">
        <v>2505731</v>
      </c>
      <c r="G83" s="676">
        <v>25906303</v>
      </c>
      <c r="H83" s="676">
        <v>28332445</v>
      </c>
      <c r="I83" s="676">
        <v>26369639</v>
      </c>
      <c r="J83" s="676">
        <v>28724587</v>
      </c>
      <c r="K83" s="676">
        <v>17431645</v>
      </c>
      <c r="L83" s="676">
        <v>7085187</v>
      </c>
      <c r="M83" s="676">
        <v>66373646</v>
      </c>
      <c r="N83" s="676">
        <v>57855834</v>
      </c>
      <c r="O83" s="676">
        <v>20431592</v>
      </c>
      <c r="P83" s="676">
        <v>9884506</v>
      </c>
      <c r="Q83" s="676">
        <v>25900395</v>
      </c>
      <c r="R83" s="676">
        <v>21402748</v>
      </c>
      <c r="S83" s="676">
        <v>31426807</v>
      </c>
      <c r="T83" s="676">
        <v>45201115</v>
      </c>
      <c r="U83" s="676">
        <v>3074339000</v>
      </c>
      <c r="V83" s="676">
        <v>7908400</v>
      </c>
      <c r="W83" s="676">
        <v>19845627</v>
      </c>
      <c r="X83" s="676">
        <v>55211026.259999998</v>
      </c>
      <c r="Y83" s="676">
        <v>61092567</v>
      </c>
      <c r="Z83" s="676">
        <v>1550192356</v>
      </c>
      <c r="AA83" s="676">
        <v>27331424</v>
      </c>
      <c r="AB83" s="676">
        <v>860763086</v>
      </c>
      <c r="AC83" s="676">
        <v>3735023.5</v>
      </c>
      <c r="AD83" s="676">
        <v>36409145</v>
      </c>
      <c r="AE83" s="676">
        <v>54807104</v>
      </c>
      <c r="AF83" s="676">
        <v>322691608</v>
      </c>
      <c r="AG83" s="676">
        <v>22524350</v>
      </c>
      <c r="AH83" s="676">
        <v>26785536</v>
      </c>
      <c r="AI83" s="676">
        <v>3196879</v>
      </c>
      <c r="AJ83" s="676">
        <v>7049964</v>
      </c>
      <c r="AK83" s="676">
        <v>95229699</v>
      </c>
      <c r="AL83" s="676">
        <v>18680478</v>
      </c>
      <c r="AM83" s="676">
        <v>28901260</v>
      </c>
      <c r="AN83" s="676">
        <v>7824277000</v>
      </c>
      <c r="AO83" s="676">
        <v>111379240</v>
      </c>
      <c r="AP83" s="676">
        <v>16285916</v>
      </c>
      <c r="AQ83" s="676">
        <v>47869456</v>
      </c>
      <c r="AR83" s="676">
        <v>8273969</v>
      </c>
      <c r="AS83" s="676">
        <v>4279705</v>
      </c>
      <c r="AT83" s="676">
        <v>94068800.849999994</v>
      </c>
      <c r="AU83" s="676">
        <v>3606713</v>
      </c>
      <c r="AV83" s="676">
        <v>6729413</v>
      </c>
      <c r="AW83" s="676">
        <v>1627495</v>
      </c>
      <c r="AX83" s="676">
        <v>77923108</v>
      </c>
      <c r="AY83" s="676">
        <v>16854210</v>
      </c>
      <c r="AZ83" s="676">
        <v>2602555</v>
      </c>
      <c r="BA83" s="676">
        <v>61306572</v>
      </c>
      <c r="BB83" s="676">
        <v>26735622</v>
      </c>
      <c r="BC83" s="676">
        <v>35111745</v>
      </c>
      <c r="BD83" s="676">
        <v>902280979</v>
      </c>
      <c r="BE83" s="676">
        <v>55492429.799999997</v>
      </c>
      <c r="BF83" s="676">
        <v>449698000</v>
      </c>
      <c r="BG83" s="676">
        <v>8880572000</v>
      </c>
      <c r="BH83" s="676">
        <v>2980688000</v>
      </c>
      <c r="BI83" s="676">
        <v>1421695295</v>
      </c>
      <c r="BJ83" s="676">
        <v>55385726</v>
      </c>
      <c r="BK83" s="676">
        <v>6458609</v>
      </c>
      <c r="BL83" s="676">
        <v>56188716</v>
      </c>
      <c r="BM83" s="676">
        <v>1020783000</v>
      </c>
      <c r="BN83" s="676">
        <v>49494226</v>
      </c>
      <c r="BO83" s="676">
        <v>4745164</v>
      </c>
      <c r="BP83" s="676">
        <v>3757130</v>
      </c>
      <c r="BQ83" s="676">
        <v>3752063</v>
      </c>
      <c r="BR83" s="676">
        <v>4047108</v>
      </c>
      <c r="BS83" s="676">
        <v>57610329</v>
      </c>
      <c r="BT83" s="676">
        <v>352709391</v>
      </c>
      <c r="BU83" s="676">
        <v>10244506</v>
      </c>
      <c r="BV83" s="676">
        <v>594482452</v>
      </c>
      <c r="BW83" s="676">
        <v>1228221397</v>
      </c>
      <c r="BX83" s="676">
        <v>91468044</v>
      </c>
      <c r="BY83" s="676">
        <v>5019435</v>
      </c>
      <c r="BZ83" s="676">
        <v>911725000</v>
      </c>
      <c r="CA83" s="676">
        <v>24997173.210000001</v>
      </c>
      <c r="CB83" s="676">
        <v>50005986.310000002</v>
      </c>
      <c r="CC83" s="676">
        <v>1023389000</v>
      </c>
      <c r="CD83" s="676">
        <v>4477913</v>
      </c>
      <c r="CE83" s="676">
        <v>3499638000</v>
      </c>
      <c r="CF83" s="676">
        <v>354195000</v>
      </c>
      <c r="CG83" s="676">
        <v>1031398000</v>
      </c>
    </row>
    <row r="84" spans="1:85" x14ac:dyDescent="0.25">
      <c r="A84" s="320" t="s">
        <v>428</v>
      </c>
      <c r="B84" s="320" t="s">
        <v>1389</v>
      </c>
      <c r="C84" s="320" t="s">
        <v>1390</v>
      </c>
      <c r="D84" s="320" t="s">
        <v>1055</v>
      </c>
      <c r="E84" s="320">
        <v>2015</v>
      </c>
      <c r="F84" s="404">
        <v>2277943</v>
      </c>
      <c r="G84" s="676">
        <v>25316109</v>
      </c>
      <c r="H84" s="676">
        <v>14595856</v>
      </c>
      <c r="I84" s="676">
        <v>8328396</v>
      </c>
      <c r="J84" s="676">
        <v>15178522</v>
      </c>
      <c r="K84" s="676">
        <v>15519107</v>
      </c>
      <c r="L84" s="676">
        <v>5578336</v>
      </c>
      <c r="M84" s="676">
        <v>43972172</v>
      </c>
      <c r="N84" s="676">
        <v>18446191</v>
      </c>
      <c r="O84" s="676">
        <v>1577217</v>
      </c>
      <c r="P84" s="676">
        <v>6001474</v>
      </c>
      <c r="Q84" s="676">
        <v>25796818</v>
      </c>
      <c r="R84" s="676">
        <v>9811585</v>
      </c>
      <c r="S84" s="676">
        <v>4499440</v>
      </c>
      <c r="T84" s="676">
        <v>21496848</v>
      </c>
      <c r="U84" s="676">
        <v>1105331000</v>
      </c>
      <c r="V84" s="676">
        <v>4300648</v>
      </c>
      <c r="W84" s="676">
        <v>18462357</v>
      </c>
      <c r="X84" s="676">
        <v>50078804.75</v>
      </c>
      <c r="Y84" s="676">
        <v>5962854</v>
      </c>
      <c r="Z84" s="676">
        <v>224344485</v>
      </c>
      <c r="AA84" s="676">
        <v>26388373</v>
      </c>
      <c r="AB84" s="676">
        <v>760175805</v>
      </c>
      <c r="AC84" s="676">
        <v>2971266.43</v>
      </c>
      <c r="AD84" s="676">
        <v>30707003</v>
      </c>
      <c r="AE84" s="676">
        <v>52262208</v>
      </c>
      <c r="AF84" s="676">
        <v>241474226</v>
      </c>
      <c r="AG84" s="676">
        <v>20240298</v>
      </c>
      <c r="AH84" s="676">
        <v>22263788</v>
      </c>
      <c r="AI84" s="676">
        <v>1863950</v>
      </c>
      <c r="AJ84" s="676">
        <v>947343</v>
      </c>
      <c r="AK84" s="676">
        <v>68788618</v>
      </c>
      <c r="AL84" s="676">
        <v>2831590</v>
      </c>
      <c r="AM84" s="676">
        <v>18427836</v>
      </c>
      <c r="AN84" s="676">
        <v>3498057000</v>
      </c>
      <c r="AO84" s="676">
        <v>98053100</v>
      </c>
      <c r="AP84" s="676">
        <v>6677731</v>
      </c>
      <c r="AQ84" s="676">
        <v>28917004</v>
      </c>
      <c r="AR84" s="676">
        <v>3683908</v>
      </c>
      <c r="AS84" s="676">
        <v>513467</v>
      </c>
      <c r="AT84" s="676">
        <v>86789152.040000007</v>
      </c>
      <c r="AU84" s="676">
        <v>-1539399</v>
      </c>
      <c r="AV84" s="676">
        <v>5746037</v>
      </c>
      <c r="AW84" s="676">
        <v>1326358</v>
      </c>
      <c r="AX84" s="676">
        <v>43513231</v>
      </c>
      <c r="AY84" s="676">
        <v>2269353</v>
      </c>
      <c r="AZ84" s="676">
        <v>2336224</v>
      </c>
      <c r="BA84" s="676">
        <v>40126899</v>
      </c>
      <c r="BB84" s="676">
        <v>15951348</v>
      </c>
      <c r="BC84" s="676">
        <v>13219378</v>
      </c>
      <c r="BD84" s="676">
        <v>599663657</v>
      </c>
      <c r="BE84" s="676">
        <v>21567679.649999999</v>
      </c>
      <c r="BF84" s="676">
        <v>230078000</v>
      </c>
      <c r="BG84" s="676">
        <v>3809419000</v>
      </c>
      <c r="BH84" s="676">
        <v>2586993000</v>
      </c>
      <c r="BI84" s="676">
        <v>955161376</v>
      </c>
      <c r="BJ84" s="676">
        <v>36374697</v>
      </c>
      <c r="BK84" s="676">
        <v>5966353</v>
      </c>
      <c r="BL84" s="676">
        <v>52971719</v>
      </c>
      <c r="BM84" s="676">
        <v>842353000</v>
      </c>
      <c r="BN84" s="676">
        <v>27640133</v>
      </c>
      <c r="BO84" s="676">
        <v>4292834</v>
      </c>
      <c r="BP84" s="676">
        <v>2773605</v>
      </c>
      <c r="BQ84" s="676">
        <v>3214052</v>
      </c>
      <c r="BR84" s="676">
        <v>3105469</v>
      </c>
      <c r="BS84" s="676">
        <v>14185805</v>
      </c>
      <c r="BT84" s="676">
        <v>317512575</v>
      </c>
      <c r="BU84" s="676">
        <v>1723827</v>
      </c>
      <c r="BV84" s="676">
        <v>593587958</v>
      </c>
      <c r="BW84" s="676">
        <v>449833834</v>
      </c>
      <c r="BX84" s="676">
        <v>71533387</v>
      </c>
      <c r="BY84" s="676">
        <v>1594385</v>
      </c>
      <c r="BZ84" s="676">
        <v>646317000</v>
      </c>
      <c r="CA84" s="676">
        <v>20596908.82</v>
      </c>
      <c r="CB84" s="676">
        <v>31426009.420000002</v>
      </c>
      <c r="CC84" s="676">
        <v>341144000</v>
      </c>
      <c r="CD84" s="676">
        <v>2781125</v>
      </c>
      <c r="CE84" s="676">
        <v>1648189000</v>
      </c>
      <c r="CF84" s="676">
        <v>117003000</v>
      </c>
      <c r="CG84" s="676">
        <v>149165000</v>
      </c>
    </row>
    <row r="85" spans="1:85" x14ac:dyDescent="0.25">
      <c r="A85" s="320" t="s">
        <v>1056</v>
      </c>
      <c r="B85" s="320" t="s">
        <v>1391</v>
      </c>
      <c r="C85" s="320" t="s">
        <v>1392</v>
      </c>
      <c r="D85" s="320" t="s">
        <v>1057</v>
      </c>
      <c r="E85" s="320">
        <v>2015</v>
      </c>
      <c r="F85" s="404">
        <v>2279939</v>
      </c>
      <c r="G85" s="676">
        <v>24391887</v>
      </c>
      <c r="H85" s="676">
        <v>11449352</v>
      </c>
      <c r="I85" s="676">
        <v>8861312</v>
      </c>
      <c r="J85" s="676">
        <v>33194</v>
      </c>
      <c r="K85" s="676">
        <v>15122000</v>
      </c>
      <c r="L85" s="676">
        <v>35053200</v>
      </c>
      <c r="M85" s="676">
        <v>33193</v>
      </c>
      <c r="N85" s="676">
        <v>331940</v>
      </c>
      <c r="O85" s="676">
        <v>13280</v>
      </c>
      <c r="P85" s="676">
        <v>1891689</v>
      </c>
      <c r="Q85" s="676">
        <v>18240770</v>
      </c>
      <c r="R85" s="676">
        <v>7000000</v>
      </c>
      <c r="S85" s="676">
        <v>363474</v>
      </c>
      <c r="T85" s="676">
        <v>17285949</v>
      </c>
      <c r="U85" s="676">
        <v>282929000</v>
      </c>
      <c r="V85" s="676">
        <v>99600</v>
      </c>
      <c r="W85" s="676">
        <v>16331570</v>
      </c>
      <c r="X85" s="676">
        <v>56115794.93</v>
      </c>
      <c r="Y85" s="676">
        <v>299000</v>
      </c>
      <c r="Z85" s="676">
        <v>36446940</v>
      </c>
      <c r="AA85" s="676">
        <v>27624840</v>
      </c>
      <c r="AB85" s="676">
        <v>743214715</v>
      </c>
      <c r="AC85" s="676">
        <v>6250076.2699999996</v>
      </c>
      <c r="AD85" s="676">
        <v>31337531</v>
      </c>
      <c r="AE85" s="676">
        <v>31140890</v>
      </c>
      <c r="AF85" s="676">
        <v>292427637</v>
      </c>
      <c r="AG85" s="676">
        <v>24381219</v>
      </c>
      <c r="AH85" s="676">
        <v>19830792</v>
      </c>
      <c r="AI85" s="676">
        <v>1423692</v>
      </c>
      <c r="AJ85" s="676">
        <v>2996152</v>
      </c>
      <c r="AK85" s="676">
        <v>54821494</v>
      </c>
      <c r="AL85" s="676">
        <v>1000000</v>
      </c>
      <c r="AM85" s="676">
        <v>14300000</v>
      </c>
      <c r="AN85" s="676">
        <v>3135587000</v>
      </c>
      <c r="AO85" s="676">
        <v>94267130</v>
      </c>
      <c r="AP85" s="676">
        <v>1116516</v>
      </c>
      <c r="AQ85" s="676">
        <v>22483007</v>
      </c>
      <c r="AR85" s="676">
        <v>5227900</v>
      </c>
      <c r="AS85" s="676">
        <v>25000</v>
      </c>
      <c r="AT85" s="676">
        <v>82302692.700000003</v>
      </c>
      <c r="AU85" s="676">
        <v>25000</v>
      </c>
      <c r="AV85" s="676">
        <v>4286464</v>
      </c>
      <c r="AW85" s="676">
        <v>2794444</v>
      </c>
      <c r="AX85" s="676">
        <v>33200</v>
      </c>
      <c r="AY85" s="676">
        <v>25000</v>
      </c>
      <c r="AZ85" s="676">
        <v>1890149</v>
      </c>
      <c r="BA85" s="676">
        <v>28834012</v>
      </c>
      <c r="BB85" s="676">
        <v>6639</v>
      </c>
      <c r="BC85" s="676">
        <v>11045035</v>
      </c>
      <c r="BD85" s="676">
        <v>105000000</v>
      </c>
      <c r="BE85" s="676">
        <v>1660000</v>
      </c>
      <c r="BF85" s="676">
        <v>214300000</v>
      </c>
      <c r="BG85" s="676">
        <v>1269296000</v>
      </c>
      <c r="BH85" s="676">
        <v>885062000</v>
      </c>
      <c r="BI85" s="676">
        <v>1047939064</v>
      </c>
      <c r="BJ85" s="676">
        <v>70625</v>
      </c>
      <c r="BK85" s="676">
        <v>5669494</v>
      </c>
      <c r="BL85" s="676">
        <v>50364400</v>
      </c>
      <c r="BM85" s="676">
        <v>116754000</v>
      </c>
      <c r="BN85" s="676">
        <v>18442212</v>
      </c>
      <c r="BO85" s="676">
        <v>589325</v>
      </c>
      <c r="BP85" s="676">
        <v>2049293</v>
      </c>
      <c r="BQ85" s="676">
        <v>7212508</v>
      </c>
      <c r="BR85" s="676">
        <v>2563703</v>
      </c>
      <c r="BS85" s="676">
        <v>365133</v>
      </c>
      <c r="BT85" s="676">
        <v>130850748</v>
      </c>
      <c r="BU85" s="676">
        <v>7500000</v>
      </c>
      <c r="BV85" s="676">
        <v>564296621</v>
      </c>
      <c r="BW85" s="676">
        <v>307406758</v>
      </c>
      <c r="BX85" s="676">
        <v>69711456</v>
      </c>
      <c r="BY85" s="676">
        <v>2080927</v>
      </c>
      <c r="BZ85" s="676">
        <v>111618000</v>
      </c>
      <c r="CA85" s="676">
        <v>9866855.9600000009</v>
      </c>
      <c r="CB85" s="676">
        <v>24126906.27</v>
      </c>
      <c r="CC85" s="676">
        <v>196969000</v>
      </c>
      <c r="CD85" s="676">
        <v>2777752</v>
      </c>
      <c r="CE85" s="676">
        <v>760234000</v>
      </c>
      <c r="CF85" s="676">
        <v>401646000</v>
      </c>
      <c r="CG85" s="676">
        <v>212441000</v>
      </c>
    </row>
    <row r="86" spans="1:85" x14ac:dyDescent="0.25">
      <c r="A86" s="320" t="s">
        <v>870</v>
      </c>
      <c r="B86" s="320" t="s">
        <v>1058</v>
      </c>
      <c r="C86" s="320"/>
      <c r="D86" s="320" t="s">
        <v>1059</v>
      </c>
      <c r="E86" s="320">
        <v>2015</v>
      </c>
      <c r="F86" s="404">
        <v>2279939</v>
      </c>
      <c r="G86" s="676">
        <v>24369425</v>
      </c>
      <c r="H86" s="676">
        <v>11449352</v>
      </c>
      <c r="I86" s="676">
        <v>8861312</v>
      </c>
      <c r="J86" s="676">
        <v>33194</v>
      </c>
      <c r="K86" s="676">
        <v>15122000</v>
      </c>
      <c r="L86" s="676">
        <v>35053200</v>
      </c>
      <c r="M86" s="676">
        <v>33193</v>
      </c>
      <c r="N86" s="676">
        <v>331940</v>
      </c>
      <c r="O86" s="676">
        <v>13280</v>
      </c>
      <c r="P86" s="676">
        <v>1891689</v>
      </c>
      <c r="Q86" s="676">
        <v>18240770</v>
      </c>
      <c r="R86" s="676">
        <v>7000000</v>
      </c>
      <c r="S86" s="676">
        <v>363474</v>
      </c>
      <c r="T86" s="676">
        <v>17285949</v>
      </c>
      <c r="U86" s="676">
        <v>282929000</v>
      </c>
      <c r="V86" s="676">
        <v>99600</v>
      </c>
      <c r="W86" s="676">
        <v>16331570</v>
      </c>
      <c r="X86" s="676">
        <v>62358369.479999997</v>
      </c>
      <c r="Y86" s="676">
        <v>299000</v>
      </c>
      <c r="Z86" s="676">
        <v>36446940</v>
      </c>
      <c r="AA86" s="676">
        <v>27618580</v>
      </c>
      <c r="AB86" s="676">
        <v>741599039</v>
      </c>
      <c r="AC86" s="676">
        <v>6250076.2699999996</v>
      </c>
      <c r="AD86" s="676">
        <v>31337531</v>
      </c>
      <c r="AE86" s="676">
        <v>31140890</v>
      </c>
      <c r="AF86" s="676">
        <v>292427637</v>
      </c>
      <c r="AG86" s="676">
        <v>24381219</v>
      </c>
      <c r="AH86" s="676">
        <v>19830792</v>
      </c>
      <c r="AI86" s="676">
        <v>1423692</v>
      </c>
      <c r="AJ86" s="676">
        <v>2996152</v>
      </c>
      <c r="AK86" s="676">
        <v>54821494</v>
      </c>
      <c r="AL86" s="676">
        <v>1000000</v>
      </c>
      <c r="AM86" s="676">
        <v>14300000</v>
      </c>
      <c r="AN86" s="676">
        <v>3135587000</v>
      </c>
      <c r="AO86" s="676">
        <v>94267112</v>
      </c>
      <c r="AP86" s="676">
        <v>1116516</v>
      </c>
      <c r="AQ86" s="676">
        <v>22483007</v>
      </c>
      <c r="AR86" s="676">
        <v>5209313</v>
      </c>
      <c r="AS86" s="676">
        <v>25000</v>
      </c>
      <c r="AT86" s="676">
        <v>82302692.700000003</v>
      </c>
      <c r="AU86" s="676">
        <v>25000</v>
      </c>
      <c r="AV86" s="676">
        <v>4286464</v>
      </c>
      <c r="AW86" s="676">
        <v>2794444</v>
      </c>
      <c r="AX86" s="676">
        <v>33200</v>
      </c>
      <c r="AY86" s="676">
        <v>25000</v>
      </c>
      <c r="AZ86" s="676">
        <v>2077644</v>
      </c>
      <c r="BA86" s="676">
        <v>28834012</v>
      </c>
      <c r="BB86" s="676">
        <v>6639</v>
      </c>
      <c r="BC86" s="676">
        <v>11045035</v>
      </c>
      <c r="BD86" s="676">
        <v>105000000</v>
      </c>
      <c r="BE86" s="676">
        <v>1660000</v>
      </c>
      <c r="BF86" s="676">
        <v>214300000</v>
      </c>
      <c r="BG86" s="676">
        <v>1269296000</v>
      </c>
      <c r="BH86" s="676">
        <v>885062000</v>
      </c>
      <c r="BI86" s="676">
        <v>890744376</v>
      </c>
      <c r="BJ86" s="676">
        <v>70625</v>
      </c>
      <c r="BK86" s="676">
        <v>5669494</v>
      </c>
      <c r="BL86" s="676">
        <v>50364400</v>
      </c>
      <c r="BM86" s="676">
        <v>116754000</v>
      </c>
      <c r="BN86" s="676">
        <v>18442212</v>
      </c>
      <c r="BO86" s="676">
        <v>589325</v>
      </c>
      <c r="BP86" s="676">
        <v>2049293</v>
      </c>
      <c r="BQ86" s="676">
        <v>7212508</v>
      </c>
      <c r="BR86" s="676">
        <v>2563703</v>
      </c>
      <c r="BS86" s="676">
        <v>365133</v>
      </c>
      <c r="BT86" s="676">
        <v>130850748</v>
      </c>
      <c r="BU86" s="676">
        <v>7500000</v>
      </c>
      <c r="BV86" s="676">
        <v>564296621</v>
      </c>
      <c r="BW86" s="676">
        <v>307406758</v>
      </c>
      <c r="BX86" s="676">
        <v>20906857</v>
      </c>
      <c r="BY86" s="676">
        <v>2080927</v>
      </c>
      <c r="BZ86" s="676">
        <v>111618000</v>
      </c>
      <c r="CA86" s="676">
        <v>9866855.9600000009</v>
      </c>
      <c r="CB86" s="676">
        <v>24126906.27</v>
      </c>
      <c r="CC86" s="676">
        <v>196969000</v>
      </c>
      <c r="CD86" s="676">
        <v>2777752</v>
      </c>
      <c r="CE86" s="676">
        <v>760234000</v>
      </c>
      <c r="CF86" s="676">
        <v>401646000</v>
      </c>
      <c r="CG86" s="676">
        <v>212441000</v>
      </c>
    </row>
    <row r="87" spans="1:85" x14ac:dyDescent="0.25">
      <c r="A87" s="320" t="s">
        <v>1060</v>
      </c>
      <c r="B87" s="320" t="s">
        <v>1061</v>
      </c>
      <c r="C87" s="320"/>
      <c r="D87" s="320" t="s">
        <v>1062</v>
      </c>
      <c r="E87" s="320">
        <v>2015</v>
      </c>
      <c r="F87" s="404"/>
      <c r="G87" s="676">
        <v>22462</v>
      </c>
      <c r="H87" s="676"/>
      <c r="I87" s="676"/>
      <c r="J87" s="676"/>
      <c r="K87" s="676"/>
      <c r="L87" s="676"/>
      <c r="M87" s="676"/>
      <c r="N87" s="676"/>
      <c r="O87" s="676"/>
      <c r="P87" s="676"/>
      <c r="Q87" s="676"/>
      <c r="R87" s="676"/>
      <c r="S87" s="676"/>
      <c r="T87" s="676"/>
      <c r="U87" s="676"/>
      <c r="V87" s="676"/>
      <c r="W87" s="676"/>
      <c r="X87" s="676">
        <v>-6242574.5499999998</v>
      </c>
      <c r="Y87" s="676"/>
      <c r="Z87" s="676">
        <v>0</v>
      </c>
      <c r="AA87" s="676">
        <v>6260</v>
      </c>
      <c r="AB87" s="676">
        <v>1615676</v>
      </c>
      <c r="AC87" s="676">
        <v>0</v>
      </c>
      <c r="AD87" s="676"/>
      <c r="AE87" s="676"/>
      <c r="AF87" s="676"/>
      <c r="AG87" s="676"/>
      <c r="AH87" s="676"/>
      <c r="AI87" s="676"/>
      <c r="AJ87" s="676"/>
      <c r="AK87" s="676"/>
      <c r="AL87" s="676"/>
      <c r="AM87" s="676"/>
      <c r="AN87" s="676"/>
      <c r="AO87" s="676">
        <v>18</v>
      </c>
      <c r="AP87" s="676"/>
      <c r="AQ87" s="676">
        <v>0</v>
      </c>
      <c r="AR87" s="676">
        <v>18587</v>
      </c>
      <c r="AS87" s="676"/>
      <c r="AT87" s="676">
        <v>0</v>
      </c>
      <c r="AU87" s="676"/>
      <c r="AV87" s="676"/>
      <c r="AW87" s="676"/>
      <c r="AX87" s="676"/>
      <c r="AY87" s="676"/>
      <c r="AZ87" s="676">
        <v>-187495</v>
      </c>
      <c r="BA87" s="676"/>
      <c r="BB87" s="676"/>
      <c r="BC87" s="676"/>
      <c r="BD87" s="676"/>
      <c r="BE87" s="676">
        <v>0</v>
      </c>
      <c r="BF87" s="676"/>
      <c r="BG87" s="676"/>
      <c r="BH87" s="676"/>
      <c r="BI87" s="676">
        <v>157194688</v>
      </c>
      <c r="BJ87" s="676"/>
      <c r="BK87" s="676"/>
      <c r="BL87" s="676"/>
      <c r="BM87" s="676"/>
      <c r="BN87" s="676">
        <v>0</v>
      </c>
      <c r="BO87" s="676"/>
      <c r="BP87" s="676"/>
      <c r="BQ87" s="676"/>
      <c r="BR87" s="676"/>
      <c r="BS87" s="676"/>
      <c r="BT87" s="676"/>
      <c r="BU87" s="676"/>
      <c r="BV87" s="676"/>
      <c r="BW87" s="676"/>
      <c r="BX87" s="676">
        <v>48804599</v>
      </c>
      <c r="BY87" s="676"/>
      <c r="BZ87" s="676"/>
      <c r="CA87" s="676"/>
      <c r="CB87" s="676">
        <v>0</v>
      </c>
      <c r="CC87" s="676"/>
      <c r="CD87" s="676"/>
      <c r="CE87" s="676"/>
      <c r="CF87" s="676"/>
      <c r="CG87" s="676"/>
    </row>
    <row r="88" spans="1:85" x14ac:dyDescent="0.25">
      <c r="A88" s="320" t="s">
        <v>1063</v>
      </c>
      <c r="B88" s="320" t="s">
        <v>1064</v>
      </c>
      <c r="C88" s="320"/>
      <c r="D88" s="320" t="s">
        <v>1065</v>
      </c>
      <c r="E88" s="320">
        <v>2015</v>
      </c>
      <c r="F88" s="404"/>
      <c r="G88" s="676"/>
      <c r="H88" s="676"/>
      <c r="I88" s="676"/>
      <c r="J88" s="676"/>
      <c r="K88" s="676"/>
      <c r="L88" s="676"/>
      <c r="M88" s="676"/>
      <c r="N88" s="676"/>
      <c r="O88" s="676"/>
      <c r="P88" s="676"/>
      <c r="Q88" s="676"/>
      <c r="R88" s="676"/>
      <c r="S88" s="676"/>
      <c r="T88" s="676"/>
      <c r="U88" s="676"/>
      <c r="V88" s="676"/>
      <c r="W88" s="676"/>
      <c r="X88" s="676">
        <v>0</v>
      </c>
      <c r="Y88" s="676"/>
      <c r="Z88" s="676">
        <v>0</v>
      </c>
      <c r="AA88" s="676"/>
      <c r="AB88" s="676"/>
      <c r="AC88" s="676">
        <v>0</v>
      </c>
      <c r="AD88" s="676"/>
      <c r="AE88" s="676"/>
      <c r="AF88" s="676"/>
      <c r="AG88" s="676"/>
      <c r="AH88" s="676"/>
      <c r="AI88" s="676"/>
      <c r="AJ88" s="676"/>
      <c r="AK88" s="676"/>
      <c r="AL88" s="676"/>
      <c r="AM88" s="676"/>
      <c r="AN88" s="676"/>
      <c r="AO88" s="676"/>
      <c r="AP88" s="676"/>
      <c r="AQ88" s="676">
        <v>0</v>
      </c>
      <c r="AR88" s="676"/>
      <c r="AS88" s="676"/>
      <c r="AT88" s="676">
        <v>0</v>
      </c>
      <c r="AU88" s="676"/>
      <c r="AV88" s="676"/>
      <c r="AW88" s="676"/>
      <c r="AX88" s="676"/>
      <c r="AY88" s="676"/>
      <c r="AZ88" s="676">
        <v>0</v>
      </c>
      <c r="BA88" s="676"/>
      <c r="BB88" s="676"/>
      <c r="BC88" s="676"/>
      <c r="BD88" s="676"/>
      <c r="BE88" s="676">
        <v>0</v>
      </c>
      <c r="BF88" s="676"/>
      <c r="BG88" s="676"/>
      <c r="BH88" s="676"/>
      <c r="BI88" s="676"/>
      <c r="BJ88" s="676"/>
      <c r="BK88" s="676"/>
      <c r="BL88" s="676"/>
      <c r="BM88" s="676"/>
      <c r="BN88" s="676">
        <v>0</v>
      </c>
      <c r="BO88" s="676"/>
      <c r="BP88" s="676"/>
      <c r="BQ88" s="676"/>
      <c r="BR88" s="676"/>
      <c r="BS88" s="676"/>
      <c r="BT88" s="676"/>
      <c r="BU88" s="676"/>
      <c r="BV88" s="676"/>
      <c r="BW88" s="676"/>
      <c r="BX88" s="676"/>
      <c r="BY88" s="676"/>
      <c r="BZ88" s="676"/>
      <c r="CA88" s="676"/>
      <c r="CB88" s="676">
        <v>0</v>
      </c>
      <c r="CC88" s="676"/>
      <c r="CD88" s="676"/>
      <c r="CE88" s="676"/>
      <c r="CF88" s="676"/>
      <c r="CG88" s="676"/>
    </row>
    <row r="89" spans="1:85" x14ac:dyDescent="0.25">
      <c r="A89" s="320" t="s">
        <v>1066</v>
      </c>
      <c r="B89" s="320" t="s">
        <v>1067</v>
      </c>
      <c r="C89" s="320"/>
      <c r="D89" s="320" t="s">
        <v>1068</v>
      </c>
      <c r="E89" s="320">
        <v>2015</v>
      </c>
      <c r="F89" s="404"/>
      <c r="G89" s="676"/>
      <c r="H89" s="676"/>
      <c r="I89" s="676"/>
      <c r="J89" s="676"/>
      <c r="K89" s="676"/>
      <c r="L89" s="676"/>
      <c r="M89" s="676"/>
      <c r="N89" s="676"/>
      <c r="O89" s="676"/>
      <c r="P89" s="676"/>
      <c r="Q89" s="676"/>
      <c r="R89" s="676"/>
      <c r="S89" s="676"/>
      <c r="T89" s="676"/>
      <c r="U89" s="676"/>
      <c r="V89" s="676"/>
      <c r="W89" s="676"/>
      <c r="X89" s="676">
        <v>0</v>
      </c>
      <c r="Y89" s="676"/>
      <c r="Z89" s="676">
        <v>0</v>
      </c>
      <c r="AA89" s="676"/>
      <c r="AB89" s="676"/>
      <c r="AC89" s="676">
        <v>0</v>
      </c>
      <c r="AD89" s="676"/>
      <c r="AE89" s="676"/>
      <c r="AF89" s="676"/>
      <c r="AG89" s="676"/>
      <c r="AH89" s="676"/>
      <c r="AI89" s="676"/>
      <c r="AJ89" s="676"/>
      <c r="AK89" s="676"/>
      <c r="AL89" s="676"/>
      <c r="AM89" s="676"/>
      <c r="AN89" s="676"/>
      <c r="AO89" s="676"/>
      <c r="AP89" s="676"/>
      <c r="AQ89" s="676">
        <v>0</v>
      </c>
      <c r="AR89" s="676"/>
      <c r="AS89" s="676"/>
      <c r="AT89" s="676">
        <v>0</v>
      </c>
      <c r="AU89" s="676"/>
      <c r="AV89" s="676"/>
      <c r="AW89" s="676"/>
      <c r="AX89" s="676">
        <v>3319</v>
      </c>
      <c r="AY89" s="676"/>
      <c r="AZ89" s="676">
        <v>0</v>
      </c>
      <c r="BA89" s="676"/>
      <c r="BB89" s="676"/>
      <c r="BC89" s="676"/>
      <c r="BD89" s="676"/>
      <c r="BE89" s="676">
        <v>0</v>
      </c>
      <c r="BF89" s="676"/>
      <c r="BG89" s="676"/>
      <c r="BH89" s="676"/>
      <c r="BI89" s="676"/>
      <c r="BJ89" s="676">
        <v>28241875</v>
      </c>
      <c r="BK89" s="676"/>
      <c r="BL89" s="676">
        <v>631229</v>
      </c>
      <c r="BM89" s="676"/>
      <c r="BN89" s="676">
        <v>0</v>
      </c>
      <c r="BO89" s="676"/>
      <c r="BP89" s="676">
        <v>133786</v>
      </c>
      <c r="BQ89" s="676"/>
      <c r="BR89" s="676"/>
      <c r="BS89" s="676"/>
      <c r="BT89" s="676"/>
      <c r="BU89" s="676"/>
      <c r="BV89" s="676"/>
      <c r="BW89" s="676"/>
      <c r="BX89" s="676"/>
      <c r="BY89" s="676"/>
      <c r="BZ89" s="676"/>
      <c r="CA89" s="676"/>
      <c r="CB89" s="676">
        <v>0</v>
      </c>
      <c r="CC89" s="676"/>
      <c r="CD89" s="676"/>
      <c r="CE89" s="676"/>
      <c r="CF89" s="676"/>
      <c r="CG89" s="676"/>
    </row>
    <row r="90" spans="1:85" x14ac:dyDescent="0.25">
      <c r="A90" s="320" t="s">
        <v>920</v>
      </c>
      <c r="B90" s="320" t="s">
        <v>1069</v>
      </c>
      <c r="C90" s="320"/>
      <c r="D90" s="320" t="s">
        <v>1070</v>
      </c>
      <c r="E90" s="320">
        <v>2015</v>
      </c>
      <c r="F90" s="404"/>
      <c r="G90" s="676"/>
      <c r="H90" s="676">
        <v>4680</v>
      </c>
      <c r="I90" s="676"/>
      <c r="J90" s="676">
        <v>10215000</v>
      </c>
      <c r="K90" s="676"/>
      <c r="L90" s="676"/>
      <c r="M90" s="676"/>
      <c r="N90" s="676">
        <v>22000000</v>
      </c>
      <c r="O90" s="676">
        <v>14425</v>
      </c>
      <c r="P90" s="676"/>
      <c r="Q90" s="676"/>
      <c r="R90" s="676"/>
      <c r="S90" s="676"/>
      <c r="T90" s="676">
        <v>105276</v>
      </c>
      <c r="U90" s="676">
        <v>52379000</v>
      </c>
      <c r="V90" s="676"/>
      <c r="W90" s="676"/>
      <c r="X90" s="676">
        <v>0</v>
      </c>
      <c r="Y90" s="676"/>
      <c r="Z90" s="676">
        <v>0</v>
      </c>
      <c r="AA90" s="676">
        <v>344784</v>
      </c>
      <c r="AB90" s="676">
        <v>353161</v>
      </c>
      <c r="AC90" s="676">
        <v>0</v>
      </c>
      <c r="AD90" s="676">
        <v>7675</v>
      </c>
      <c r="AE90" s="676">
        <v>14807944</v>
      </c>
      <c r="AF90" s="676"/>
      <c r="AG90" s="676"/>
      <c r="AH90" s="676"/>
      <c r="AI90" s="676"/>
      <c r="AJ90" s="676"/>
      <c r="AK90" s="676"/>
      <c r="AL90" s="676"/>
      <c r="AM90" s="676">
        <v>97288</v>
      </c>
      <c r="AN90" s="676"/>
      <c r="AO90" s="676">
        <v>4999804</v>
      </c>
      <c r="AP90" s="676">
        <v>1512402</v>
      </c>
      <c r="AQ90" s="676">
        <v>0</v>
      </c>
      <c r="AR90" s="676">
        <v>300000</v>
      </c>
      <c r="AS90" s="676">
        <v>186738</v>
      </c>
      <c r="AT90" s="676">
        <v>0</v>
      </c>
      <c r="AU90" s="676"/>
      <c r="AV90" s="676"/>
      <c r="AW90" s="676">
        <v>5226</v>
      </c>
      <c r="AX90" s="676"/>
      <c r="AY90" s="676"/>
      <c r="AZ90" s="676">
        <v>0</v>
      </c>
      <c r="BA90" s="676"/>
      <c r="BB90" s="676"/>
      <c r="BC90" s="676">
        <v>10235</v>
      </c>
      <c r="BD90" s="676"/>
      <c r="BE90" s="676">
        <v>0</v>
      </c>
      <c r="BF90" s="676">
        <v>2167000</v>
      </c>
      <c r="BG90" s="676"/>
      <c r="BH90" s="676"/>
      <c r="BI90" s="676"/>
      <c r="BJ90" s="676">
        <v>5949523</v>
      </c>
      <c r="BK90" s="676">
        <v>5214</v>
      </c>
      <c r="BL90" s="676"/>
      <c r="BM90" s="676">
        <v>2324000</v>
      </c>
      <c r="BN90" s="676">
        <v>341724</v>
      </c>
      <c r="BO90" s="676">
        <v>100231</v>
      </c>
      <c r="BP90" s="676"/>
      <c r="BQ90" s="676">
        <v>611634</v>
      </c>
      <c r="BR90" s="676">
        <v>106922</v>
      </c>
      <c r="BS90" s="676"/>
      <c r="BT90" s="676">
        <v>10071621</v>
      </c>
      <c r="BU90" s="676"/>
      <c r="BV90" s="676"/>
      <c r="BW90" s="676">
        <v>147142265</v>
      </c>
      <c r="BX90" s="676"/>
      <c r="BY90" s="676">
        <v>789537</v>
      </c>
      <c r="BZ90" s="676">
        <v>12946000</v>
      </c>
      <c r="CA90" s="676"/>
      <c r="CB90" s="676">
        <v>0</v>
      </c>
      <c r="CC90" s="676"/>
      <c r="CD90" s="676"/>
      <c r="CE90" s="676">
        <v>496451000</v>
      </c>
      <c r="CF90" s="676"/>
      <c r="CG90" s="676">
        <v>-33622000</v>
      </c>
    </row>
    <row r="91" spans="1:85" x14ac:dyDescent="0.25">
      <c r="A91" s="320" t="s">
        <v>1071</v>
      </c>
      <c r="B91" s="320" t="s">
        <v>1393</v>
      </c>
      <c r="C91" s="320" t="s">
        <v>1394</v>
      </c>
      <c r="D91" s="320" t="s">
        <v>1072</v>
      </c>
      <c r="E91" s="320">
        <v>2015</v>
      </c>
      <c r="F91" s="404"/>
      <c r="G91" s="676">
        <v>57399</v>
      </c>
      <c r="H91" s="676">
        <v>991124</v>
      </c>
      <c r="I91" s="676">
        <v>658544</v>
      </c>
      <c r="J91" s="676">
        <v>3319</v>
      </c>
      <c r="K91" s="676">
        <v>395113</v>
      </c>
      <c r="L91" s="676">
        <v>2462</v>
      </c>
      <c r="M91" s="676">
        <v>6639</v>
      </c>
      <c r="N91" s="676">
        <v>33194</v>
      </c>
      <c r="O91" s="676">
        <v>111090</v>
      </c>
      <c r="P91" s="676">
        <v>199980</v>
      </c>
      <c r="Q91" s="676">
        <v>11201963</v>
      </c>
      <c r="R91" s="676">
        <v>84244</v>
      </c>
      <c r="S91" s="676">
        <v>194303</v>
      </c>
      <c r="T91" s="676">
        <v>1587884</v>
      </c>
      <c r="U91" s="676">
        <v>56586000</v>
      </c>
      <c r="V91" s="676">
        <v>9958</v>
      </c>
      <c r="W91" s="676">
        <v>2024528</v>
      </c>
      <c r="X91" s="676">
        <v>0</v>
      </c>
      <c r="Y91" s="676">
        <v>29900</v>
      </c>
      <c r="Z91" s="676">
        <v>8422685</v>
      </c>
      <c r="AA91" s="676">
        <v>190316</v>
      </c>
      <c r="AB91" s="676">
        <v>3460538</v>
      </c>
      <c r="AC91" s="676">
        <v>306182.88</v>
      </c>
      <c r="AD91" s="676">
        <v>22493651</v>
      </c>
      <c r="AE91" s="676">
        <v>4312681</v>
      </c>
      <c r="AF91" s="676">
        <v>354653</v>
      </c>
      <c r="AG91" s="676">
        <v>1525716</v>
      </c>
      <c r="AH91" s="676">
        <v>2143393</v>
      </c>
      <c r="AI91" s="676">
        <v>169357</v>
      </c>
      <c r="AJ91" s="676">
        <v>4578</v>
      </c>
      <c r="AK91" s="676">
        <v>2290600</v>
      </c>
      <c r="AL91" s="676">
        <v>170908</v>
      </c>
      <c r="AM91" s="676">
        <v>2949658</v>
      </c>
      <c r="AN91" s="676">
        <v>348014000</v>
      </c>
      <c r="AO91" s="676">
        <v>3940450</v>
      </c>
      <c r="AP91" s="676">
        <v>223303</v>
      </c>
      <c r="AQ91" s="676">
        <v>1669200</v>
      </c>
      <c r="AR91" s="676">
        <v>18989</v>
      </c>
      <c r="AS91" s="676">
        <v>5000</v>
      </c>
      <c r="AT91" s="676">
        <v>10585609.630000001</v>
      </c>
      <c r="AU91" s="676">
        <v>5000</v>
      </c>
      <c r="AV91" s="676">
        <v>1268803</v>
      </c>
      <c r="AW91" s="676">
        <v>78348</v>
      </c>
      <c r="AX91" s="676">
        <v>3320</v>
      </c>
      <c r="AY91" s="676">
        <v>5000</v>
      </c>
      <c r="AZ91" s="676">
        <v>104572</v>
      </c>
      <c r="BA91" s="676">
        <v>1872901</v>
      </c>
      <c r="BB91" s="676">
        <v>11496</v>
      </c>
      <c r="BC91" s="676">
        <v>1236284</v>
      </c>
      <c r="BD91" s="676">
        <v>16366275</v>
      </c>
      <c r="BE91" s="676">
        <v>18210279.649999999</v>
      </c>
      <c r="BF91" s="676"/>
      <c r="BG91" s="676"/>
      <c r="BH91" s="676">
        <v>1197677000</v>
      </c>
      <c r="BI91" s="676">
        <v>2156836</v>
      </c>
      <c r="BJ91" s="676">
        <v>14125</v>
      </c>
      <c r="BK91" s="676">
        <v>243429</v>
      </c>
      <c r="BL91" s="676">
        <v>860884</v>
      </c>
      <c r="BM91" s="676">
        <v>23351000</v>
      </c>
      <c r="BN91" s="676">
        <v>1660743</v>
      </c>
      <c r="BO91" s="676">
        <v>198950</v>
      </c>
      <c r="BP91" s="676">
        <v>284234</v>
      </c>
      <c r="BQ91" s="676">
        <v>819869</v>
      </c>
      <c r="BR91" s="676">
        <v>83488</v>
      </c>
      <c r="BS91" s="676">
        <v>1420193</v>
      </c>
      <c r="BT91" s="676">
        <v>26170150</v>
      </c>
      <c r="BU91" s="676"/>
      <c r="BV91" s="676">
        <v>27289196</v>
      </c>
      <c r="BW91" s="676">
        <v>16873535</v>
      </c>
      <c r="BX91" s="676">
        <v>401190</v>
      </c>
      <c r="BY91" s="676">
        <v>40165</v>
      </c>
      <c r="BZ91" s="676">
        <v>22339000</v>
      </c>
      <c r="CA91" s="676">
        <v>1467406.37</v>
      </c>
      <c r="CB91" s="676">
        <v>334622.94</v>
      </c>
      <c r="CC91" s="676">
        <v>39421000</v>
      </c>
      <c r="CD91" s="676"/>
      <c r="CE91" s="676">
        <v>21904000</v>
      </c>
      <c r="CF91" s="676">
        <v>26000</v>
      </c>
      <c r="CG91" s="676">
        <v>24118000</v>
      </c>
    </row>
    <row r="92" spans="1:85" x14ac:dyDescent="0.25">
      <c r="A92" s="320" t="s">
        <v>1073</v>
      </c>
      <c r="B92" s="320" t="s">
        <v>1074</v>
      </c>
      <c r="C92" s="320"/>
      <c r="D92" s="320" t="s">
        <v>1075</v>
      </c>
      <c r="E92" s="320">
        <v>2015</v>
      </c>
      <c r="F92" s="404"/>
      <c r="G92" s="676">
        <v>57399</v>
      </c>
      <c r="H92" s="676">
        <v>991124</v>
      </c>
      <c r="I92" s="676">
        <v>658544</v>
      </c>
      <c r="J92" s="676">
        <v>3319</v>
      </c>
      <c r="K92" s="676">
        <v>395113</v>
      </c>
      <c r="L92" s="676">
        <v>2462</v>
      </c>
      <c r="M92" s="676">
        <v>6639</v>
      </c>
      <c r="N92" s="676">
        <v>33194</v>
      </c>
      <c r="O92" s="676">
        <v>111090</v>
      </c>
      <c r="P92" s="676">
        <v>199980</v>
      </c>
      <c r="Q92" s="676">
        <v>11201963</v>
      </c>
      <c r="R92" s="676">
        <v>84244</v>
      </c>
      <c r="S92" s="676">
        <v>194303</v>
      </c>
      <c r="T92" s="676">
        <v>1587884</v>
      </c>
      <c r="U92" s="676">
        <v>56586000</v>
      </c>
      <c r="V92" s="676">
        <v>9958</v>
      </c>
      <c r="W92" s="676">
        <v>2024528</v>
      </c>
      <c r="X92" s="676">
        <v>0</v>
      </c>
      <c r="Y92" s="676">
        <v>29900</v>
      </c>
      <c r="Z92" s="676">
        <v>8422685</v>
      </c>
      <c r="AA92" s="676">
        <v>190316</v>
      </c>
      <c r="AB92" s="676">
        <v>3460538</v>
      </c>
      <c r="AC92" s="676">
        <v>306182.88</v>
      </c>
      <c r="AD92" s="676">
        <v>22493651</v>
      </c>
      <c r="AE92" s="676">
        <v>4312681</v>
      </c>
      <c r="AF92" s="676">
        <v>354653</v>
      </c>
      <c r="AG92" s="676">
        <v>1525716</v>
      </c>
      <c r="AH92" s="676">
        <v>2143393</v>
      </c>
      <c r="AI92" s="676">
        <v>169357</v>
      </c>
      <c r="AJ92" s="676">
        <v>4578</v>
      </c>
      <c r="AK92" s="676">
        <v>2290600</v>
      </c>
      <c r="AL92" s="676">
        <v>170908</v>
      </c>
      <c r="AM92" s="676">
        <v>2949658</v>
      </c>
      <c r="AN92" s="676"/>
      <c r="AO92" s="676">
        <v>3940450</v>
      </c>
      <c r="AP92" s="676">
        <v>223303</v>
      </c>
      <c r="AQ92" s="676">
        <v>1669200</v>
      </c>
      <c r="AR92" s="676">
        <v>18989</v>
      </c>
      <c r="AS92" s="676">
        <v>5000</v>
      </c>
      <c r="AT92" s="676">
        <v>10585609.630000001</v>
      </c>
      <c r="AU92" s="676">
        <v>5000</v>
      </c>
      <c r="AV92" s="676">
        <v>1268803</v>
      </c>
      <c r="AW92" s="676">
        <v>78348</v>
      </c>
      <c r="AX92" s="676">
        <v>3320</v>
      </c>
      <c r="AY92" s="676">
        <v>5000</v>
      </c>
      <c r="AZ92" s="676">
        <v>104572</v>
      </c>
      <c r="BA92" s="676">
        <v>1872901</v>
      </c>
      <c r="BB92" s="676">
        <v>11496</v>
      </c>
      <c r="BC92" s="676">
        <v>1236284</v>
      </c>
      <c r="BD92" s="676">
        <v>16366275</v>
      </c>
      <c r="BE92" s="676">
        <v>18210279.649999999</v>
      </c>
      <c r="BF92" s="676"/>
      <c r="BG92" s="676"/>
      <c r="BH92" s="676"/>
      <c r="BI92" s="676">
        <v>2156836</v>
      </c>
      <c r="BJ92" s="676">
        <v>14125</v>
      </c>
      <c r="BK92" s="676">
        <v>243429</v>
      </c>
      <c r="BL92" s="676">
        <v>860884</v>
      </c>
      <c r="BM92" s="676"/>
      <c r="BN92" s="676">
        <v>1660743</v>
      </c>
      <c r="BO92" s="676">
        <v>198950</v>
      </c>
      <c r="BP92" s="676">
        <v>284234</v>
      </c>
      <c r="BQ92" s="676">
        <v>819869</v>
      </c>
      <c r="BR92" s="676">
        <v>83488</v>
      </c>
      <c r="BS92" s="676">
        <v>1420193</v>
      </c>
      <c r="BT92" s="676">
        <v>26170150</v>
      </c>
      <c r="BU92" s="676"/>
      <c r="BV92" s="676">
        <v>27289196</v>
      </c>
      <c r="BW92" s="676">
        <v>16873535</v>
      </c>
      <c r="BX92" s="676">
        <v>401190</v>
      </c>
      <c r="BY92" s="676">
        <v>40165</v>
      </c>
      <c r="BZ92" s="676">
        <v>22339000</v>
      </c>
      <c r="CA92" s="676">
        <v>1467406.37</v>
      </c>
      <c r="CB92" s="676">
        <v>334622.94</v>
      </c>
      <c r="CC92" s="676"/>
      <c r="CD92" s="676"/>
      <c r="CE92" s="676">
        <v>21904000</v>
      </c>
      <c r="CF92" s="676"/>
      <c r="CG92" s="676">
        <v>24118000</v>
      </c>
    </row>
    <row r="93" spans="1:85" x14ac:dyDescent="0.25">
      <c r="A93" s="320" t="s">
        <v>1076</v>
      </c>
      <c r="B93" s="320" t="s">
        <v>1077</v>
      </c>
      <c r="C93" s="320"/>
      <c r="D93" s="320" t="s">
        <v>1078</v>
      </c>
      <c r="E93" s="320">
        <v>2015</v>
      </c>
      <c r="F93" s="404"/>
      <c r="G93" s="676"/>
      <c r="H93" s="676"/>
      <c r="I93" s="676"/>
      <c r="J93" s="676"/>
      <c r="K93" s="676"/>
      <c r="L93" s="676"/>
      <c r="M93" s="676"/>
      <c r="N93" s="676"/>
      <c r="O93" s="676"/>
      <c r="P93" s="676"/>
      <c r="Q93" s="676"/>
      <c r="R93" s="676"/>
      <c r="S93" s="676"/>
      <c r="T93" s="676"/>
      <c r="U93" s="676"/>
      <c r="V93" s="676"/>
      <c r="W93" s="676"/>
      <c r="X93" s="676">
        <v>0</v>
      </c>
      <c r="Y93" s="676"/>
      <c r="Z93" s="676">
        <v>0</v>
      </c>
      <c r="AA93" s="676"/>
      <c r="AB93" s="676"/>
      <c r="AC93" s="676">
        <v>0</v>
      </c>
      <c r="AD93" s="676"/>
      <c r="AE93" s="676"/>
      <c r="AF93" s="676"/>
      <c r="AG93" s="676"/>
      <c r="AH93" s="676"/>
      <c r="AI93" s="676"/>
      <c r="AJ93" s="676"/>
      <c r="AK93" s="676"/>
      <c r="AL93" s="676"/>
      <c r="AM93" s="676"/>
      <c r="AN93" s="676"/>
      <c r="AO93" s="676"/>
      <c r="AP93" s="676"/>
      <c r="AQ93" s="676">
        <v>0</v>
      </c>
      <c r="AR93" s="676"/>
      <c r="AS93" s="676"/>
      <c r="AT93" s="676">
        <v>0</v>
      </c>
      <c r="AU93" s="676"/>
      <c r="AV93" s="676"/>
      <c r="AW93" s="676"/>
      <c r="AX93" s="676"/>
      <c r="AY93" s="676"/>
      <c r="AZ93" s="676">
        <v>0</v>
      </c>
      <c r="BA93" s="676"/>
      <c r="BB93" s="676"/>
      <c r="BC93" s="676"/>
      <c r="BD93" s="676"/>
      <c r="BE93" s="676">
        <v>0</v>
      </c>
      <c r="BF93" s="676"/>
      <c r="BG93" s="676"/>
      <c r="BH93" s="676"/>
      <c r="BI93" s="676"/>
      <c r="BJ93" s="676"/>
      <c r="BK93" s="676"/>
      <c r="BL93" s="676"/>
      <c r="BM93" s="676"/>
      <c r="BN93" s="676">
        <v>0</v>
      </c>
      <c r="BO93" s="676"/>
      <c r="BP93" s="676"/>
      <c r="BQ93" s="676"/>
      <c r="BR93" s="676"/>
      <c r="BS93" s="676"/>
      <c r="BT93" s="676"/>
      <c r="BU93" s="676"/>
      <c r="BV93" s="676"/>
      <c r="BW93" s="676"/>
      <c r="BX93" s="676"/>
      <c r="BY93" s="676"/>
      <c r="BZ93" s="676"/>
      <c r="CA93" s="676"/>
      <c r="CB93" s="676">
        <v>0</v>
      </c>
      <c r="CC93" s="676"/>
      <c r="CD93" s="676"/>
      <c r="CE93" s="676"/>
      <c r="CF93" s="676"/>
      <c r="CG93" s="676"/>
    </row>
    <row r="94" spans="1:85" x14ac:dyDescent="0.25">
      <c r="A94" s="320" t="s">
        <v>1079</v>
      </c>
      <c r="B94" s="320" t="s">
        <v>1395</v>
      </c>
      <c r="C94" s="320" t="s">
        <v>1396</v>
      </c>
      <c r="D94" s="320" t="s">
        <v>1080</v>
      </c>
      <c r="E94" s="320">
        <v>2015</v>
      </c>
      <c r="F94" s="404"/>
      <c r="G94" s="676">
        <v>1082493</v>
      </c>
      <c r="H94" s="676"/>
      <c r="I94" s="676"/>
      <c r="J94" s="676"/>
      <c r="K94" s="676"/>
      <c r="L94" s="676"/>
      <c r="M94" s="676"/>
      <c r="N94" s="676"/>
      <c r="O94" s="676"/>
      <c r="P94" s="676"/>
      <c r="Q94" s="676"/>
      <c r="R94" s="676">
        <v>213</v>
      </c>
      <c r="S94" s="676"/>
      <c r="T94" s="676">
        <v>391308</v>
      </c>
      <c r="U94" s="676"/>
      <c r="V94" s="676"/>
      <c r="W94" s="676"/>
      <c r="X94" s="676">
        <v>0</v>
      </c>
      <c r="Y94" s="676"/>
      <c r="Z94" s="676">
        <v>29466919</v>
      </c>
      <c r="AA94" s="676"/>
      <c r="AB94" s="676">
        <v>2701172</v>
      </c>
      <c r="AC94" s="676">
        <v>0</v>
      </c>
      <c r="AD94" s="676"/>
      <c r="AE94" s="676"/>
      <c r="AF94" s="676">
        <v>331939</v>
      </c>
      <c r="AG94" s="676"/>
      <c r="AH94" s="676"/>
      <c r="AI94" s="676"/>
      <c r="AJ94" s="676"/>
      <c r="AK94" s="676">
        <v>9509861</v>
      </c>
      <c r="AL94" s="676"/>
      <c r="AM94" s="676"/>
      <c r="AN94" s="676"/>
      <c r="AO94" s="676"/>
      <c r="AP94" s="676">
        <v>1437425</v>
      </c>
      <c r="AQ94" s="676">
        <v>1924339</v>
      </c>
      <c r="AR94" s="676"/>
      <c r="AS94" s="676"/>
      <c r="AT94" s="676">
        <v>0</v>
      </c>
      <c r="AU94" s="676"/>
      <c r="AV94" s="676">
        <v>5000</v>
      </c>
      <c r="AW94" s="676"/>
      <c r="AX94" s="676"/>
      <c r="AY94" s="676"/>
      <c r="AZ94" s="676">
        <v>332841</v>
      </c>
      <c r="BA94" s="676"/>
      <c r="BB94" s="676">
        <v>2259</v>
      </c>
      <c r="BC94" s="676"/>
      <c r="BD94" s="676">
        <v>272793647</v>
      </c>
      <c r="BE94" s="676">
        <v>0</v>
      </c>
      <c r="BF94" s="676">
        <v>29421000</v>
      </c>
      <c r="BG94" s="676">
        <v>216995000</v>
      </c>
      <c r="BH94" s="676"/>
      <c r="BI94" s="676"/>
      <c r="BJ94" s="676"/>
      <c r="BK94" s="676"/>
      <c r="BL94" s="676">
        <v>782636</v>
      </c>
      <c r="BM94" s="676"/>
      <c r="BN94" s="676">
        <v>6447046</v>
      </c>
      <c r="BO94" s="676">
        <v>61424</v>
      </c>
      <c r="BP94" s="676">
        <v>86937</v>
      </c>
      <c r="BQ94" s="676">
        <v>720839</v>
      </c>
      <c r="BR94" s="676">
        <v>215862</v>
      </c>
      <c r="BS94" s="676">
        <v>4921766</v>
      </c>
      <c r="BT94" s="676">
        <v>124202037</v>
      </c>
      <c r="BU94" s="676"/>
      <c r="BV94" s="676">
        <v>1192033</v>
      </c>
      <c r="BW94" s="676">
        <v>1926</v>
      </c>
      <c r="BX94" s="676">
        <v>1080929</v>
      </c>
      <c r="BY94" s="676">
        <v>91213</v>
      </c>
      <c r="BZ94" s="676"/>
      <c r="CA94" s="676"/>
      <c r="CB94" s="676">
        <v>5901030.8499999996</v>
      </c>
      <c r="CC94" s="676"/>
      <c r="CD94" s="676"/>
      <c r="CE94" s="676"/>
      <c r="CF94" s="676">
        <v>1228000</v>
      </c>
      <c r="CG94" s="676"/>
    </row>
    <row r="95" spans="1:85" x14ac:dyDescent="0.25">
      <c r="A95" s="320" t="s">
        <v>1081</v>
      </c>
      <c r="B95" s="320" t="s">
        <v>1082</v>
      </c>
      <c r="C95" s="320"/>
      <c r="D95" s="320" t="s">
        <v>1083</v>
      </c>
      <c r="E95" s="320">
        <v>2015</v>
      </c>
      <c r="F95" s="404"/>
      <c r="G95" s="676"/>
      <c r="H95" s="676"/>
      <c r="I95" s="676"/>
      <c r="J95" s="676"/>
      <c r="K95" s="676"/>
      <c r="L95" s="676"/>
      <c r="M95" s="676"/>
      <c r="N95" s="676"/>
      <c r="O95" s="676"/>
      <c r="P95" s="676"/>
      <c r="Q95" s="676"/>
      <c r="R95" s="676"/>
      <c r="S95" s="676"/>
      <c r="T95" s="676">
        <v>391308</v>
      </c>
      <c r="U95" s="676"/>
      <c r="V95" s="676"/>
      <c r="W95" s="676"/>
      <c r="X95" s="676">
        <v>0</v>
      </c>
      <c r="Y95" s="676"/>
      <c r="Z95" s="676">
        <v>0</v>
      </c>
      <c r="AA95" s="676"/>
      <c r="AB95" s="676">
        <v>520224</v>
      </c>
      <c r="AC95" s="676">
        <v>0</v>
      </c>
      <c r="AD95" s="676"/>
      <c r="AE95" s="676"/>
      <c r="AF95" s="676"/>
      <c r="AG95" s="676"/>
      <c r="AH95" s="676"/>
      <c r="AI95" s="676"/>
      <c r="AJ95" s="676"/>
      <c r="AK95" s="676">
        <v>57392</v>
      </c>
      <c r="AL95" s="676"/>
      <c r="AM95" s="676"/>
      <c r="AN95" s="676"/>
      <c r="AO95" s="676"/>
      <c r="AP95" s="676">
        <v>1437425</v>
      </c>
      <c r="AQ95" s="676">
        <v>0</v>
      </c>
      <c r="AR95" s="676"/>
      <c r="AS95" s="676"/>
      <c r="AT95" s="676">
        <v>0</v>
      </c>
      <c r="AU95" s="676"/>
      <c r="AV95" s="676"/>
      <c r="AW95" s="676"/>
      <c r="AX95" s="676"/>
      <c r="AY95" s="676"/>
      <c r="AZ95" s="676">
        <v>328134</v>
      </c>
      <c r="BA95" s="676"/>
      <c r="BB95" s="676"/>
      <c r="BC95" s="676"/>
      <c r="BD95" s="676"/>
      <c r="BE95" s="676">
        <v>0</v>
      </c>
      <c r="BF95" s="676"/>
      <c r="BG95" s="676"/>
      <c r="BH95" s="676"/>
      <c r="BI95" s="676"/>
      <c r="BJ95" s="676"/>
      <c r="BK95" s="676"/>
      <c r="BL95" s="676"/>
      <c r="BM95" s="676"/>
      <c r="BN95" s="676">
        <v>0</v>
      </c>
      <c r="BO95" s="676"/>
      <c r="BP95" s="676">
        <v>86937</v>
      </c>
      <c r="BQ95" s="676">
        <v>720839</v>
      </c>
      <c r="BR95" s="676"/>
      <c r="BS95" s="676"/>
      <c r="BT95" s="676"/>
      <c r="BU95" s="676"/>
      <c r="BV95" s="676"/>
      <c r="BW95" s="676"/>
      <c r="BX95" s="676"/>
      <c r="BY95" s="676">
        <v>91213</v>
      </c>
      <c r="BZ95" s="676"/>
      <c r="CA95" s="676"/>
      <c r="CB95" s="676">
        <v>0</v>
      </c>
      <c r="CC95" s="676"/>
      <c r="CD95" s="676"/>
      <c r="CE95" s="676"/>
      <c r="CF95" s="676"/>
      <c r="CG95" s="676"/>
    </row>
    <row r="96" spans="1:85" x14ac:dyDescent="0.25">
      <c r="A96" s="320" t="s">
        <v>1084</v>
      </c>
      <c r="B96" s="320" t="s">
        <v>1085</v>
      </c>
      <c r="C96" s="320"/>
      <c r="D96" s="320" t="s">
        <v>1086</v>
      </c>
      <c r="E96" s="320">
        <v>2015</v>
      </c>
      <c r="F96" s="404"/>
      <c r="G96" s="676">
        <v>1082493</v>
      </c>
      <c r="H96" s="676"/>
      <c r="I96" s="676"/>
      <c r="J96" s="676"/>
      <c r="K96" s="676"/>
      <c r="L96" s="676"/>
      <c r="M96" s="676"/>
      <c r="N96" s="676"/>
      <c r="O96" s="676"/>
      <c r="P96" s="676"/>
      <c r="Q96" s="676"/>
      <c r="R96" s="676">
        <v>213</v>
      </c>
      <c r="S96" s="676"/>
      <c r="T96" s="676"/>
      <c r="U96" s="676"/>
      <c r="V96" s="676"/>
      <c r="W96" s="676"/>
      <c r="X96" s="676">
        <v>0</v>
      </c>
      <c r="Y96" s="676"/>
      <c r="Z96" s="676">
        <v>29466919</v>
      </c>
      <c r="AA96" s="676"/>
      <c r="AB96" s="676">
        <v>2180948</v>
      </c>
      <c r="AC96" s="676">
        <v>0</v>
      </c>
      <c r="AD96" s="676"/>
      <c r="AE96" s="676"/>
      <c r="AF96" s="676">
        <v>331939</v>
      </c>
      <c r="AG96" s="676"/>
      <c r="AH96" s="676"/>
      <c r="AI96" s="676"/>
      <c r="AJ96" s="676"/>
      <c r="AK96" s="676">
        <v>9452469</v>
      </c>
      <c r="AL96" s="676"/>
      <c r="AM96" s="676"/>
      <c r="AN96" s="676"/>
      <c r="AO96" s="676"/>
      <c r="AP96" s="676"/>
      <c r="AQ96" s="676">
        <v>1924339</v>
      </c>
      <c r="AR96" s="676"/>
      <c r="AS96" s="676"/>
      <c r="AT96" s="676">
        <v>0</v>
      </c>
      <c r="AU96" s="676"/>
      <c r="AV96" s="676">
        <v>5000</v>
      </c>
      <c r="AW96" s="676"/>
      <c r="AX96" s="676"/>
      <c r="AY96" s="676"/>
      <c r="AZ96" s="676">
        <v>4707</v>
      </c>
      <c r="BA96" s="676"/>
      <c r="BB96" s="676">
        <v>2259</v>
      </c>
      <c r="BC96" s="676"/>
      <c r="BD96" s="676">
        <v>272793647</v>
      </c>
      <c r="BE96" s="676">
        <v>0</v>
      </c>
      <c r="BF96" s="676">
        <v>29421000</v>
      </c>
      <c r="BG96" s="676"/>
      <c r="BH96" s="676"/>
      <c r="BI96" s="676"/>
      <c r="BJ96" s="676"/>
      <c r="BK96" s="676"/>
      <c r="BL96" s="676">
        <v>782636</v>
      </c>
      <c r="BM96" s="676"/>
      <c r="BN96" s="676">
        <v>6447046</v>
      </c>
      <c r="BO96" s="676">
        <v>61424</v>
      </c>
      <c r="BP96" s="676"/>
      <c r="BQ96" s="676"/>
      <c r="BR96" s="676">
        <v>215862</v>
      </c>
      <c r="BS96" s="676">
        <v>4921766</v>
      </c>
      <c r="BT96" s="676">
        <v>124202037</v>
      </c>
      <c r="BU96" s="676"/>
      <c r="BV96" s="676">
        <v>1192033</v>
      </c>
      <c r="BW96" s="676">
        <v>1926</v>
      </c>
      <c r="BX96" s="676">
        <v>1080929</v>
      </c>
      <c r="BY96" s="676"/>
      <c r="BZ96" s="676"/>
      <c r="CA96" s="676"/>
      <c r="CB96" s="676">
        <v>5901030.8499999996</v>
      </c>
      <c r="CC96" s="676"/>
      <c r="CD96" s="676"/>
      <c r="CE96" s="676"/>
      <c r="CF96" s="676"/>
      <c r="CG96" s="676"/>
    </row>
    <row r="97" spans="1:85" x14ac:dyDescent="0.25">
      <c r="A97" s="320" t="s">
        <v>1087</v>
      </c>
      <c r="B97" s="320" t="s">
        <v>1397</v>
      </c>
      <c r="C97" s="320" t="s">
        <v>1398</v>
      </c>
      <c r="D97" s="320" t="s">
        <v>1088</v>
      </c>
      <c r="E97" s="320">
        <v>2015</v>
      </c>
      <c r="F97" s="404"/>
      <c r="G97" s="676"/>
      <c r="H97" s="676">
        <v>-336388</v>
      </c>
      <c r="I97" s="676"/>
      <c r="J97" s="676">
        <v>-3929911</v>
      </c>
      <c r="K97" s="676"/>
      <c r="L97" s="676"/>
      <c r="M97" s="676">
        <v>6954539</v>
      </c>
      <c r="N97" s="676"/>
      <c r="O97" s="676"/>
      <c r="P97" s="676"/>
      <c r="Q97" s="676">
        <v>-2143184</v>
      </c>
      <c r="R97" s="676">
        <v>-209771</v>
      </c>
      <c r="S97" s="676">
        <v>-291241</v>
      </c>
      <c r="T97" s="676"/>
      <c r="U97" s="676">
        <v>0</v>
      </c>
      <c r="V97" s="676"/>
      <c r="W97" s="676"/>
      <c r="X97" s="676">
        <v>0</v>
      </c>
      <c r="Y97" s="676">
        <v>-46800</v>
      </c>
      <c r="Z97" s="676">
        <v>104931796</v>
      </c>
      <c r="AA97" s="676"/>
      <c r="AB97" s="676"/>
      <c r="AC97" s="676">
        <v>0</v>
      </c>
      <c r="AD97" s="676"/>
      <c r="AE97" s="676"/>
      <c r="AF97" s="676">
        <v>-443690</v>
      </c>
      <c r="AG97" s="676"/>
      <c r="AH97" s="676"/>
      <c r="AI97" s="676"/>
      <c r="AJ97" s="676"/>
      <c r="AK97" s="676"/>
      <c r="AL97" s="676">
        <v>61930</v>
      </c>
      <c r="AM97" s="676"/>
      <c r="AN97" s="676"/>
      <c r="AO97" s="676"/>
      <c r="AP97" s="676"/>
      <c r="AQ97" s="676">
        <v>0</v>
      </c>
      <c r="AR97" s="676"/>
      <c r="AS97" s="676"/>
      <c r="AT97" s="676">
        <v>-1193.78</v>
      </c>
      <c r="AU97" s="676"/>
      <c r="AV97" s="676"/>
      <c r="AW97" s="676">
        <v>-64598</v>
      </c>
      <c r="AX97" s="676">
        <v>13534442</v>
      </c>
      <c r="AY97" s="676">
        <v>-1963874</v>
      </c>
      <c r="AZ97" s="676">
        <v>0</v>
      </c>
      <c r="BA97" s="676">
        <v>5567458</v>
      </c>
      <c r="BB97" s="676"/>
      <c r="BC97" s="676"/>
      <c r="BD97" s="676">
        <v>-627900</v>
      </c>
      <c r="BE97" s="676">
        <v>-1062205.4099999999</v>
      </c>
      <c r="BF97" s="676">
        <v>-988000</v>
      </c>
      <c r="BG97" s="676">
        <v>2881595000</v>
      </c>
      <c r="BH97" s="676">
        <v>-3467000</v>
      </c>
      <c r="BI97" s="676"/>
      <c r="BJ97" s="676"/>
      <c r="BK97" s="676"/>
      <c r="BL97" s="676"/>
      <c r="BM97" s="676">
        <v>983000</v>
      </c>
      <c r="BN97" s="676">
        <v>0</v>
      </c>
      <c r="BO97" s="676"/>
      <c r="BP97" s="676">
        <v>128743</v>
      </c>
      <c r="BQ97" s="676"/>
      <c r="BR97" s="676"/>
      <c r="BS97" s="676"/>
      <c r="BT97" s="676">
        <v>-86566</v>
      </c>
      <c r="BU97" s="676"/>
      <c r="BV97" s="676"/>
      <c r="BW97" s="676">
        <v>251451</v>
      </c>
      <c r="BX97" s="676"/>
      <c r="BY97" s="676"/>
      <c r="BZ97" s="676"/>
      <c r="CA97" s="676"/>
      <c r="CB97" s="676">
        <v>0</v>
      </c>
      <c r="CC97" s="676"/>
      <c r="CD97" s="676"/>
      <c r="CE97" s="676"/>
      <c r="CF97" s="676"/>
      <c r="CG97" s="676">
        <v>-273000</v>
      </c>
    </row>
    <row r="98" spans="1:85" x14ac:dyDescent="0.25">
      <c r="A98" s="320" t="s">
        <v>1089</v>
      </c>
      <c r="B98" s="320" t="s">
        <v>1090</v>
      </c>
      <c r="C98" s="320"/>
      <c r="D98" s="320" t="s">
        <v>1091</v>
      </c>
      <c r="E98" s="320">
        <v>2015</v>
      </c>
      <c r="F98" s="404"/>
      <c r="G98" s="676"/>
      <c r="H98" s="676">
        <v>-336388</v>
      </c>
      <c r="I98" s="676"/>
      <c r="J98" s="676">
        <v>-3929911</v>
      </c>
      <c r="K98" s="676"/>
      <c r="L98" s="676"/>
      <c r="M98" s="676">
        <v>6954539</v>
      </c>
      <c r="N98" s="676"/>
      <c r="O98" s="676"/>
      <c r="P98" s="676"/>
      <c r="Q98" s="676">
        <v>9380674</v>
      </c>
      <c r="R98" s="676">
        <v>-302760</v>
      </c>
      <c r="S98" s="676">
        <v>-291241</v>
      </c>
      <c r="T98" s="676"/>
      <c r="U98" s="676">
        <v>0</v>
      </c>
      <c r="V98" s="676"/>
      <c r="W98" s="676"/>
      <c r="X98" s="676">
        <v>0</v>
      </c>
      <c r="Y98" s="676">
        <v>-46800</v>
      </c>
      <c r="Z98" s="676">
        <v>-10159505</v>
      </c>
      <c r="AA98" s="676"/>
      <c r="AB98" s="676"/>
      <c r="AC98" s="676">
        <v>0</v>
      </c>
      <c r="AD98" s="676"/>
      <c r="AE98" s="676"/>
      <c r="AF98" s="676">
        <v>-443690</v>
      </c>
      <c r="AG98" s="676"/>
      <c r="AH98" s="676"/>
      <c r="AI98" s="676"/>
      <c r="AJ98" s="676"/>
      <c r="AK98" s="676"/>
      <c r="AL98" s="676">
        <v>61930</v>
      </c>
      <c r="AM98" s="676"/>
      <c r="AN98" s="676"/>
      <c r="AO98" s="676"/>
      <c r="AP98" s="676"/>
      <c r="AQ98" s="676">
        <v>0</v>
      </c>
      <c r="AR98" s="676"/>
      <c r="AS98" s="676"/>
      <c r="AT98" s="676">
        <v>-1193.78</v>
      </c>
      <c r="AU98" s="676"/>
      <c r="AV98" s="676"/>
      <c r="AW98" s="676">
        <v>-126913</v>
      </c>
      <c r="AX98" s="676">
        <v>13534442</v>
      </c>
      <c r="AY98" s="676">
        <v>-1963874</v>
      </c>
      <c r="AZ98" s="676">
        <v>0</v>
      </c>
      <c r="BA98" s="676"/>
      <c r="BB98" s="676"/>
      <c r="BC98" s="676"/>
      <c r="BD98" s="676">
        <v>-735540</v>
      </c>
      <c r="BE98" s="676">
        <v>-1062205.4099999999</v>
      </c>
      <c r="BF98" s="676">
        <v>-988000</v>
      </c>
      <c r="BG98" s="676"/>
      <c r="BH98" s="676"/>
      <c r="BI98" s="676"/>
      <c r="BJ98" s="676"/>
      <c r="BK98" s="676"/>
      <c r="BL98" s="676"/>
      <c r="BM98" s="676"/>
      <c r="BN98" s="676">
        <v>0</v>
      </c>
      <c r="BO98" s="676"/>
      <c r="BP98" s="676"/>
      <c r="BQ98" s="676"/>
      <c r="BR98" s="676"/>
      <c r="BS98" s="676"/>
      <c r="BT98" s="676"/>
      <c r="BU98" s="676"/>
      <c r="BV98" s="676"/>
      <c r="BW98" s="676">
        <v>1200797</v>
      </c>
      <c r="BX98" s="676"/>
      <c r="BY98" s="676"/>
      <c r="BZ98" s="676"/>
      <c r="CA98" s="676"/>
      <c r="CB98" s="676">
        <v>0</v>
      </c>
      <c r="CC98" s="676"/>
      <c r="CD98" s="676"/>
      <c r="CE98" s="676"/>
      <c r="CF98" s="676"/>
      <c r="CG98" s="676"/>
    </row>
    <row r="99" spans="1:85" x14ac:dyDescent="0.25">
      <c r="A99" s="320" t="s">
        <v>1092</v>
      </c>
      <c r="B99" s="320" t="s">
        <v>1093</v>
      </c>
      <c r="C99" s="320"/>
      <c r="D99" s="320" t="s">
        <v>1094</v>
      </c>
      <c r="E99" s="320">
        <v>2015</v>
      </c>
      <c r="F99" s="404"/>
      <c r="G99" s="676"/>
      <c r="H99" s="676"/>
      <c r="I99" s="676"/>
      <c r="J99" s="676"/>
      <c r="K99" s="676"/>
      <c r="L99" s="676"/>
      <c r="M99" s="676"/>
      <c r="N99" s="676"/>
      <c r="O99" s="676"/>
      <c r="P99" s="676"/>
      <c r="Q99" s="676">
        <v>-11523858</v>
      </c>
      <c r="R99" s="676">
        <v>92989</v>
      </c>
      <c r="S99" s="676"/>
      <c r="T99" s="676"/>
      <c r="U99" s="676"/>
      <c r="V99" s="676"/>
      <c r="W99" s="676"/>
      <c r="X99" s="676">
        <v>0</v>
      </c>
      <c r="Y99" s="676"/>
      <c r="Z99" s="676">
        <v>115091301</v>
      </c>
      <c r="AA99" s="676"/>
      <c r="AB99" s="676"/>
      <c r="AC99" s="676">
        <v>0</v>
      </c>
      <c r="AD99" s="676"/>
      <c r="AE99" s="676"/>
      <c r="AF99" s="676"/>
      <c r="AG99" s="676"/>
      <c r="AH99" s="676"/>
      <c r="AI99" s="676"/>
      <c r="AJ99" s="676"/>
      <c r="AK99" s="676"/>
      <c r="AL99" s="676"/>
      <c r="AM99" s="676"/>
      <c r="AN99" s="676"/>
      <c r="AO99" s="676"/>
      <c r="AP99" s="676"/>
      <c r="AQ99" s="676">
        <v>0</v>
      </c>
      <c r="AR99" s="676"/>
      <c r="AS99" s="676"/>
      <c r="AT99" s="676">
        <v>0</v>
      </c>
      <c r="AU99" s="676"/>
      <c r="AV99" s="676"/>
      <c r="AW99" s="676">
        <v>62315</v>
      </c>
      <c r="AX99" s="676"/>
      <c r="AY99" s="676"/>
      <c r="AZ99" s="676">
        <v>0</v>
      </c>
      <c r="BA99" s="676">
        <v>5567458</v>
      </c>
      <c r="BB99" s="676"/>
      <c r="BC99" s="676"/>
      <c r="BD99" s="676">
        <v>107640</v>
      </c>
      <c r="BE99" s="676">
        <v>0</v>
      </c>
      <c r="BF99" s="676"/>
      <c r="BG99" s="676"/>
      <c r="BH99" s="676"/>
      <c r="BI99" s="676"/>
      <c r="BJ99" s="676"/>
      <c r="BK99" s="676"/>
      <c r="BL99" s="676"/>
      <c r="BM99" s="676">
        <v>983000</v>
      </c>
      <c r="BN99" s="676">
        <v>0</v>
      </c>
      <c r="BO99" s="676"/>
      <c r="BP99" s="676"/>
      <c r="BQ99" s="676"/>
      <c r="BR99" s="676"/>
      <c r="BS99" s="676"/>
      <c r="BT99" s="676">
        <v>-86566</v>
      </c>
      <c r="BU99" s="676"/>
      <c r="BV99" s="676"/>
      <c r="BW99" s="676">
        <v>-949346</v>
      </c>
      <c r="BX99" s="676"/>
      <c r="BY99" s="676"/>
      <c r="BZ99" s="676"/>
      <c r="CA99" s="676"/>
      <c r="CB99" s="676">
        <v>0</v>
      </c>
      <c r="CC99" s="676"/>
      <c r="CD99" s="676"/>
      <c r="CE99" s="676"/>
      <c r="CF99" s="676"/>
      <c r="CG99" s="676">
        <v>-273000</v>
      </c>
    </row>
    <row r="100" spans="1:85" x14ac:dyDescent="0.25">
      <c r="A100" s="320" t="s">
        <v>1095</v>
      </c>
      <c r="B100" s="320" t="s">
        <v>1096</v>
      </c>
      <c r="C100" s="320"/>
      <c r="D100" s="320" t="s">
        <v>1097</v>
      </c>
      <c r="E100" s="320">
        <v>2015</v>
      </c>
      <c r="F100" s="404"/>
      <c r="G100" s="676"/>
      <c r="H100" s="676"/>
      <c r="I100" s="676"/>
      <c r="J100" s="676"/>
      <c r="K100" s="676"/>
      <c r="L100" s="676"/>
      <c r="M100" s="676"/>
      <c r="N100" s="676"/>
      <c r="O100" s="676"/>
      <c r="P100" s="676"/>
      <c r="Q100" s="676"/>
      <c r="R100" s="676">
        <v>0</v>
      </c>
      <c r="S100" s="676"/>
      <c r="T100" s="676"/>
      <c r="U100" s="676"/>
      <c r="V100" s="676"/>
      <c r="W100" s="676"/>
      <c r="X100" s="676">
        <v>0</v>
      </c>
      <c r="Y100" s="676"/>
      <c r="Z100" s="676">
        <v>0</v>
      </c>
      <c r="AA100" s="676"/>
      <c r="AB100" s="676"/>
      <c r="AC100" s="676">
        <v>0</v>
      </c>
      <c r="AD100" s="676"/>
      <c r="AE100" s="676"/>
      <c r="AF100" s="676"/>
      <c r="AG100" s="676"/>
      <c r="AH100" s="676"/>
      <c r="AI100" s="676"/>
      <c r="AJ100" s="676"/>
      <c r="AK100" s="676"/>
      <c r="AL100" s="676"/>
      <c r="AM100" s="676"/>
      <c r="AN100" s="676"/>
      <c r="AO100" s="676"/>
      <c r="AP100" s="676"/>
      <c r="AQ100" s="676">
        <v>0</v>
      </c>
      <c r="AR100" s="676"/>
      <c r="AS100" s="676"/>
      <c r="AT100" s="676">
        <v>0</v>
      </c>
      <c r="AU100" s="676"/>
      <c r="AV100" s="676"/>
      <c r="AW100" s="676"/>
      <c r="AX100" s="676"/>
      <c r="AY100" s="676"/>
      <c r="AZ100" s="676">
        <v>0</v>
      </c>
      <c r="BA100" s="676"/>
      <c r="BB100" s="676"/>
      <c r="BC100" s="676"/>
      <c r="BD100" s="676"/>
      <c r="BE100" s="676">
        <v>0</v>
      </c>
      <c r="BF100" s="676"/>
      <c r="BG100" s="676"/>
      <c r="BH100" s="676"/>
      <c r="BI100" s="676"/>
      <c r="BJ100" s="676"/>
      <c r="BK100" s="676"/>
      <c r="BL100" s="676"/>
      <c r="BM100" s="676"/>
      <c r="BN100" s="676">
        <v>0</v>
      </c>
      <c r="BO100" s="676"/>
      <c r="BP100" s="676">
        <v>128743</v>
      </c>
      <c r="BQ100" s="676"/>
      <c r="BR100" s="676"/>
      <c r="BS100" s="676"/>
      <c r="BT100" s="676"/>
      <c r="BU100" s="676"/>
      <c r="BV100" s="676"/>
      <c r="BW100" s="676"/>
      <c r="BX100" s="676"/>
      <c r="BY100" s="676"/>
      <c r="BZ100" s="676"/>
      <c r="CA100" s="676"/>
      <c r="CB100" s="676">
        <v>0</v>
      </c>
      <c r="CC100" s="676"/>
      <c r="CD100" s="676"/>
      <c r="CE100" s="676"/>
      <c r="CF100" s="676"/>
      <c r="CG100" s="676"/>
    </row>
    <row r="101" spans="1:85" x14ac:dyDescent="0.25">
      <c r="A101" s="320" t="s">
        <v>1098</v>
      </c>
      <c r="B101" s="320" t="s">
        <v>1399</v>
      </c>
      <c r="C101" s="320" t="s">
        <v>1400</v>
      </c>
      <c r="D101" s="320" t="s">
        <v>1099</v>
      </c>
      <c r="E101" s="320">
        <v>2015</v>
      </c>
      <c r="F101" s="404"/>
      <c r="G101" s="676">
        <v>-299941</v>
      </c>
      <c r="H101" s="676">
        <v>2350831</v>
      </c>
      <c r="I101" s="676">
        <v>-1828783</v>
      </c>
      <c r="J101" s="676">
        <v>7418377</v>
      </c>
      <c r="K101" s="676"/>
      <c r="L101" s="676">
        <v>-29574089</v>
      </c>
      <c r="M101" s="676">
        <v>28176139</v>
      </c>
      <c r="N101" s="676">
        <v>-5378687</v>
      </c>
      <c r="O101" s="676">
        <v>1605985</v>
      </c>
      <c r="P101" s="676">
        <v>2284617</v>
      </c>
      <c r="Q101" s="676"/>
      <c r="R101" s="676">
        <v>951998</v>
      </c>
      <c r="S101" s="676">
        <v>1816579</v>
      </c>
      <c r="T101" s="676">
        <v>1629469</v>
      </c>
      <c r="U101" s="676">
        <v>713437000</v>
      </c>
      <c r="V101" s="676">
        <v>1965226</v>
      </c>
      <c r="W101" s="676">
        <v>-110748</v>
      </c>
      <c r="X101" s="676">
        <v>-4135.08</v>
      </c>
      <c r="Y101" s="676"/>
      <c r="Z101" s="676">
        <v>30880215</v>
      </c>
      <c r="AA101" s="676">
        <v>-1858428</v>
      </c>
      <c r="AB101" s="676">
        <v>2656010</v>
      </c>
      <c r="AC101" s="676">
        <v>-3138811.35</v>
      </c>
      <c r="AD101" s="676">
        <v>-21879279</v>
      </c>
      <c r="AE101" s="676"/>
      <c r="AF101" s="676">
        <v>-43876857</v>
      </c>
      <c r="AG101" s="676">
        <v>-5215963</v>
      </c>
      <c r="AH101" s="676">
        <v>373695</v>
      </c>
      <c r="AI101" s="676">
        <v>168001</v>
      </c>
      <c r="AJ101" s="676">
        <v>-1903596</v>
      </c>
      <c r="AK101" s="676">
        <v>123056</v>
      </c>
      <c r="AL101" s="676">
        <v>153451</v>
      </c>
      <c r="AM101" s="676">
        <v>0</v>
      </c>
      <c r="AN101" s="676">
        <v>14456000</v>
      </c>
      <c r="AO101" s="676">
        <v>-5201583</v>
      </c>
      <c r="AP101" s="676"/>
      <c r="AQ101" s="676">
        <v>1809046</v>
      </c>
      <c r="AR101" s="676">
        <v>-1825513</v>
      </c>
      <c r="AS101" s="676"/>
      <c r="AT101" s="676">
        <v>149619.01</v>
      </c>
      <c r="AU101" s="676">
        <v>-1618654</v>
      </c>
      <c r="AV101" s="676"/>
      <c r="AW101" s="676">
        <v>-1518445</v>
      </c>
      <c r="AX101" s="676">
        <v>21013674</v>
      </c>
      <c r="AY101" s="676">
        <v>2150169</v>
      </c>
      <c r="AZ101" s="676">
        <v>0</v>
      </c>
      <c r="BA101" s="676">
        <v>3204466</v>
      </c>
      <c r="BB101" s="676">
        <v>14274481</v>
      </c>
      <c r="BC101" s="676"/>
      <c r="BD101" s="676">
        <v>206131635</v>
      </c>
      <c r="BE101" s="676">
        <v>305243.24</v>
      </c>
      <c r="BF101" s="676">
        <v>-17005000</v>
      </c>
      <c r="BG101" s="676">
        <v>-582419000</v>
      </c>
      <c r="BH101" s="676">
        <v>507721000</v>
      </c>
      <c r="BI101" s="676">
        <v>-90425045</v>
      </c>
      <c r="BJ101" s="676">
        <v>33228</v>
      </c>
      <c r="BK101" s="676"/>
      <c r="BL101" s="676">
        <v>90000</v>
      </c>
      <c r="BM101" s="676">
        <v>698941000</v>
      </c>
      <c r="BN101" s="676">
        <v>0</v>
      </c>
      <c r="BO101" s="676">
        <v>3102490</v>
      </c>
      <c r="BP101" s="676"/>
      <c r="BQ101" s="676">
        <v>-6359080</v>
      </c>
      <c r="BR101" s="676">
        <v>7865</v>
      </c>
      <c r="BS101" s="676">
        <v>178885</v>
      </c>
      <c r="BT101" s="676">
        <v>19174442</v>
      </c>
      <c r="BU101" s="676">
        <v>-6523993</v>
      </c>
      <c r="BV101" s="676"/>
      <c r="BW101" s="676">
        <v>-22764799</v>
      </c>
      <c r="BX101" s="676">
        <v>86365</v>
      </c>
      <c r="BY101" s="676">
        <v>-1734282</v>
      </c>
      <c r="BZ101" s="676">
        <v>499414000</v>
      </c>
      <c r="CA101" s="676">
        <v>8250554.71</v>
      </c>
      <c r="CB101" s="676">
        <v>0</v>
      </c>
      <c r="CC101" s="676">
        <v>104754000</v>
      </c>
      <c r="CD101" s="676"/>
      <c r="CE101" s="676">
        <v>352411000</v>
      </c>
      <c r="CF101" s="676">
        <v>-288685000</v>
      </c>
      <c r="CG101" s="676">
        <v>-47610000</v>
      </c>
    </row>
    <row r="102" spans="1:85" x14ac:dyDescent="0.25">
      <c r="A102" s="320" t="s">
        <v>1100</v>
      </c>
      <c r="B102" s="320" t="s">
        <v>1101</v>
      </c>
      <c r="C102" s="320"/>
      <c r="D102" s="320" t="s">
        <v>1102</v>
      </c>
      <c r="E102" s="320">
        <v>2015</v>
      </c>
      <c r="F102" s="404"/>
      <c r="G102" s="676"/>
      <c r="H102" s="676">
        <v>2350831</v>
      </c>
      <c r="I102" s="676">
        <v>204921</v>
      </c>
      <c r="J102" s="676">
        <v>7418377</v>
      </c>
      <c r="K102" s="676"/>
      <c r="L102" s="676"/>
      <c r="M102" s="676">
        <v>28176139</v>
      </c>
      <c r="N102" s="676">
        <v>5547864</v>
      </c>
      <c r="O102" s="676">
        <v>1605985</v>
      </c>
      <c r="P102" s="676">
        <v>2284617</v>
      </c>
      <c r="Q102" s="676"/>
      <c r="R102" s="676">
        <v>1001255</v>
      </c>
      <c r="S102" s="676">
        <v>1816579</v>
      </c>
      <c r="T102" s="676">
        <v>1629469</v>
      </c>
      <c r="U102" s="676">
        <v>713437000</v>
      </c>
      <c r="V102" s="676">
        <v>1965226</v>
      </c>
      <c r="W102" s="676"/>
      <c r="X102" s="676">
        <v>0</v>
      </c>
      <c r="Y102" s="676"/>
      <c r="Z102" s="676">
        <v>30880215</v>
      </c>
      <c r="AA102" s="676"/>
      <c r="AB102" s="676">
        <v>2656010</v>
      </c>
      <c r="AC102" s="676">
        <v>0</v>
      </c>
      <c r="AD102" s="676"/>
      <c r="AE102" s="676"/>
      <c r="AF102" s="676"/>
      <c r="AG102" s="676"/>
      <c r="AH102" s="676">
        <v>373695</v>
      </c>
      <c r="AI102" s="676">
        <v>168001</v>
      </c>
      <c r="AJ102" s="676"/>
      <c r="AK102" s="676">
        <v>123056</v>
      </c>
      <c r="AL102" s="676">
        <v>153451</v>
      </c>
      <c r="AM102" s="676"/>
      <c r="AN102" s="676">
        <v>14456000</v>
      </c>
      <c r="AO102" s="676"/>
      <c r="AP102" s="676"/>
      <c r="AQ102" s="676">
        <v>1809046</v>
      </c>
      <c r="AR102" s="676">
        <v>165381</v>
      </c>
      <c r="AS102" s="676"/>
      <c r="AT102" s="676">
        <v>0</v>
      </c>
      <c r="AU102" s="676"/>
      <c r="AV102" s="676"/>
      <c r="AW102" s="676">
        <v>50000</v>
      </c>
      <c r="AX102" s="676">
        <v>21013674</v>
      </c>
      <c r="AY102" s="676">
        <v>2150169</v>
      </c>
      <c r="AZ102" s="676">
        <v>0</v>
      </c>
      <c r="BA102" s="676">
        <v>3204466</v>
      </c>
      <c r="BB102" s="676">
        <v>14274481</v>
      </c>
      <c r="BC102" s="676"/>
      <c r="BD102" s="676">
        <v>206131635</v>
      </c>
      <c r="BE102" s="676">
        <v>305243.24</v>
      </c>
      <c r="BF102" s="676"/>
      <c r="BG102" s="676"/>
      <c r="BH102" s="676">
        <v>507721000</v>
      </c>
      <c r="BI102" s="676">
        <v>25796646</v>
      </c>
      <c r="BJ102" s="676">
        <v>33228</v>
      </c>
      <c r="BK102" s="676"/>
      <c r="BL102" s="676">
        <v>90000</v>
      </c>
      <c r="BM102" s="676">
        <v>698941000</v>
      </c>
      <c r="BN102" s="676">
        <v>0</v>
      </c>
      <c r="BO102" s="676">
        <v>3102490</v>
      </c>
      <c r="BP102" s="676"/>
      <c r="BQ102" s="676">
        <v>3</v>
      </c>
      <c r="BR102" s="676">
        <v>7865</v>
      </c>
      <c r="BS102" s="676">
        <v>68529246</v>
      </c>
      <c r="BT102" s="676">
        <v>19174442</v>
      </c>
      <c r="BU102" s="676"/>
      <c r="BV102" s="676"/>
      <c r="BW102" s="676"/>
      <c r="BX102" s="676">
        <v>86365</v>
      </c>
      <c r="BY102" s="676">
        <v>710334</v>
      </c>
      <c r="BZ102" s="676">
        <v>499414000</v>
      </c>
      <c r="CA102" s="676">
        <v>8250554.71</v>
      </c>
      <c r="CB102" s="676">
        <v>0</v>
      </c>
      <c r="CC102" s="676">
        <v>104754000</v>
      </c>
      <c r="CD102" s="676"/>
      <c r="CE102" s="676">
        <v>352411000</v>
      </c>
      <c r="CF102" s="676"/>
      <c r="CG102" s="676"/>
    </row>
    <row r="103" spans="1:85" x14ac:dyDescent="0.25">
      <c r="A103" s="320" t="s">
        <v>1103</v>
      </c>
      <c r="B103" s="320" t="s">
        <v>1104</v>
      </c>
      <c r="C103" s="320"/>
      <c r="D103" s="320" t="s">
        <v>1105</v>
      </c>
      <c r="E103" s="320">
        <v>2015</v>
      </c>
      <c r="F103" s="404"/>
      <c r="G103" s="676">
        <v>-299941</v>
      </c>
      <c r="H103" s="676"/>
      <c r="I103" s="676">
        <v>-2033704</v>
      </c>
      <c r="J103" s="676"/>
      <c r="K103" s="676"/>
      <c r="L103" s="676">
        <v>-29574089</v>
      </c>
      <c r="M103" s="676"/>
      <c r="N103" s="676">
        <v>-10926551</v>
      </c>
      <c r="O103" s="676"/>
      <c r="P103" s="676"/>
      <c r="Q103" s="676"/>
      <c r="R103" s="676">
        <v>-49257</v>
      </c>
      <c r="S103" s="676"/>
      <c r="T103" s="676"/>
      <c r="U103" s="676"/>
      <c r="V103" s="676"/>
      <c r="W103" s="676">
        <v>-110748</v>
      </c>
      <c r="X103" s="676">
        <v>-4135.08</v>
      </c>
      <c r="Y103" s="676"/>
      <c r="Z103" s="676">
        <v>0</v>
      </c>
      <c r="AA103" s="676">
        <v>-1858428</v>
      </c>
      <c r="AB103" s="676"/>
      <c r="AC103" s="676">
        <v>-3138811.35</v>
      </c>
      <c r="AD103" s="676">
        <v>-21879279</v>
      </c>
      <c r="AE103" s="676"/>
      <c r="AF103" s="676">
        <v>-43876857</v>
      </c>
      <c r="AG103" s="676">
        <v>-5215963</v>
      </c>
      <c r="AH103" s="676"/>
      <c r="AI103" s="676"/>
      <c r="AJ103" s="676">
        <v>-1903596</v>
      </c>
      <c r="AK103" s="676"/>
      <c r="AL103" s="676"/>
      <c r="AM103" s="676"/>
      <c r="AN103" s="676"/>
      <c r="AO103" s="676">
        <v>-5201583</v>
      </c>
      <c r="AP103" s="676"/>
      <c r="AQ103" s="676">
        <v>0</v>
      </c>
      <c r="AR103" s="676">
        <v>-1990894</v>
      </c>
      <c r="AS103" s="676"/>
      <c r="AT103" s="676">
        <v>149619.01</v>
      </c>
      <c r="AU103" s="676">
        <v>-1618654</v>
      </c>
      <c r="AV103" s="676"/>
      <c r="AW103" s="676">
        <v>-1568445</v>
      </c>
      <c r="AX103" s="676"/>
      <c r="AY103" s="676"/>
      <c r="AZ103" s="676">
        <v>0</v>
      </c>
      <c r="BA103" s="676"/>
      <c r="BB103" s="676"/>
      <c r="BC103" s="676"/>
      <c r="BD103" s="676"/>
      <c r="BE103" s="676">
        <v>0</v>
      </c>
      <c r="BF103" s="676">
        <v>-17005000</v>
      </c>
      <c r="BG103" s="676">
        <v>-582419000</v>
      </c>
      <c r="BH103" s="676"/>
      <c r="BI103" s="676">
        <v>-116221691</v>
      </c>
      <c r="BJ103" s="676"/>
      <c r="BK103" s="676"/>
      <c r="BL103" s="676"/>
      <c r="BM103" s="676"/>
      <c r="BN103" s="676">
        <v>0</v>
      </c>
      <c r="BO103" s="676"/>
      <c r="BP103" s="676"/>
      <c r="BQ103" s="676">
        <v>-6359083</v>
      </c>
      <c r="BR103" s="676"/>
      <c r="BS103" s="676">
        <v>-68350361</v>
      </c>
      <c r="BT103" s="676"/>
      <c r="BU103" s="676">
        <v>-6523993</v>
      </c>
      <c r="BV103" s="676"/>
      <c r="BW103" s="676">
        <v>-22764799</v>
      </c>
      <c r="BX103" s="676"/>
      <c r="BY103" s="676">
        <v>-2444616</v>
      </c>
      <c r="BZ103" s="676"/>
      <c r="CA103" s="676"/>
      <c r="CB103" s="676">
        <v>0</v>
      </c>
      <c r="CC103" s="676"/>
      <c r="CD103" s="676"/>
      <c r="CE103" s="676"/>
      <c r="CF103" s="676">
        <v>-288685000</v>
      </c>
      <c r="CG103" s="676">
        <v>-47610000</v>
      </c>
    </row>
    <row r="104" spans="1:85" x14ac:dyDescent="0.25">
      <c r="A104" s="320" t="s">
        <v>1106</v>
      </c>
      <c r="B104" s="320" t="s">
        <v>1401</v>
      </c>
      <c r="C104" s="320" t="s">
        <v>1402</v>
      </c>
      <c r="D104" s="320" t="s">
        <v>1107</v>
      </c>
      <c r="E104" s="320">
        <v>2015</v>
      </c>
      <c r="F104" s="404">
        <v>-1996</v>
      </c>
      <c r="G104" s="676">
        <v>84271</v>
      </c>
      <c r="H104" s="676">
        <v>136257</v>
      </c>
      <c r="I104" s="676">
        <v>637323</v>
      </c>
      <c r="J104" s="676">
        <v>1438543</v>
      </c>
      <c r="K104" s="676">
        <v>1994</v>
      </c>
      <c r="L104" s="676">
        <v>96763</v>
      </c>
      <c r="M104" s="676">
        <v>8801662</v>
      </c>
      <c r="N104" s="676">
        <v>1459744</v>
      </c>
      <c r="O104" s="676">
        <v>-167563</v>
      </c>
      <c r="P104" s="676">
        <v>1625188</v>
      </c>
      <c r="Q104" s="676">
        <v>-1502731</v>
      </c>
      <c r="R104" s="676">
        <v>1984901</v>
      </c>
      <c r="S104" s="676">
        <v>2416325</v>
      </c>
      <c r="T104" s="676">
        <v>496962</v>
      </c>
      <c r="U104" s="676"/>
      <c r="V104" s="676">
        <v>2225864</v>
      </c>
      <c r="W104" s="676">
        <v>217007</v>
      </c>
      <c r="X104" s="676">
        <v>-6032855.0999999996</v>
      </c>
      <c r="Y104" s="676">
        <v>5680754</v>
      </c>
      <c r="Z104" s="676">
        <v>14195930</v>
      </c>
      <c r="AA104" s="676">
        <v>86861</v>
      </c>
      <c r="AB104" s="676">
        <v>7790209</v>
      </c>
      <c r="AC104" s="676">
        <v>-446181.37</v>
      </c>
      <c r="AD104" s="676">
        <v>-1252575</v>
      </c>
      <c r="AE104" s="676">
        <v>2000693</v>
      </c>
      <c r="AF104" s="676">
        <v>-7319456</v>
      </c>
      <c r="AG104" s="676">
        <v>-450674</v>
      </c>
      <c r="AH104" s="676">
        <v>-84092</v>
      </c>
      <c r="AI104" s="676">
        <v>102900</v>
      </c>
      <c r="AJ104" s="676">
        <v>-149791</v>
      </c>
      <c r="AK104" s="676">
        <v>2043607</v>
      </c>
      <c r="AL104" s="676">
        <v>1445301</v>
      </c>
      <c r="AM104" s="676">
        <v>1080890</v>
      </c>
      <c r="AN104" s="676"/>
      <c r="AO104" s="676">
        <v>47299</v>
      </c>
      <c r="AP104" s="676">
        <v>2388085</v>
      </c>
      <c r="AQ104" s="676">
        <v>1031412</v>
      </c>
      <c r="AR104" s="676">
        <v>-37468</v>
      </c>
      <c r="AS104" s="676">
        <v>296729</v>
      </c>
      <c r="AT104" s="676">
        <v>-6247575.5199999996</v>
      </c>
      <c r="AU104" s="676">
        <v>49255</v>
      </c>
      <c r="AV104" s="676">
        <v>185770</v>
      </c>
      <c r="AW104" s="676">
        <v>31383</v>
      </c>
      <c r="AX104" s="676">
        <v>8925276</v>
      </c>
      <c r="AY104" s="676">
        <v>2053058</v>
      </c>
      <c r="AZ104" s="676">
        <v>8662</v>
      </c>
      <c r="BA104" s="676">
        <v>648062</v>
      </c>
      <c r="BB104" s="676">
        <v>1656473</v>
      </c>
      <c r="BC104" s="676">
        <v>927824</v>
      </c>
      <c r="BD104" s="676"/>
      <c r="BE104" s="676">
        <v>2454362.17</v>
      </c>
      <c r="BF104" s="676">
        <v>2183000</v>
      </c>
      <c r="BG104" s="676">
        <v>23952000</v>
      </c>
      <c r="BH104" s="676"/>
      <c r="BI104" s="676">
        <v>-4509479</v>
      </c>
      <c r="BJ104" s="676">
        <v>2065321</v>
      </c>
      <c r="BK104" s="676">
        <v>48216</v>
      </c>
      <c r="BL104" s="676">
        <v>242570</v>
      </c>
      <c r="BM104" s="676"/>
      <c r="BN104" s="676">
        <v>748408</v>
      </c>
      <c r="BO104" s="676">
        <v>240414</v>
      </c>
      <c r="BP104" s="676">
        <v>90612</v>
      </c>
      <c r="BQ104" s="676">
        <v>208282</v>
      </c>
      <c r="BR104" s="676">
        <v>127629</v>
      </c>
      <c r="BS104" s="676">
        <v>7299828</v>
      </c>
      <c r="BT104" s="676">
        <v>7130143</v>
      </c>
      <c r="BU104" s="676">
        <v>747820</v>
      </c>
      <c r="BV104" s="676">
        <v>810108</v>
      </c>
      <c r="BW104" s="676">
        <v>922698</v>
      </c>
      <c r="BX104" s="676">
        <v>253447</v>
      </c>
      <c r="BY104" s="676">
        <v>326825</v>
      </c>
      <c r="BZ104" s="676"/>
      <c r="CA104" s="676">
        <v>1012091.78</v>
      </c>
      <c r="CB104" s="676">
        <v>1063449.3600000001</v>
      </c>
      <c r="CC104" s="676"/>
      <c r="CD104" s="676">
        <v>3373</v>
      </c>
      <c r="CE104" s="676">
        <v>17189000</v>
      </c>
      <c r="CF104" s="676">
        <v>2788000</v>
      </c>
      <c r="CG104" s="676">
        <v>-5889000</v>
      </c>
    </row>
    <row r="105" spans="1:85" x14ac:dyDescent="0.25">
      <c r="A105" s="320" t="s">
        <v>1108</v>
      </c>
      <c r="B105" s="320" t="s">
        <v>1403</v>
      </c>
      <c r="C105" s="320" t="s">
        <v>1404</v>
      </c>
      <c r="D105" s="320" t="s">
        <v>1109</v>
      </c>
      <c r="E105" s="320">
        <v>2015</v>
      </c>
      <c r="F105" s="404">
        <v>227386</v>
      </c>
      <c r="G105" s="676">
        <v>569429</v>
      </c>
      <c r="H105" s="676">
        <v>13716165</v>
      </c>
      <c r="I105" s="676">
        <v>18040493</v>
      </c>
      <c r="J105" s="676">
        <v>13495126</v>
      </c>
      <c r="K105" s="676">
        <v>1905970</v>
      </c>
      <c r="L105" s="676">
        <v>1505773</v>
      </c>
      <c r="M105" s="676">
        <v>22401454</v>
      </c>
      <c r="N105" s="676">
        <v>39409643</v>
      </c>
      <c r="O105" s="676">
        <v>18854375</v>
      </c>
      <c r="P105" s="676">
        <v>3883032</v>
      </c>
      <c r="Q105" s="676">
        <v>103577</v>
      </c>
      <c r="R105" s="676">
        <v>11370393</v>
      </c>
      <c r="S105" s="676">
        <v>24974623</v>
      </c>
      <c r="T105" s="676">
        <v>23232529</v>
      </c>
      <c r="U105" s="676">
        <v>1962189000</v>
      </c>
      <c r="V105" s="676">
        <v>3506109</v>
      </c>
      <c r="W105" s="676">
        <v>1351033</v>
      </c>
      <c r="X105" s="676">
        <v>1319542.57</v>
      </c>
      <c r="Y105" s="676">
        <v>55129713</v>
      </c>
      <c r="Z105" s="676">
        <v>1233367520</v>
      </c>
      <c r="AA105" s="676">
        <v>943051</v>
      </c>
      <c r="AB105" s="676">
        <v>71939288</v>
      </c>
      <c r="AC105" s="676">
        <v>759552.37</v>
      </c>
      <c r="AD105" s="676">
        <v>5686024</v>
      </c>
      <c r="AE105" s="676">
        <v>2400878</v>
      </c>
      <c r="AF105" s="676">
        <v>71772078</v>
      </c>
      <c r="AG105" s="676">
        <v>1703069</v>
      </c>
      <c r="AH105" s="676">
        <v>292372</v>
      </c>
      <c r="AI105" s="676">
        <v>400654</v>
      </c>
      <c r="AJ105" s="676">
        <v>511590</v>
      </c>
      <c r="AK105" s="676">
        <v>26339196</v>
      </c>
      <c r="AL105" s="676">
        <v>15848888</v>
      </c>
      <c r="AM105" s="676">
        <v>10464278</v>
      </c>
      <c r="AN105" s="676">
        <v>644000000</v>
      </c>
      <c r="AO105" s="676">
        <v>13150811</v>
      </c>
      <c r="AP105" s="676">
        <v>7355759</v>
      </c>
      <c r="AQ105" s="676">
        <v>7921837</v>
      </c>
      <c r="AR105" s="676">
        <v>4503064</v>
      </c>
      <c r="AS105" s="676">
        <v>3686604</v>
      </c>
      <c r="AT105" s="676">
        <v>7241284.3399999999</v>
      </c>
      <c r="AU105" s="676">
        <v>4843997</v>
      </c>
      <c r="AV105" s="676">
        <v>805165</v>
      </c>
      <c r="AW105" s="676">
        <v>300696</v>
      </c>
      <c r="AX105" s="676">
        <v>34041148</v>
      </c>
      <c r="AY105" s="676">
        <v>14583381</v>
      </c>
      <c r="AZ105" s="676">
        <v>266315</v>
      </c>
      <c r="BA105" s="676">
        <v>20698887</v>
      </c>
      <c r="BB105" s="676">
        <v>10779179</v>
      </c>
      <c r="BC105" s="676">
        <v>21892267</v>
      </c>
      <c r="BD105" s="676">
        <v>199761004</v>
      </c>
      <c r="BE105" s="676">
        <v>33924550.299999997</v>
      </c>
      <c r="BF105" s="676">
        <v>219620000</v>
      </c>
      <c r="BG105" s="676">
        <v>5071153000</v>
      </c>
      <c r="BH105" s="676">
        <v>393695000</v>
      </c>
      <c r="BI105" s="676">
        <v>184313936</v>
      </c>
      <c r="BJ105" s="676">
        <v>19011029</v>
      </c>
      <c r="BK105" s="676">
        <v>485763</v>
      </c>
      <c r="BL105" s="676">
        <v>2995199</v>
      </c>
      <c r="BM105" s="676">
        <v>176538000</v>
      </c>
      <c r="BN105" s="676">
        <v>20766555</v>
      </c>
      <c r="BO105" s="676">
        <v>428763</v>
      </c>
      <c r="BP105" s="676">
        <v>983525</v>
      </c>
      <c r="BQ105" s="676">
        <v>456983</v>
      </c>
      <c r="BR105" s="676">
        <v>941564</v>
      </c>
      <c r="BS105" s="676">
        <v>25220043</v>
      </c>
      <c r="BT105" s="676">
        <v>30736982</v>
      </c>
      <c r="BU105" s="676">
        <v>8520679</v>
      </c>
      <c r="BV105" s="676">
        <v>893607</v>
      </c>
      <c r="BW105" s="676">
        <v>494489211</v>
      </c>
      <c r="BX105" s="676">
        <v>9873987</v>
      </c>
      <c r="BY105" s="676">
        <v>3387593</v>
      </c>
      <c r="BZ105" s="676">
        <v>265408000</v>
      </c>
      <c r="CA105" s="676">
        <v>3161286.77</v>
      </c>
      <c r="CB105" s="676">
        <v>18533934.27</v>
      </c>
      <c r="CC105" s="676">
        <v>682245000</v>
      </c>
      <c r="CD105" s="676">
        <v>553908</v>
      </c>
      <c r="CE105" s="676">
        <v>285828000</v>
      </c>
      <c r="CF105" s="676">
        <v>237192000</v>
      </c>
      <c r="CG105" s="676">
        <v>853704000</v>
      </c>
    </row>
    <row r="106" spans="1:85" x14ac:dyDescent="0.25">
      <c r="A106" s="320" t="s">
        <v>945</v>
      </c>
      <c r="B106" s="320" t="s">
        <v>1405</v>
      </c>
      <c r="C106" s="320" t="s">
        <v>1406</v>
      </c>
      <c r="D106" s="320" t="s">
        <v>1110</v>
      </c>
      <c r="E106" s="320">
        <v>2015</v>
      </c>
      <c r="F106" s="404">
        <v>119308</v>
      </c>
      <c r="G106" s="676">
        <v>165739</v>
      </c>
      <c r="H106" s="676">
        <v>2407572</v>
      </c>
      <c r="I106" s="676">
        <v>3725348</v>
      </c>
      <c r="J106" s="676">
        <v>4932822</v>
      </c>
      <c r="K106" s="676">
        <v>731</v>
      </c>
      <c r="L106" s="676">
        <v>33735</v>
      </c>
      <c r="M106" s="676">
        <v>1830121</v>
      </c>
      <c r="N106" s="676">
        <v>5832</v>
      </c>
      <c r="O106" s="676">
        <v>20452</v>
      </c>
      <c r="P106" s="676">
        <v>11505</v>
      </c>
      <c r="Q106" s="676">
        <v>441</v>
      </c>
      <c r="R106" s="676">
        <v>1069467</v>
      </c>
      <c r="S106" s="676">
        <v>40370</v>
      </c>
      <c r="T106" s="676">
        <v>16713581</v>
      </c>
      <c r="U106" s="676">
        <v>1713366000</v>
      </c>
      <c r="V106" s="676">
        <v>18456</v>
      </c>
      <c r="W106" s="676">
        <v>673714</v>
      </c>
      <c r="X106" s="676">
        <v>900883.38</v>
      </c>
      <c r="Y106" s="676"/>
      <c r="Z106" s="676">
        <v>12481724</v>
      </c>
      <c r="AA106" s="676">
        <v>47454</v>
      </c>
      <c r="AB106" s="676">
        <v>12939951</v>
      </c>
      <c r="AC106" s="676">
        <v>12187.06</v>
      </c>
      <c r="AD106" s="676">
        <v>16207</v>
      </c>
      <c r="AE106" s="676">
        <v>7744</v>
      </c>
      <c r="AF106" s="676">
        <v>15074978</v>
      </c>
      <c r="AG106" s="676">
        <v>3344</v>
      </c>
      <c r="AH106" s="676">
        <v>75195</v>
      </c>
      <c r="AI106" s="676">
        <v>87405</v>
      </c>
      <c r="AJ106" s="676">
        <v>4110</v>
      </c>
      <c r="AK106" s="676">
        <v>2155374</v>
      </c>
      <c r="AL106" s="676">
        <v>1966</v>
      </c>
      <c r="AM106" s="676">
        <v>303509</v>
      </c>
      <c r="AN106" s="676">
        <v>171299000</v>
      </c>
      <c r="AO106" s="676">
        <v>1279599</v>
      </c>
      <c r="AP106" s="676">
        <v>7770</v>
      </c>
      <c r="AQ106" s="676">
        <v>1050522</v>
      </c>
      <c r="AR106" s="676">
        <v>66820</v>
      </c>
      <c r="AS106" s="676">
        <v>8939</v>
      </c>
      <c r="AT106" s="676">
        <v>9116.58</v>
      </c>
      <c r="AU106" s="676">
        <v>67691</v>
      </c>
      <c r="AV106" s="676">
        <v>25040</v>
      </c>
      <c r="AW106" s="676">
        <v>47102</v>
      </c>
      <c r="AX106" s="676">
        <v>72198</v>
      </c>
      <c r="AY106" s="676">
        <v>19607</v>
      </c>
      <c r="AZ106" s="676">
        <v>13932</v>
      </c>
      <c r="BA106" s="676">
        <v>598937</v>
      </c>
      <c r="BB106" s="676">
        <v>1250604</v>
      </c>
      <c r="BC106" s="676">
        <v>10480793</v>
      </c>
      <c r="BD106" s="676">
        <v>55837612</v>
      </c>
      <c r="BE106" s="676">
        <v>343990.7</v>
      </c>
      <c r="BF106" s="676">
        <v>16093000</v>
      </c>
      <c r="BG106" s="676">
        <v>506035000</v>
      </c>
      <c r="BH106" s="676">
        <v>13068000</v>
      </c>
      <c r="BI106" s="676">
        <v>107735669</v>
      </c>
      <c r="BJ106" s="676">
        <v>9242709</v>
      </c>
      <c r="BK106" s="676">
        <v>315041</v>
      </c>
      <c r="BL106" s="676">
        <v>2263172</v>
      </c>
      <c r="BM106" s="676">
        <v>65000</v>
      </c>
      <c r="BN106" s="676">
        <v>991474</v>
      </c>
      <c r="BO106" s="676">
        <v>24881</v>
      </c>
      <c r="BP106" s="676">
        <v>12451</v>
      </c>
      <c r="BQ106" s="676">
        <v>14428</v>
      </c>
      <c r="BR106" s="676">
        <v>251340</v>
      </c>
      <c r="BS106" s="676">
        <v>8070851</v>
      </c>
      <c r="BT106" s="676">
        <v>17047464</v>
      </c>
      <c r="BU106" s="676">
        <v>551</v>
      </c>
      <c r="BV106" s="676">
        <v>7237</v>
      </c>
      <c r="BW106" s="676">
        <v>210722604</v>
      </c>
      <c r="BX106" s="676">
        <v>1076433</v>
      </c>
      <c r="BY106" s="676">
        <v>93854</v>
      </c>
      <c r="BZ106" s="676">
        <v>21414000</v>
      </c>
      <c r="CA106" s="676">
        <v>1226665.43</v>
      </c>
      <c r="CB106" s="676">
        <v>570872.47</v>
      </c>
      <c r="CC106" s="676">
        <v>629671000</v>
      </c>
      <c r="CD106" s="676">
        <v>719</v>
      </c>
      <c r="CE106" s="676">
        <v>42760000</v>
      </c>
      <c r="CF106" s="676">
        <v>36709000</v>
      </c>
      <c r="CG106" s="676">
        <v>493344000</v>
      </c>
    </row>
    <row r="107" spans="1:85" x14ac:dyDescent="0.25">
      <c r="A107" s="320" t="s">
        <v>1111</v>
      </c>
      <c r="B107" s="320" t="s">
        <v>1407</v>
      </c>
      <c r="C107" s="320" t="s">
        <v>1408</v>
      </c>
      <c r="D107" s="320" t="s">
        <v>1112</v>
      </c>
      <c r="E107" s="320">
        <v>2015</v>
      </c>
      <c r="F107" s="404"/>
      <c r="G107" s="676"/>
      <c r="H107" s="676"/>
      <c r="I107" s="676"/>
      <c r="J107" s="676"/>
      <c r="K107" s="676"/>
      <c r="L107" s="676"/>
      <c r="M107" s="676"/>
      <c r="N107" s="676"/>
      <c r="O107" s="676"/>
      <c r="P107" s="676"/>
      <c r="Q107" s="676"/>
      <c r="R107" s="676"/>
      <c r="S107" s="676"/>
      <c r="T107" s="676"/>
      <c r="U107" s="676"/>
      <c r="V107" s="676"/>
      <c r="W107" s="676"/>
      <c r="X107" s="676">
        <v>0</v>
      </c>
      <c r="Y107" s="676"/>
      <c r="Z107" s="676">
        <v>0</v>
      </c>
      <c r="AA107" s="676"/>
      <c r="AB107" s="676">
        <v>13123</v>
      </c>
      <c r="AC107" s="676">
        <v>0</v>
      </c>
      <c r="AD107" s="676"/>
      <c r="AE107" s="676"/>
      <c r="AF107" s="676">
        <v>2000</v>
      </c>
      <c r="AG107" s="676"/>
      <c r="AH107" s="676">
        <v>65010</v>
      </c>
      <c r="AI107" s="676">
        <v>39772</v>
      </c>
      <c r="AJ107" s="676"/>
      <c r="AK107" s="676"/>
      <c r="AL107" s="676"/>
      <c r="AM107" s="676">
        <v>0</v>
      </c>
      <c r="AN107" s="676">
        <v>23807000</v>
      </c>
      <c r="AO107" s="676"/>
      <c r="AP107" s="676"/>
      <c r="AQ107" s="676">
        <v>10855</v>
      </c>
      <c r="AR107" s="676">
        <v>60023</v>
      </c>
      <c r="AS107" s="676"/>
      <c r="AT107" s="676">
        <v>0</v>
      </c>
      <c r="AU107" s="676"/>
      <c r="AV107" s="676"/>
      <c r="AW107" s="676"/>
      <c r="AX107" s="676">
        <v>65000</v>
      </c>
      <c r="AY107" s="676">
        <v>0</v>
      </c>
      <c r="AZ107" s="676">
        <v>0</v>
      </c>
      <c r="BA107" s="676"/>
      <c r="BB107" s="676"/>
      <c r="BC107" s="676"/>
      <c r="BD107" s="676"/>
      <c r="BE107" s="676">
        <v>0</v>
      </c>
      <c r="BF107" s="676"/>
      <c r="BG107" s="676"/>
      <c r="BH107" s="676"/>
      <c r="BI107" s="676"/>
      <c r="BJ107" s="676">
        <v>0</v>
      </c>
      <c r="BK107" s="676">
        <v>0</v>
      </c>
      <c r="BL107" s="676">
        <v>35000</v>
      </c>
      <c r="BM107" s="676"/>
      <c r="BN107" s="676">
        <v>0</v>
      </c>
      <c r="BO107" s="676"/>
      <c r="BP107" s="676"/>
      <c r="BQ107" s="676"/>
      <c r="BR107" s="676"/>
      <c r="BS107" s="676"/>
      <c r="BT107" s="676">
        <v>0</v>
      </c>
      <c r="BU107" s="676"/>
      <c r="BV107" s="676"/>
      <c r="BW107" s="676">
        <v>103888291</v>
      </c>
      <c r="BX107" s="676"/>
      <c r="BY107" s="676">
        <v>46976</v>
      </c>
      <c r="BZ107" s="676"/>
      <c r="CA107" s="676">
        <v>2755.26</v>
      </c>
      <c r="CB107" s="676">
        <v>0</v>
      </c>
      <c r="CC107" s="676"/>
      <c r="CD107" s="676"/>
      <c r="CE107" s="676"/>
      <c r="CF107" s="676">
        <v>18046000</v>
      </c>
      <c r="CG107" s="676"/>
    </row>
    <row r="108" spans="1:85" x14ac:dyDescent="0.25">
      <c r="A108" s="320" t="s">
        <v>1113</v>
      </c>
      <c r="B108" s="320" t="s">
        <v>1114</v>
      </c>
      <c r="C108" s="320"/>
      <c r="D108" s="320" t="s">
        <v>1115</v>
      </c>
      <c r="E108" s="320">
        <v>2015</v>
      </c>
      <c r="F108" s="404"/>
      <c r="G108" s="676"/>
      <c r="H108" s="676"/>
      <c r="I108" s="676"/>
      <c r="J108" s="676"/>
      <c r="K108" s="676"/>
      <c r="L108" s="676"/>
      <c r="M108" s="676"/>
      <c r="N108" s="676"/>
      <c r="O108" s="676"/>
      <c r="P108" s="676"/>
      <c r="Q108" s="676"/>
      <c r="R108" s="676"/>
      <c r="S108" s="676"/>
      <c r="T108" s="676"/>
      <c r="U108" s="676"/>
      <c r="V108" s="676"/>
      <c r="W108" s="676"/>
      <c r="X108" s="676">
        <v>0</v>
      </c>
      <c r="Y108" s="676"/>
      <c r="Z108" s="676">
        <v>0</v>
      </c>
      <c r="AA108" s="676"/>
      <c r="AB108" s="676"/>
      <c r="AC108" s="676">
        <v>0</v>
      </c>
      <c r="AD108" s="676"/>
      <c r="AE108" s="676"/>
      <c r="AF108" s="676"/>
      <c r="AG108" s="676"/>
      <c r="AH108" s="676"/>
      <c r="AI108" s="676"/>
      <c r="AJ108" s="676"/>
      <c r="AK108" s="676"/>
      <c r="AL108" s="676"/>
      <c r="AM108" s="676"/>
      <c r="AN108" s="676"/>
      <c r="AO108" s="676"/>
      <c r="AP108" s="676"/>
      <c r="AQ108" s="676">
        <v>0</v>
      </c>
      <c r="AR108" s="676"/>
      <c r="AS108" s="676"/>
      <c r="AT108" s="676">
        <v>0</v>
      </c>
      <c r="AU108" s="676"/>
      <c r="AV108" s="676"/>
      <c r="AW108" s="676"/>
      <c r="AX108" s="676"/>
      <c r="AY108" s="676"/>
      <c r="AZ108" s="676">
        <v>0</v>
      </c>
      <c r="BA108" s="676"/>
      <c r="BB108" s="676"/>
      <c r="BC108" s="676"/>
      <c r="BD108" s="676"/>
      <c r="BE108" s="676">
        <v>0</v>
      </c>
      <c r="BF108" s="676"/>
      <c r="BG108" s="676"/>
      <c r="BH108" s="676"/>
      <c r="BI108" s="676"/>
      <c r="BJ108" s="676"/>
      <c r="BK108" s="676"/>
      <c r="BL108" s="676"/>
      <c r="BM108" s="676"/>
      <c r="BN108" s="676">
        <v>0</v>
      </c>
      <c r="BO108" s="676"/>
      <c r="BP108" s="676"/>
      <c r="BQ108" s="676"/>
      <c r="BR108" s="676"/>
      <c r="BS108" s="676"/>
      <c r="BT108" s="676"/>
      <c r="BU108" s="676"/>
      <c r="BV108" s="676"/>
      <c r="BW108" s="676"/>
      <c r="BX108" s="676"/>
      <c r="BY108" s="676"/>
      <c r="BZ108" s="676"/>
      <c r="CA108" s="676"/>
      <c r="CB108" s="676">
        <v>0</v>
      </c>
      <c r="CC108" s="676"/>
      <c r="CD108" s="676"/>
      <c r="CE108" s="676"/>
      <c r="CF108" s="676"/>
      <c r="CG108" s="676"/>
    </row>
    <row r="109" spans="1:85" x14ac:dyDescent="0.25">
      <c r="A109" s="320" t="s">
        <v>1116</v>
      </c>
      <c r="B109" s="320" t="s">
        <v>1117</v>
      </c>
      <c r="C109" s="320"/>
      <c r="D109" s="320" t="s">
        <v>1118</v>
      </c>
      <c r="E109" s="320">
        <v>2015</v>
      </c>
      <c r="F109" s="404"/>
      <c r="G109" s="676"/>
      <c r="H109" s="676"/>
      <c r="I109" s="676"/>
      <c r="J109" s="676"/>
      <c r="K109" s="676"/>
      <c r="L109" s="676"/>
      <c r="M109" s="676"/>
      <c r="N109" s="676"/>
      <c r="O109" s="676"/>
      <c r="P109" s="676"/>
      <c r="Q109" s="676"/>
      <c r="R109" s="676"/>
      <c r="S109" s="676"/>
      <c r="T109" s="676"/>
      <c r="U109" s="676"/>
      <c r="V109" s="676"/>
      <c r="W109" s="676"/>
      <c r="X109" s="676">
        <v>0</v>
      </c>
      <c r="Y109" s="676"/>
      <c r="Z109" s="676">
        <v>0</v>
      </c>
      <c r="AA109" s="676"/>
      <c r="AB109" s="676"/>
      <c r="AC109" s="676">
        <v>0</v>
      </c>
      <c r="AD109" s="676"/>
      <c r="AE109" s="676"/>
      <c r="AF109" s="676"/>
      <c r="AG109" s="676"/>
      <c r="AH109" s="676"/>
      <c r="AI109" s="676"/>
      <c r="AJ109" s="676"/>
      <c r="AK109" s="676"/>
      <c r="AL109" s="676"/>
      <c r="AM109" s="676"/>
      <c r="AN109" s="676"/>
      <c r="AO109" s="676"/>
      <c r="AP109" s="676"/>
      <c r="AQ109" s="676">
        <v>0</v>
      </c>
      <c r="AR109" s="676"/>
      <c r="AS109" s="676"/>
      <c r="AT109" s="676">
        <v>0</v>
      </c>
      <c r="AU109" s="676"/>
      <c r="AV109" s="676"/>
      <c r="AW109" s="676"/>
      <c r="AX109" s="676"/>
      <c r="AY109" s="676"/>
      <c r="AZ109" s="676">
        <v>0</v>
      </c>
      <c r="BA109" s="676"/>
      <c r="BB109" s="676"/>
      <c r="BC109" s="676"/>
      <c r="BD109" s="676"/>
      <c r="BE109" s="676">
        <v>0</v>
      </c>
      <c r="BF109" s="676"/>
      <c r="BG109" s="676"/>
      <c r="BH109" s="676"/>
      <c r="BI109" s="676"/>
      <c r="BJ109" s="676"/>
      <c r="BK109" s="676"/>
      <c r="BL109" s="676"/>
      <c r="BM109" s="676"/>
      <c r="BN109" s="676">
        <v>0</v>
      </c>
      <c r="BO109" s="676"/>
      <c r="BP109" s="676"/>
      <c r="BQ109" s="676"/>
      <c r="BR109" s="676"/>
      <c r="BS109" s="676"/>
      <c r="BT109" s="676"/>
      <c r="BU109" s="676"/>
      <c r="BV109" s="676"/>
      <c r="BW109" s="676"/>
      <c r="BX109" s="676"/>
      <c r="BY109" s="676"/>
      <c r="BZ109" s="676"/>
      <c r="CA109" s="676"/>
      <c r="CB109" s="676">
        <v>0</v>
      </c>
      <c r="CC109" s="676"/>
      <c r="CD109" s="676"/>
      <c r="CE109" s="676"/>
      <c r="CF109" s="676"/>
      <c r="CG109" s="676"/>
    </row>
    <row r="110" spans="1:85" x14ac:dyDescent="0.25">
      <c r="A110" s="320" t="s">
        <v>1119</v>
      </c>
      <c r="B110" s="320" t="s">
        <v>1120</v>
      </c>
      <c r="C110" s="320"/>
      <c r="D110" s="320" t="s">
        <v>1121</v>
      </c>
      <c r="E110" s="320">
        <v>2015</v>
      </c>
      <c r="F110" s="404"/>
      <c r="G110" s="676"/>
      <c r="H110" s="676"/>
      <c r="I110" s="676"/>
      <c r="J110" s="676"/>
      <c r="K110" s="676"/>
      <c r="L110" s="676"/>
      <c r="M110" s="676"/>
      <c r="N110" s="676"/>
      <c r="O110" s="676"/>
      <c r="P110" s="676"/>
      <c r="Q110" s="676"/>
      <c r="R110" s="676"/>
      <c r="S110" s="676"/>
      <c r="T110" s="676"/>
      <c r="U110" s="676"/>
      <c r="V110" s="676"/>
      <c r="W110" s="676"/>
      <c r="X110" s="676">
        <v>0</v>
      </c>
      <c r="Y110" s="676"/>
      <c r="Z110" s="676">
        <v>0</v>
      </c>
      <c r="AA110" s="676"/>
      <c r="AB110" s="676">
        <v>13123</v>
      </c>
      <c r="AC110" s="676">
        <v>0</v>
      </c>
      <c r="AD110" s="676"/>
      <c r="AE110" s="676"/>
      <c r="AF110" s="676">
        <v>2000</v>
      </c>
      <c r="AG110" s="676"/>
      <c r="AH110" s="676">
        <v>65010</v>
      </c>
      <c r="AI110" s="676">
        <v>39772</v>
      </c>
      <c r="AJ110" s="676"/>
      <c r="AK110" s="676"/>
      <c r="AL110" s="676"/>
      <c r="AM110" s="676"/>
      <c r="AN110" s="676"/>
      <c r="AO110" s="676"/>
      <c r="AP110" s="676"/>
      <c r="AQ110" s="676">
        <v>10855</v>
      </c>
      <c r="AR110" s="676">
        <v>60023</v>
      </c>
      <c r="AS110" s="676"/>
      <c r="AT110" s="676">
        <v>0</v>
      </c>
      <c r="AU110" s="676"/>
      <c r="AV110" s="676"/>
      <c r="AW110" s="676"/>
      <c r="AX110" s="676">
        <v>65000</v>
      </c>
      <c r="AY110" s="676"/>
      <c r="AZ110" s="676">
        <v>0</v>
      </c>
      <c r="BA110" s="676"/>
      <c r="BB110" s="676"/>
      <c r="BC110" s="676"/>
      <c r="BD110" s="676"/>
      <c r="BE110" s="676">
        <v>0</v>
      </c>
      <c r="BF110" s="676"/>
      <c r="BG110" s="676"/>
      <c r="BH110" s="676"/>
      <c r="BI110" s="676"/>
      <c r="BJ110" s="676"/>
      <c r="BK110" s="676"/>
      <c r="BL110" s="676">
        <v>35000</v>
      </c>
      <c r="BM110" s="676"/>
      <c r="BN110" s="676">
        <v>0</v>
      </c>
      <c r="BO110" s="676"/>
      <c r="BP110" s="676"/>
      <c r="BQ110" s="676"/>
      <c r="BR110" s="676"/>
      <c r="BS110" s="676"/>
      <c r="BT110" s="676"/>
      <c r="BU110" s="676"/>
      <c r="BV110" s="676"/>
      <c r="BW110" s="676">
        <v>103888291</v>
      </c>
      <c r="BX110" s="676"/>
      <c r="BY110" s="676">
        <v>46976</v>
      </c>
      <c r="BZ110" s="676"/>
      <c r="CA110" s="676">
        <v>2755.26</v>
      </c>
      <c r="CB110" s="676">
        <v>0</v>
      </c>
      <c r="CC110" s="676"/>
      <c r="CD110" s="676"/>
      <c r="CE110" s="676"/>
      <c r="CF110" s="676"/>
      <c r="CG110" s="676"/>
    </row>
    <row r="111" spans="1:85" x14ac:dyDescent="0.25">
      <c r="A111" s="320" t="s">
        <v>1122</v>
      </c>
      <c r="B111" s="320" t="s">
        <v>976</v>
      </c>
      <c r="C111" s="320"/>
      <c r="D111" s="320" t="s">
        <v>1123</v>
      </c>
      <c r="E111" s="320">
        <v>2015</v>
      </c>
      <c r="F111" s="404"/>
      <c r="G111" s="676"/>
      <c r="H111" s="676"/>
      <c r="I111" s="676"/>
      <c r="J111" s="676"/>
      <c r="K111" s="676"/>
      <c r="L111" s="676"/>
      <c r="M111" s="676"/>
      <c r="N111" s="676"/>
      <c r="O111" s="676"/>
      <c r="P111" s="676"/>
      <c r="Q111" s="676"/>
      <c r="R111" s="676"/>
      <c r="S111" s="676"/>
      <c r="T111" s="676"/>
      <c r="U111" s="676"/>
      <c r="V111" s="676"/>
      <c r="W111" s="676"/>
      <c r="X111" s="676">
        <v>0</v>
      </c>
      <c r="Y111" s="676"/>
      <c r="Z111" s="676">
        <v>12090503</v>
      </c>
      <c r="AA111" s="676"/>
      <c r="AB111" s="676"/>
      <c r="AC111" s="676">
        <v>0</v>
      </c>
      <c r="AD111" s="676"/>
      <c r="AE111" s="676"/>
      <c r="AF111" s="676"/>
      <c r="AG111" s="676"/>
      <c r="AH111" s="676"/>
      <c r="AI111" s="676"/>
      <c r="AJ111" s="676"/>
      <c r="AK111" s="676"/>
      <c r="AL111" s="676"/>
      <c r="AM111" s="676"/>
      <c r="AN111" s="676"/>
      <c r="AO111" s="676"/>
      <c r="AP111" s="676"/>
      <c r="AQ111" s="676">
        <v>0</v>
      </c>
      <c r="AR111" s="676"/>
      <c r="AS111" s="676"/>
      <c r="AT111" s="676">
        <v>0</v>
      </c>
      <c r="AU111" s="676"/>
      <c r="AV111" s="676"/>
      <c r="AW111" s="676"/>
      <c r="AX111" s="676"/>
      <c r="AY111" s="676"/>
      <c r="AZ111" s="676">
        <v>0</v>
      </c>
      <c r="BA111" s="676"/>
      <c r="BB111" s="676"/>
      <c r="BC111" s="676"/>
      <c r="BD111" s="676"/>
      <c r="BE111" s="676">
        <v>0</v>
      </c>
      <c r="BF111" s="676"/>
      <c r="BG111" s="676"/>
      <c r="BH111" s="676"/>
      <c r="BI111" s="676"/>
      <c r="BJ111" s="676"/>
      <c r="BK111" s="676"/>
      <c r="BL111" s="676"/>
      <c r="BM111" s="676"/>
      <c r="BN111" s="676">
        <v>0</v>
      </c>
      <c r="BO111" s="676"/>
      <c r="BP111" s="676"/>
      <c r="BQ111" s="676"/>
      <c r="BR111" s="676"/>
      <c r="BS111" s="676"/>
      <c r="BT111" s="676"/>
      <c r="BU111" s="676"/>
      <c r="BV111" s="676"/>
      <c r="BW111" s="676"/>
      <c r="BX111" s="676"/>
      <c r="BY111" s="676"/>
      <c r="BZ111" s="676"/>
      <c r="CA111" s="676"/>
      <c r="CB111" s="676">
        <v>0</v>
      </c>
      <c r="CC111" s="676"/>
      <c r="CD111" s="676"/>
      <c r="CE111" s="676"/>
      <c r="CF111" s="676"/>
      <c r="CG111" s="676"/>
    </row>
    <row r="112" spans="1:85" x14ac:dyDescent="0.25">
      <c r="A112" s="320" t="s">
        <v>1124</v>
      </c>
      <c r="B112" s="320" t="s">
        <v>1125</v>
      </c>
      <c r="C112" s="320"/>
      <c r="D112" s="320" t="s">
        <v>1126</v>
      </c>
      <c r="E112" s="320">
        <v>2015</v>
      </c>
      <c r="F112" s="404"/>
      <c r="G112" s="676"/>
      <c r="H112" s="676">
        <v>600000</v>
      </c>
      <c r="I112" s="676">
        <v>1183940</v>
      </c>
      <c r="J112" s="676">
        <v>4932822</v>
      </c>
      <c r="K112" s="676"/>
      <c r="L112" s="676"/>
      <c r="M112" s="676"/>
      <c r="N112" s="676"/>
      <c r="O112" s="676"/>
      <c r="P112" s="676"/>
      <c r="Q112" s="676"/>
      <c r="R112" s="676"/>
      <c r="S112" s="676"/>
      <c r="T112" s="676"/>
      <c r="U112" s="676"/>
      <c r="V112" s="676"/>
      <c r="W112" s="676"/>
      <c r="X112" s="676">
        <v>0</v>
      </c>
      <c r="Y112" s="676"/>
      <c r="Z112" s="676">
        <v>0</v>
      </c>
      <c r="AA112" s="676"/>
      <c r="AB112" s="676"/>
      <c r="AC112" s="676">
        <v>0</v>
      </c>
      <c r="AD112" s="676"/>
      <c r="AE112" s="676"/>
      <c r="AF112" s="676"/>
      <c r="AG112" s="676"/>
      <c r="AH112" s="676"/>
      <c r="AI112" s="676"/>
      <c r="AJ112" s="676"/>
      <c r="AK112" s="676"/>
      <c r="AL112" s="676"/>
      <c r="AM112" s="676"/>
      <c r="AN112" s="676"/>
      <c r="AO112" s="676"/>
      <c r="AP112" s="676"/>
      <c r="AQ112" s="676">
        <v>0</v>
      </c>
      <c r="AR112" s="676"/>
      <c r="AS112" s="676"/>
      <c r="AT112" s="676">
        <v>0</v>
      </c>
      <c r="AU112" s="676"/>
      <c r="AV112" s="676"/>
      <c r="AW112" s="676"/>
      <c r="AX112" s="676"/>
      <c r="AY112" s="676"/>
      <c r="AZ112" s="676">
        <v>0</v>
      </c>
      <c r="BA112" s="676"/>
      <c r="BB112" s="676">
        <v>1104483</v>
      </c>
      <c r="BC112" s="676"/>
      <c r="BD112" s="676"/>
      <c r="BE112" s="676">
        <v>0</v>
      </c>
      <c r="BF112" s="676"/>
      <c r="BG112" s="676"/>
      <c r="BH112" s="676"/>
      <c r="BI112" s="676"/>
      <c r="BJ112" s="676">
        <v>5000000</v>
      </c>
      <c r="BK112" s="676"/>
      <c r="BL112" s="676"/>
      <c r="BM112" s="676"/>
      <c r="BN112" s="676">
        <v>0</v>
      </c>
      <c r="BO112" s="676"/>
      <c r="BP112" s="676"/>
      <c r="BQ112" s="676"/>
      <c r="BR112" s="676"/>
      <c r="BS112" s="676">
        <v>7976000</v>
      </c>
      <c r="BT112" s="676"/>
      <c r="BU112" s="676"/>
      <c r="BV112" s="676"/>
      <c r="BW112" s="676"/>
      <c r="BX112" s="676"/>
      <c r="BY112" s="676"/>
      <c r="BZ112" s="676"/>
      <c r="CA112" s="676"/>
      <c r="CB112" s="676">
        <v>0</v>
      </c>
      <c r="CC112" s="676"/>
      <c r="CD112" s="676"/>
      <c r="CE112" s="676"/>
      <c r="CF112" s="676"/>
      <c r="CG112" s="676"/>
    </row>
    <row r="113" spans="1:85" x14ac:dyDescent="0.25">
      <c r="A113" s="320" t="s">
        <v>1127</v>
      </c>
      <c r="B113" s="320" t="s">
        <v>1128</v>
      </c>
      <c r="C113" s="320"/>
      <c r="D113" s="320" t="s">
        <v>1129</v>
      </c>
      <c r="E113" s="320">
        <v>2015</v>
      </c>
      <c r="F113" s="404"/>
      <c r="G113" s="676"/>
      <c r="H113" s="676"/>
      <c r="I113" s="676"/>
      <c r="J113" s="676"/>
      <c r="K113" s="676"/>
      <c r="L113" s="676"/>
      <c r="M113" s="676"/>
      <c r="N113" s="676"/>
      <c r="O113" s="676"/>
      <c r="P113" s="676"/>
      <c r="Q113" s="676"/>
      <c r="R113" s="676"/>
      <c r="S113" s="676"/>
      <c r="T113" s="676"/>
      <c r="U113" s="676"/>
      <c r="V113" s="676"/>
      <c r="W113" s="676"/>
      <c r="X113" s="676">
        <v>0</v>
      </c>
      <c r="Y113" s="676"/>
      <c r="Z113" s="676">
        <v>0</v>
      </c>
      <c r="AA113" s="676"/>
      <c r="AB113" s="676"/>
      <c r="AC113" s="676">
        <v>0</v>
      </c>
      <c r="AD113" s="676"/>
      <c r="AE113" s="676"/>
      <c r="AF113" s="676"/>
      <c r="AG113" s="676"/>
      <c r="AH113" s="676"/>
      <c r="AI113" s="676"/>
      <c r="AJ113" s="676"/>
      <c r="AK113" s="676"/>
      <c r="AL113" s="676"/>
      <c r="AM113" s="676"/>
      <c r="AN113" s="676"/>
      <c r="AO113" s="676"/>
      <c r="AP113" s="676"/>
      <c r="AQ113" s="676">
        <v>0</v>
      </c>
      <c r="AR113" s="676"/>
      <c r="AS113" s="676"/>
      <c r="AT113" s="676">
        <v>0</v>
      </c>
      <c r="AU113" s="676"/>
      <c r="AV113" s="676"/>
      <c r="AW113" s="676"/>
      <c r="AX113" s="676"/>
      <c r="AY113" s="676"/>
      <c r="AZ113" s="676">
        <v>0</v>
      </c>
      <c r="BA113" s="676"/>
      <c r="BB113" s="676"/>
      <c r="BC113" s="676"/>
      <c r="BD113" s="676"/>
      <c r="BE113" s="676">
        <v>0</v>
      </c>
      <c r="BF113" s="676"/>
      <c r="BG113" s="676"/>
      <c r="BH113" s="676"/>
      <c r="BI113" s="676"/>
      <c r="BJ113" s="676"/>
      <c r="BK113" s="676"/>
      <c r="BL113" s="676"/>
      <c r="BM113" s="676"/>
      <c r="BN113" s="676">
        <v>0</v>
      </c>
      <c r="BO113" s="676"/>
      <c r="BP113" s="676"/>
      <c r="BQ113" s="676"/>
      <c r="BR113" s="676"/>
      <c r="BS113" s="676"/>
      <c r="BT113" s="676"/>
      <c r="BU113" s="676"/>
      <c r="BV113" s="676"/>
      <c r="BW113" s="676"/>
      <c r="BX113" s="676"/>
      <c r="BY113" s="676"/>
      <c r="BZ113" s="676"/>
      <c r="CA113" s="676"/>
      <c r="CB113" s="676">
        <v>0</v>
      </c>
      <c r="CC113" s="676"/>
      <c r="CD113" s="676"/>
      <c r="CE113" s="676"/>
      <c r="CF113" s="676"/>
      <c r="CG113" s="676">
        <v>46706000</v>
      </c>
    </row>
    <row r="114" spans="1:85" x14ac:dyDescent="0.25">
      <c r="A114" s="320" t="s">
        <v>1130</v>
      </c>
      <c r="B114" s="320" t="s">
        <v>1131</v>
      </c>
      <c r="C114" s="320"/>
      <c r="D114" s="320" t="s">
        <v>1132</v>
      </c>
      <c r="E114" s="320">
        <v>2015</v>
      </c>
      <c r="F114" s="404"/>
      <c r="G114" s="676"/>
      <c r="H114" s="676"/>
      <c r="I114" s="676"/>
      <c r="J114" s="676"/>
      <c r="K114" s="676"/>
      <c r="L114" s="676"/>
      <c r="M114" s="676"/>
      <c r="N114" s="676"/>
      <c r="O114" s="676"/>
      <c r="P114" s="676"/>
      <c r="Q114" s="676"/>
      <c r="R114" s="676">
        <v>125757</v>
      </c>
      <c r="S114" s="676"/>
      <c r="T114" s="676">
        <v>2319589</v>
      </c>
      <c r="U114" s="676">
        <v>10771000</v>
      </c>
      <c r="V114" s="676"/>
      <c r="W114" s="676"/>
      <c r="X114" s="676">
        <v>899385.08</v>
      </c>
      <c r="Y114" s="676"/>
      <c r="Z114" s="676">
        <v>0</v>
      </c>
      <c r="AA114" s="676"/>
      <c r="AB114" s="676"/>
      <c r="AC114" s="676">
        <v>0</v>
      </c>
      <c r="AD114" s="676"/>
      <c r="AE114" s="676"/>
      <c r="AF114" s="676">
        <v>6349623</v>
      </c>
      <c r="AG114" s="676"/>
      <c r="AH114" s="676">
        <v>7819</v>
      </c>
      <c r="AI114" s="676"/>
      <c r="AJ114" s="676"/>
      <c r="AK114" s="676">
        <v>118562</v>
      </c>
      <c r="AL114" s="676"/>
      <c r="AM114" s="676"/>
      <c r="AN114" s="676"/>
      <c r="AO114" s="676"/>
      <c r="AP114" s="676"/>
      <c r="AQ114" s="676">
        <v>0</v>
      </c>
      <c r="AR114" s="676"/>
      <c r="AS114" s="676"/>
      <c r="AT114" s="676">
        <v>0</v>
      </c>
      <c r="AU114" s="676"/>
      <c r="AV114" s="676"/>
      <c r="AW114" s="676"/>
      <c r="AX114" s="676"/>
      <c r="AY114" s="676"/>
      <c r="AZ114" s="676">
        <v>0</v>
      </c>
      <c r="BA114" s="676"/>
      <c r="BB114" s="676"/>
      <c r="BC114" s="676">
        <v>8173724</v>
      </c>
      <c r="BD114" s="676"/>
      <c r="BE114" s="676">
        <v>0</v>
      </c>
      <c r="BF114" s="676"/>
      <c r="BG114" s="676">
        <v>449000</v>
      </c>
      <c r="BH114" s="676"/>
      <c r="BI114" s="676"/>
      <c r="BJ114" s="676">
        <v>4240000</v>
      </c>
      <c r="BK114" s="676"/>
      <c r="BL114" s="676"/>
      <c r="BM114" s="676"/>
      <c r="BN114" s="676">
        <v>0</v>
      </c>
      <c r="BO114" s="676"/>
      <c r="BP114" s="676"/>
      <c r="BQ114" s="676"/>
      <c r="BR114" s="676"/>
      <c r="BS114" s="676"/>
      <c r="BT114" s="676">
        <v>736504</v>
      </c>
      <c r="BU114" s="676"/>
      <c r="BV114" s="676"/>
      <c r="BW114" s="676"/>
      <c r="BX114" s="676">
        <v>7704</v>
      </c>
      <c r="BY114" s="676">
        <v>2761</v>
      </c>
      <c r="BZ114" s="676">
        <v>21414000</v>
      </c>
      <c r="CA114" s="676"/>
      <c r="CB114" s="676">
        <v>0</v>
      </c>
      <c r="CC114" s="676"/>
      <c r="CD114" s="676"/>
      <c r="CE114" s="676">
        <v>2942000</v>
      </c>
      <c r="CF114" s="676">
        <v>18663000</v>
      </c>
      <c r="CG114" s="676">
        <v>414021000</v>
      </c>
    </row>
    <row r="115" spans="1:85" x14ac:dyDescent="0.25">
      <c r="A115" s="320" t="s">
        <v>1133</v>
      </c>
      <c r="B115" s="320" t="s">
        <v>1134</v>
      </c>
      <c r="C115" s="320"/>
      <c r="D115" s="320" t="s">
        <v>1135</v>
      </c>
      <c r="E115" s="320">
        <v>2015</v>
      </c>
      <c r="F115" s="404"/>
      <c r="G115" s="676"/>
      <c r="H115" s="676"/>
      <c r="I115" s="676"/>
      <c r="J115" s="676"/>
      <c r="K115" s="676"/>
      <c r="L115" s="676">
        <v>20216</v>
      </c>
      <c r="M115" s="676"/>
      <c r="N115" s="676"/>
      <c r="O115" s="676"/>
      <c r="P115" s="676"/>
      <c r="Q115" s="676"/>
      <c r="R115" s="676"/>
      <c r="S115" s="676"/>
      <c r="T115" s="676"/>
      <c r="U115" s="676"/>
      <c r="V115" s="676"/>
      <c r="W115" s="676"/>
      <c r="X115" s="676">
        <v>0</v>
      </c>
      <c r="Y115" s="676"/>
      <c r="Z115" s="676">
        <v>0</v>
      </c>
      <c r="AA115" s="676"/>
      <c r="AB115" s="676"/>
      <c r="AC115" s="676">
        <v>0</v>
      </c>
      <c r="AD115" s="676"/>
      <c r="AE115" s="676"/>
      <c r="AF115" s="676"/>
      <c r="AG115" s="676"/>
      <c r="AH115" s="676"/>
      <c r="AI115" s="676"/>
      <c r="AJ115" s="676"/>
      <c r="AK115" s="676"/>
      <c r="AL115" s="676"/>
      <c r="AM115" s="676"/>
      <c r="AN115" s="676"/>
      <c r="AO115" s="676"/>
      <c r="AP115" s="676"/>
      <c r="AQ115" s="676">
        <v>0</v>
      </c>
      <c r="AR115" s="676"/>
      <c r="AS115" s="676"/>
      <c r="AT115" s="676">
        <v>0</v>
      </c>
      <c r="AU115" s="676"/>
      <c r="AV115" s="676"/>
      <c r="AW115" s="676"/>
      <c r="AX115" s="676"/>
      <c r="AY115" s="676"/>
      <c r="AZ115" s="676">
        <v>0</v>
      </c>
      <c r="BA115" s="676"/>
      <c r="BB115" s="676"/>
      <c r="BC115" s="676"/>
      <c r="BD115" s="676"/>
      <c r="BE115" s="676">
        <v>0</v>
      </c>
      <c r="BF115" s="676"/>
      <c r="BG115" s="676"/>
      <c r="BH115" s="676"/>
      <c r="BI115" s="676">
        <v>474</v>
      </c>
      <c r="BJ115" s="676"/>
      <c r="BK115" s="676"/>
      <c r="BL115" s="676"/>
      <c r="BM115" s="676"/>
      <c r="BN115" s="676">
        <v>0</v>
      </c>
      <c r="BO115" s="676"/>
      <c r="BP115" s="676"/>
      <c r="BQ115" s="676"/>
      <c r="BR115" s="676"/>
      <c r="BS115" s="676"/>
      <c r="BT115" s="676"/>
      <c r="BU115" s="676"/>
      <c r="BV115" s="676"/>
      <c r="BW115" s="676">
        <v>54133</v>
      </c>
      <c r="BX115" s="676"/>
      <c r="BY115" s="676"/>
      <c r="BZ115" s="676"/>
      <c r="CA115" s="676"/>
      <c r="CB115" s="676">
        <v>0</v>
      </c>
      <c r="CC115" s="676"/>
      <c r="CD115" s="676"/>
      <c r="CE115" s="676"/>
      <c r="CF115" s="676"/>
      <c r="CG115" s="676"/>
    </row>
    <row r="116" spans="1:85" x14ac:dyDescent="0.25">
      <c r="A116" s="320" t="s">
        <v>1136</v>
      </c>
      <c r="B116" s="320" t="s">
        <v>1137</v>
      </c>
      <c r="C116" s="320"/>
      <c r="D116" s="320" t="s">
        <v>1138</v>
      </c>
      <c r="E116" s="320">
        <v>2015</v>
      </c>
      <c r="F116" s="404"/>
      <c r="G116" s="676"/>
      <c r="H116" s="676"/>
      <c r="I116" s="676"/>
      <c r="J116" s="676"/>
      <c r="K116" s="676"/>
      <c r="L116" s="676"/>
      <c r="M116" s="676"/>
      <c r="N116" s="676"/>
      <c r="O116" s="676"/>
      <c r="P116" s="676"/>
      <c r="Q116" s="676"/>
      <c r="R116" s="676"/>
      <c r="S116" s="676"/>
      <c r="T116" s="676"/>
      <c r="U116" s="676"/>
      <c r="V116" s="676"/>
      <c r="W116" s="676"/>
      <c r="X116" s="676">
        <v>0</v>
      </c>
      <c r="Y116" s="676"/>
      <c r="Z116" s="676">
        <v>0</v>
      </c>
      <c r="AA116" s="676"/>
      <c r="AB116" s="676"/>
      <c r="AC116" s="676">
        <v>0</v>
      </c>
      <c r="AD116" s="676"/>
      <c r="AE116" s="676"/>
      <c r="AF116" s="676"/>
      <c r="AG116" s="676"/>
      <c r="AH116" s="676"/>
      <c r="AI116" s="676"/>
      <c r="AJ116" s="676"/>
      <c r="AK116" s="676"/>
      <c r="AL116" s="676"/>
      <c r="AM116" s="676"/>
      <c r="AN116" s="676"/>
      <c r="AO116" s="676"/>
      <c r="AP116" s="676"/>
      <c r="AQ116" s="676">
        <v>0</v>
      </c>
      <c r="AR116" s="676"/>
      <c r="AS116" s="676"/>
      <c r="AT116" s="676">
        <v>0</v>
      </c>
      <c r="AU116" s="676"/>
      <c r="AV116" s="676"/>
      <c r="AW116" s="676"/>
      <c r="AX116" s="676"/>
      <c r="AY116" s="676"/>
      <c r="AZ116" s="676">
        <v>0</v>
      </c>
      <c r="BA116" s="676"/>
      <c r="BB116" s="676"/>
      <c r="BC116" s="676"/>
      <c r="BD116" s="676"/>
      <c r="BE116" s="676">
        <v>0</v>
      </c>
      <c r="BF116" s="676"/>
      <c r="BG116" s="676"/>
      <c r="BH116" s="676"/>
      <c r="BI116" s="676"/>
      <c r="BJ116" s="676"/>
      <c r="BK116" s="676"/>
      <c r="BL116" s="676"/>
      <c r="BM116" s="676"/>
      <c r="BN116" s="676">
        <v>0</v>
      </c>
      <c r="BO116" s="676"/>
      <c r="BP116" s="676"/>
      <c r="BQ116" s="676"/>
      <c r="BR116" s="676"/>
      <c r="BS116" s="676"/>
      <c r="BT116" s="676"/>
      <c r="BU116" s="676"/>
      <c r="BV116" s="676"/>
      <c r="BW116" s="676"/>
      <c r="BX116" s="676"/>
      <c r="BY116" s="676"/>
      <c r="BZ116" s="676"/>
      <c r="CA116" s="676"/>
      <c r="CB116" s="676">
        <v>0</v>
      </c>
      <c r="CC116" s="676"/>
      <c r="CD116" s="676"/>
      <c r="CE116" s="676"/>
      <c r="CF116" s="676"/>
      <c r="CG116" s="676"/>
    </row>
    <row r="117" spans="1:85" x14ac:dyDescent="0.25">
      <c r="A117" s="320" t="s">
        <v>1139</v>
      </c>
      <c r="B117" s="320" t="s">
        <v>1140</v>
      </c>
      <c r="C117" s="320"/>
      <c r="D117" s="320" t="s">
        <v>1141</v>
      </c>
      <c r="E117" s="320">
        <v>2015</v>
      </c>
      <c r="F117" s="404"/>
      <c r="G117" s="676"/>
      <c r="H117" s="676"/>
      <c r="I117" s="676"/>
      <c r="J117" s="676"/>
      <c r="K117" s="676"/>
      <c r="L117" s="676"/>
      <c r="M117" s="676"/>
      <c r="N117" s="676"/>
      <c r="O117" s="676"/>
      <c r="P117" s="676"/>
      <c r="Q117" s="676"/>
      <c r="R117" s="676"/>
      <c r="S117" s="676"/>
      <c r="T117" s="676"/>
      <c r="U117" s="676">
        <v>1261050000</v>
      </c>
      <c r="V117" s="676"/>
      <c r="W117" s="676"/>
      <c r="X117" s="676">
        <v>0</v>
      </c>
      <c r="Y117" s="676"/>
      <c r="Z117" s="676">
        <v>0</v>
      </c>
      <c r="AA117" s="676"/>
      <c r="AB117" s="676"/>
      <c r="AC117" s="676">
        <v>0</v>
      </c>
      <c r="AD117" s="676"/>
      <c r="AE117" s="676"/>
      <c r="AF117" s="676"/>
      <c r="AG117" s="676"/>
      <c r="AH117" s="676"/>
      <c r="AI117" s="676"/>
      <c r="AJ117" s="676"/>
      <c r="AK117" s="676"/>
      <c r="AL117" s="676"/>
      <c r="AM117" s="676"/>
      <c r="AN117" s="676"/>
      <c r="AO117" s="676"/>
      <c r="AP117" s="676"/>
      <c r="AQ117" s="676">
        <v>0</v>
      </c>
      <c r="AR117" s="676"/>
      <c r="AS117" s="676"/>
      <c r="AT117" s="676">
        <v>0</v>
      </c>
      <c r="AU117" s="676"/>
      <c r="AV117" s="676"/>
      <c r="AW117" s="676"/>
      <c r="AX117" s="676"/>
      <c r="AY117" s="676"/>
      <c r="AZ117" s="676">
        <v>0</v>
      </c>
      <c r="BA117" s="676"/>
      <c r="BB117" s="676"/>
      <c r="BC117" s="676"/>
      <c r="BD117" s="676"/>
      <c r="BE117" s="676">
        <v>0</v>
      </c>
      <c r="BF117" s="676"/>
      <c r="BG117" s="676"/>
      <c r="BH117" s="676"/>
      <c r="BI117" s="676"/>
      <c r="BJ117" s="676"/>
      <c r="BK117" s="676"/>
      <c r="BL117" s="676"/>
      <c r="BM117" s="676"/>
      <c r="BN117" s="676">
        <v>0</v>
      </c>
      <c r="BO117" s="676"/>
      <c r="BP117" s="676"/>
      <c r="BQ117" s="676"/>
      <c r="BR117" s="676"/>
      <c r="BS117" s="676"/>
      <c r="BT117" s="676"/>
      <c r="BU117" s="676"/>
      <c r="BV117" s="676"/>
      <c r="BW117" s="676"/>
      <c r="BX117" s="676"/>
      <c r="BY117" s="676"/>
      <c r="BZ117" s="676"/>
      <c r="CA117" s="676"/>
      <c r="CB117" s="676">
        <v>0</v>
      </c>
      <c r="CC117" s="676">
        <v>628187000</v>
      </c>
      <c r="CD117" s="676"/>
      <c r="CE117" s="676"/>
      <c r="CF117" s="676"/>
      <c r="CG117" s="676"/>
    </row>
    <row r="118" spans="1:85" x14ac:dyDescent="0.25">
      <c r="A118" s="320" t="s">
        <v>1142</v>
      </c>
      <c r="B118" s="320" t="s">
        <v>1143</v>
      </c>
      <c r="C118" s="320"/>
      <c r="D118" s="320" t="s">
        <v>1144</v>
      </c>
      <c r="E118" s="320">
        <v>2015</v>
      </c>
      <c r="F118" s="404">
        <v>1413</v>
      </c>
      <c r="G118" s="676">
        <v>1310</v>
      </c>
      <c r="H118" s="676">
        <v>16292</v>
      </c>
      <c r="I118" s="676">
        <v>5749</v>
      </c>
      <c r="J118" s="676"/>
      <c r="K118" s="676">
        <v>731</v>
      </c>
      <c r="L118" s="676">
        <v>13519</v>
      </c>
      <c r="M118" s="676">
        <v>12286</v>
      </c>
      <c r="N118" s="676">
        <v>5832</v>
      </c>
      <c r="O118" s="676">
        <v>15335</v>
      </c>
      <c r="P118" s="676">
        <v>11505</v>
      </c>
      <c r="Q118" s="676">
        <v>441</v>
      </c>
      <c r="R118" s="676">
        <v>67005</v>
      </c>
      <c r="S118" s="676">
        <v>15575</v>
      </c>
      <c r="T118" s="676">
        <v>65579</v>
      </c>
      <c r="U118" s="676"/>
      <c r="V118" s="676">
        <v>18456</v>
      </c>
      <c r="W118" s="676">
        <v>25788</v>
      </c>
      <c r="X118" s="676">
        <v>1498.3</v>
      </c>
      <c r="Y118" s="676"/>
      <c r="Z118" s="676">
        <v>391221</v>
      </c>
      <c r="AA118" s="676">
        <v>21954</v>
      </c>
      <c r="AB118" s="676">
        <v>487975</v>
      </c>
      <c r="AC118" s="676">
        <v>12187.06</v>
      </c>
      <c r="AD118" s="676">
        <v>16207</v>
      </c>
      <c r="AE118" s="676">
        <v>7744</v>
      </c>
      <c r="AF118" s="676">
        <v>36856</v>
      </c>
      <c r="AG118" s="676">
        <v>3344</v>
      </c>
      <c r="AH118" s="676">
        <v>2366</v>
      </c>
      <c r="AI118" s="676">
        <v>11229</v>
      </c>
      <c r="AJ118" s="676">
        <v>4110</v>
      </c>
      <c r="AK118" s="676">
        <v>2036812</v>
      </c>
      <c r="AL118" s="676">
        <v>1966</v>
      </c>
      <c r="AM118" s="676">
        <v>303509</v>
      </c>
      <c r="AN118" s="676"/>
      <c r="AO118" s="676">
        <v>15003</v>
      </c>
      <c r="AP118" s="676">
        <v>7770</v>
      </c>
      <c r="AQ118" s="676">
        <v>12450</v>
      </c>
      <c r="AR118" s="676">
        <v>6797</v>
      </c>
      <c r="AS118" s="676">
        <v>8939</v>
      </c>
      <c r="AT118" s="676">
        <v>566.64</v>
      </c>
      <c r="AU118" s="676">
        <v>22003</v>
      </c>
      <c r="AV118" s="676">
        <v>24168</v>
      </c>
      <c r="AW118" s="676">
        <v>4232</v>
      </c>
      <c r="AX118" s="676">
        <v>7198</v>
      </c>
      <c r="AY118" s="676">
        <v>7020</v>
      </c>
      <c r="AZ118" s="676">
        <v>13932</v>
      </c>
      <c r="BA118" s="676">
        <v>5216</v>
      </c>
      <c r="BB118" s="676">
        <v>36440</v>
      </c>
      <c r="BC118" s="676">
        <v>35467</v>
      </c>
      <c r="BD118" s="676">
        <v>220144</v>
      </c>
      <c r="BE118" s="676">
        <v>343990.7</v>
      </c>
      <c r="BF118" s="676">
        <v>61000</v>
      </c>
      <c r="BG118" s="676"/>
      <c r="BH118" s="676"/>
      <c r="BI118" s="676">
        <v>124823</v>
      </c>
      <c r="BJ118" s="676">
        <v>2709</v>
      </c>
      <c r="BK118" s="676">
        <v>4204</v>
      </c>
      <c r="BL118" s="676">
        <v>11990</v>
      </c>
      <c r="BM118" s="676">
        <v>65000</v>
      </c>
      <c r="BN118" s="676">
        <v>3426</v>
      </c>
      <c r="BO118" s="676">
        <v>5705</v>
      </c>
      <c r="BP118" s="676">
        <v>9301</v>
      </c>
      <c r="BQ118" s="676">
        <v>14428</v>
      </c>
      <c r="BR118" s="676">
        <v>84853</v>
      </c>
      <c r="BS118" s="676">
        <v>94851</v>
      </c>
      <c r="BT118" s="676">
        <v>246143</v>
      </c>
      <c r="BU118" s="676">
        <v>551</v>
      </c>
      <c r="BV118" s="676">
        <v>7237</v>
      </c>
      <c r="BW118" s="676">
        <v>309182</v>
      </c>
      <c r="BX118" s="676">
        <v>24843</v>
      </c>
      <c r="BY118" s="676">
        <v>5248</v>
      </c>
      <c r="BZ118" s="676"/>
      <c r="CA118" s="676">
        <v>1892.86</v>
      </c>
      <c r="CB118" s="676">
        <v>19599.740000000002</v>
      </c>
      <c r="CC118" s="676"/>
      <c r="CD118" s="676">
        <v>719</v>
      </c>
      <c r="CE118" s="676">
        <v>744000</v>
      </c>
      <c r="CF118" s="676"/>
      <c r="CG118" s="676"/>
    </row>
    <row r="119" spans="1:85" x14ac:dyDescent="0.25">
      <c r="A119" s="320" t="s">
        <v>1145</v>
      </c>
      <c r="B119" s="320" t="s">
        <v>1146</v>
      </c>
      <c r="C119" s="320"/>
      <c r="D119" s="320" t="s">
        <v>1147</v>
      </c>
      <c r="E119" s="320">
        <v>2015</v>
      </c>
      <c r="F119" s="404"/>
      <c r="G119" s="676"/>
      <c r="H119" s="676"/>
      <c r="I119" s="676">
        <v>1842674</v>
      </c>
      <c r="J119" s="676"/>
      <c r="K119" s="676"/>
      <c r="L119" s="676"/>
      <c r="M119" s="676"/>
      <c r="N119" s="676"/>
      <c r="O119" s="676"/>
      <c r="P119" s="676"/>
      <c r="Q119" s="676"/>
      <c r="R119" s="676">
        <v>381832</v>
      </c>
      <c r="S119" s="676"/>
      <c r="T119" s="676">
        <v>12240968</v>
      </c>
      <c r="U119" s="676"/>
      <c r="V119" s="676"/>
      <c r="W119" s="676"/>
      <c r="X119" s="676">
        <v>0</v>
      </c>
      <c r="Y119" s="676"/>
      <c r="Z119" s="676">
        <v>0</v>
      </c>
      <c r="AA119" s="676"/>
      <c r="AB119" s="676">
        <v>476</v>
      </c>
      <c r="AC119" s="676">
        <v>0</v>
      </c>
      <c r="AD119" s="676"/>
      <c r="AE119" s="676"/>
      <c r="AF119" s="676">
        <v>0</v>
      </c>
      <c r="AG119" s="676"/>
      <c r="AH119" s="676"/>
      <c r="AI119" s="676"/>
      <c r="AJ119" s="676"/>
      <c r="AK119" s="676"/>
      <c r="AL119" s="676"/>
      <c r="AM119" s="676"/>
      <c r="AN119" s="676"/>
      <c r="AO119" s="676"/>
      <c r="AP119" s="676"/>
      <c r="AQ119" s="676">
        <v>0</v>
      </c>
      <c r="AR119" s="676"/>
      <c r="AS119" s="676"/>
      <c r="AT119" s="676">
        <v>0</v>
      </c>
      <c r="AU119" s="676">
        <v>45688</v>
      </c>
      <c r="AV119" s="676"/>
      <c r="AW119" s="676"/>
      <c r="AX119" s="676"/>
      <c r="AY119" s="676"/>
      <c r="AZ119" s="676">
        <v>0</v>
      </c>
      <c r="BA119" s="676">
        <v>74299</v>
      </c>
      <c r="BB119" s="676"/>
      <c r="BC119" s="676"/>
      <c r="BD119" s="676"/>
      <c r="BE119" s="676">
        <v>0</v>
      </c>
      <c r="BF119" s="676">
        <v>14594000</v>
      </c>
      <c r="BG119" s="676"/>
      <c r="BH119" s="676"/>
      <c r="BI119" s="676"/>
      <c r="BJ119" s="676"/>
      <c r="BK119" s="676"/>
      <c r="BL119" s="676"/>
      <c r="BM119" s="676"/>
      <c r="BN119" s="676">
        <v>0</v>
      </c>
      <c r="BO119" s="676"/>
      <c r="BP119" s="676"/>
      <c r="BQ119" s="676">
        <v>0</v>
      </c>
      <c r="BR119" s="676"/>
      <c r="BS119" s="676"/>
      <c r="BT119" s="676"/>
      <c r="BU119" s="676"/>
      <c r="BV119" s="676"/>
      <c r="BW119" s="676"/>
      <c r="BX119" s="676">
        <v>196497</v>
      </c>
      <c r="BY119" s="676">
        <v>38869</v>
      </c>
      <c r="BZ119" s="676"/>
      <c r="CA119" s="676"/>
      <c r="CB119" s="676">
        <v>0</v>
      </c>
      <c r="CC119" s="676"/>
      <c r="CD119" s="676"/>
      <c r="CE119" s="676"/>
      <c r="CF119" s="676"/>
      <c r="CG119" s="676"/>
    </row>
    <row r="120" spans="1:85" x14ac:dyDescent="0.25">
      <c r="A120" s="320" t="s">
        <v>1148</v>
      </c>
      <c r="B120" s="320" t="s">
        <v>1149</v>
      </c>
      <c r="C120" s="320"/>
      <c r="D120" s="320" t="s">
        <v>1150</v>
      </c>
      <c r="E120" s="320">
        <v>2015</v>
      </c>
      <c r="F120" s="404"/>
      <c r="G120" s="676"/>
      <c r="H120" s="676"/>
      <c r="I120" s="676"/>
      <c r="J120" s="676"/>
      <c r="K120" s="676"/>
      <c r="L120" s="676"/>
      <c r="M120" s="676"/>
      <c r="N120" s="676"/>
      <c r="O120" s="676"/>
      <c r="P120" s="676"/>
      <c r="Q120" s="676"/>
      <c r="R120" s="676"/>
      <c r="S120" s="676"/>
      <c r="T120" s="676"/>
      <c r="U120" s="676"/>
      <c r="V120" s="676"/>
      <c r="W120" s="676"/>
      <c r="X120" s="676">
        <v>0</v>
      </c>
      <c r="Y120" s="676"/>
      <c r="Z120" s="676">
        <v>0</v>
      </c>
      <c r="AA120" s="676"/>
      <c r="AB120" s="676"/>
      <c r="AC120" s="676">
        <v>0</v>
      </c>
      <c r="AD120" s="676"/>
      <c r="AE120" s="676"/>
      <c r="AF120" s="676">
        <v>443690</v>
      </c>
      <c r="AG120" s="676"/>
      <c r="AH120" s="676"/>
      <c r="AI120" s="676"/>
      <c r="AJ120" s="676"/>
      <c r="AK120" s="676"/>
      <c r="AL120" s="676"/>
      <c r="AM120" s="676"/>
      <c r="AN120" s="676"/>
      <c r="AO120" s="676"/>
      <c r="AP120" s="676"/>
      <c r="AQ120" s="676">
        <v>0</v>
      </c>
      <c r="AR120" s="676"/>
      <c r="AS120" s="676"/>
      <c r="AT120" s="676">
        <v>0</v>
      </c>
      <c r="AU120" s="676"/>
      <c r="AV120" s="676"/>
      <c r="AW120" s="676"/>
      <c r="AX120" s="676"/>
      <c r="AY120" s="676"/>
      <c r="AZ120" s="676">
        <v>0</v>
      </c>
      <c r="BA120" s="676"/>
      <c r="BB120" s="676"/>
      <c r="BC120" s="676"/>
      <c r="BD120" s="676"/>
      <c r="BE120" s="676">
        <v>0</v>
      </c>
      <c r="BF120" s="676"/>
      <c r="BG120" s="676">
        <v>231426000</v>
      </c>
      <c r="BH120" s="676"/>
      <c r="BI120" s="676"/>
      <c r="BJ120" s="676"/>
      <c r="BK120" s="676"/>
      <c r="BL120" s="676"/>
      <c r="BM120" s="676"/>
      <c r="BN120" s="676">
        <v>0</v>
      </c>
      <c r="BO120" s="676"/>
      <c r="BP120" s="676"/>
      <c r="BQ120" s="676"/>
      <c r="BR120" s="676"/>
      <c r="BS120" s="676"/>
      <c r="BT120" s="676"/>
      <c r="BU120" s="676"/>
      <c r="BV120" s="676"/>
      <c r="BW120" s="676"/>
      <c r="BX120" s="676"/>
      <c r="BY120" s="676"/>
      <c r="BZ120" s="676"/>
      <c r="CA120" s="676"/>
      <c r="CB120" s="676">
        <v>0</v>
      </c>
      <c r="CC120" s="676"/>
      <c r="CD120" s="676"/>
      <c r="CE120" s="676"/>
      <c r="CF120" s="676"/>
      <c r="CG120" s="676">
        <v>23358000</v>
      </c>
    </row>
    <row r="121" spans="1:85" x14ac:dyDescent="0.25">
      <c r="A121" s="320" t="s">
        <v>1151</v>
      </c>
      <c r="B121" s="320" t="s">
        <v>1152</v>
      </c>
      <c r="C121" s="320"/>
      <c r="D121" s="320" t="s">
        <v>1153</v>
      </c>
      <c r="E121" s="320">
        <v>2015</v>
      </c>
      <c r="F121" s="404">
        <v>117895</v>
      </c>
      <c r="G121" s="676">
        <v>164429</v>
      </c>
      <c r="H121" s="676">
        <v>1791280</v>
      </c>
      <c r="I121" s="676">
        <v>692985</v>
      </c>
      <c r="J121" s="676"/>
      <c r="K121" s="676"/>
      <c r="L121" s="676"/>
      <c r="M121" s="676">
        <v>1817835</v>
      </c>
      <c r="N121" s="676"/>
      <c r="O121" s="676">
        <v>5117</v>
      </c>
      <c r="P121" s="676"/>
      <c r="Q121" s="676"/>
      <c r="R121" s="676">
        <v>494873</v>
      </c>
      <c r="S121" s="676">
        <v>24795</v>
      </c>
      <c r="T121" s="676">
        <v>2087445</v>
      </c>
      <c r="U121" s="676">
        <v>441545000</v>
      </c>
      <c r="V121" s="676"/>
      <c r="W121" s="676">
        <v>647926</v>
      </c>
      <c r="X121" s="676">
        <v>0</v>
      </c>
      <c r="Y121" s="676"/>
      <c r="Z121" s="676">
        <v>0</v>
      </c>
      <c r="AA121" s="676">
        <v>25500</v>
      </c>
      <c r="AB121" s="676">
        <v>12438377</v>
      </c>
      <c r="AC121" s="676">
        <v>0</v>
      </c>
      <c r="AD121" s="676"/>
      <c r="AE121" s="676"/>
      <c r="AF121" s="676">
        <v>8242809</v>
      </c>
      <c r="AG121" s="676"/>
      <c r="AH121" s="676"/>
      <c r="AI121" s="676">
        <v>36404</v>
      </c>
      <c r="AJ121" s="676"/>
      <c r="AK121" s="676"/>
      <c r="AL121" s="676"/>
      <c r="AM121" s="676"/>
      <c r="AN121" s="676">
        <v>147492000</v>
      </c>
      <c r="AO121" s="676">
        <v>1264596</v>
      </c>
      <c r="AP121" s="676"/>
      <c r="AQ121" s="676">
        <v>1027217</v>
      </c>
      <c r="AR121" s="676"/>
      <c r="AS121" s="676"/>
      <c r="AT121" s="676">
        <v>8549.94</v>
      </c>
      <c r="AU121" s="676"/>
      <c r="AV121" s="676">
        <v>872</v>
      </c>
      <c r="AW121" s="676">
        <v>42870</v>
      </c>
      <c r="AX121" s="676"/>
      <c r="AY121" s="676">
        <v>12587</v>
      </c>
      <c r="AZ121" s="676">
        <v>0</v>
      </c>
      <c r="BA121" s="676">
        <v>519422</v>
      </c>
      <c r="BB121" s="676">
        <v>109681</v>
      </c>
      <c r="BC121" s="676">
        <v>2271602</v>
      </c>
      <c r="BD121" s="676">
        <v>55617468</v>
      </c>
      <c r="BE121" s="676">
        <v>0</v>
      </c>
      <c r="BF121" s="676">
        <v>1438000</v>
      </c>
      <c r="BG121" s="676">
        <v>274160000</v>
      </c>
      <c r="BH121" s="676"/>
      <c r="BI121" s="676">
        <v>107610372</v>
      </c>
      <c r="BJ121" s="676"/>
      <c r="BK121" s="676">
        <v>310837</v>
      </c>
      <c r="BL121" s="676">
        <v>2216182</v>
      </c>
      <c r="BM121" s="676"/>
      <c r="BN121" s="676">
        <v>988048</v>
      </c>
      <c r="BO121" s="676">
        <v>19176</v>
      </c>
      <c r="BP121" s="676">
        <v>3150</v>
      </c>
      <c r="BQ121" s="676"/>
      <c r="BR121" s="676">
        <v>166487</v>
      </c>
      <c r="BS121" s="676"/>
      <c r="BT121" s="676">
        <v>16064817</v>
      </c>
      <c r="BU121" s="676"/>
      <c r="BV121" s="676"/>
      <c r="BW121" s="676">
        <v>106470998</v>
      </c>
      <c r="BX121" s="676">
        <v>847389</v>
      </c>
      <c r="BY121" s="676"/>
      <c r="BZ121" s="676"/>
      <c r="CA121" s="676">
        <v>1222017.31</v>
      </c>
      <c r="CB121" s="676">
        <v>551272.73</v>
      </c>
      <c r="CC121" s="676">
        <v>1484000</v>
      </c>
      <c r="CD121" s="676"/>
      <c r="CE121" s="676">
        <v>39074000</v>
      </c>
      <c r="CF121" s="676"/>
      <c r="CG121" s="676">
        <v>9259000</v>
      </c>
    </row>
    <row r="122" spans="1:85" x14ac:dyDescent="0.25">
      <c r="A122" s="320" t="s">
        <v>965</v>
      </c>
      <c r="B122" s="320" t="s">
        <v>1409</v>
      </c>
      <c r="C122" s="320" t="s">
        <v>1410</v>
      </c>
      <c r="D122" s="320" t="s">
        <v>1154</v>
      </c>
      <c r="E122" s="320">
        <v>2015</v>
      </c>
      <c r="F122" s="404"/>
      <c r="G122" s="676"/>
      <c r="H122" s="676">
        <v>91976</v>
      </c>
      <c r="I122" s="676">
        <v>52740</v>
      </c>
      <c r="J122" s="676">
        <v>34388</v>
      </c>
      <c r="K122" s="676"/>
      <c r="L122" s="676"/>
      <c r="M122" s="676"/>
      <c r="N122" s="676"/>
      <c r="O122" s="676">
        <v>185700</v>
      </c>
      <c r="P122" s="676">
        <v>14315</v>
      </c>
      <c r="Q122" s="676">
        <v>8249</v>
      </c>
      <c r="R122" s="676"/>
      <c r="S122" s="676"/>
      <c r="T122" s="676">
        <v>204720</v>
      </c>
      <c r="U122" s="676">
        <v>11204000</v>
      </c>
      <c r="V122" s="676">
        <v>28972</v>
      </c>
      <c r="W122" s="676">
        <v>24803</v>
      </c>
      <c r="X122" s="676">
        <v>0</v>
      </c>
      <c r="Y122" s="676"/>
      <c r="Z122" s="676">
        <v>1097406180</v>
      </c>
      <c r="AA122" s="676"/>
      <c r="AB122" s="676">
        <v>17457884</v>
      </c>
      <c r="AC122" s="676">
        <v>0</v>
      </c>
      <c r="AD122" s="676">
        <v>412744</v>
      </c>
      <c r="AE122" s="676">
        <v>665629</v>
      </c>
      <c r="AF122" s="676">
        <v>22278</v>
      </c>
      <c r="AG122" s="676"/>
      <c r="AH122" s="676"/>
      <c r="AI122" s="676">
        <v>3306</v>
      </c>
      <c r="AJ122" s="676"/>
      <c r="AK122" s="676">
        <v>4480718</v>
      </c>
      <c r="AL122" s="676"/>
      <c r="AM122" s="676"/>
      <c r="AN122" s="676"/>
      <c r="AO122" s="676"/>
      <c r="AP122" s="676">
        <v>163903</v>
      </c>
      <c r="AQ122" s="676">
        <v>632388</v>
      </c>
      <c r="AR122" s="676">
        <v>242982</v>
      </c>
      <c r="AS122" s="676">
        <v>286258</v>
      </c>
      <c r="AT122" s="676">
        <v>48976.46</v>
      </c>
      <c r="AU122" s="676"/>
      <c r="AV122" s="676">
        <v>25619</v>
      </c>
      <c r="AW122" s="676">
        <v>6765</v>
      </c>
      <c r="AX122" s="676"/>
      <c r="AY122" s="676">
        <v>0</v>
      </c>
      <c r="AZ122" s="676">
        <v>0</v>
      </c>
      <c r="BA122" s="676">
        <v>510742</v>
      </c>
      <c r="BB122" s="676">
        <v>219301</v>
      </c>
      <c r="BC122" s="676">
        <v>490920</v>
      </c>
      <c r="BD122" s="676">
        <v>9146325</v>
      </c>
      <c r="BE122" s="676">
        <v>31600710.629999999</v>
      </c>
      <c r="BF122" s="676">
        <v>10078000</v>
      </c>
      <c r="BG122" s="676">
        <v>1930718000</v>
      </c>
      <c r="BH122" s="676">
        <v>28823000</v>
      </c>
      <c r="BI122" s="676">
        <v>31372138</v>
      </c>
      <c r="BJ122" s="676">
        <v>0</v>
      </c>
      <c r="BK122" s="676">
        <v>903</v>
      </c>
      <c r="BL122" s="676">
        <v>50812</v>
      </c>
      <c r="BM122" s="676">
        <v>1264000</v>
      </c>
      <c r="BN122" s="676">
        <v>0</v>
      </c>
      <c r="BO122" s="676"/>
      <c r="BP122" s="676"/>
      <c r="BQ122" s="676"/>
      <c r="BR122" s="676">
        <v>14214</v>
      </c>
      <c r="BS122" s="676">
        <v>23537</v>
      </c>
      <c r="BT122" s="676">
        <v>152433</v>
      </c>
      <c r="BU122" s="676"/>
      <c r="BV122" s="676"/>
      <c r="BW122" s="676">
        <v>22137642</v>
      </c>
      <c r="BX122" s="676">
        <v>1094047</v>
      </c>
      <c r="BY122" s="676">
        <v>73310</v>
      </c>
      <c r="BZ122" s="676">
        <v>1113000</v>
      </c>
      <c r="CA122" s="676">
        <v>204603.48</v>
      </c>
      <c r="CB122" s="676">
        <v>309119</v>
      </c>
      <c r="CC122" s="676">
        <v>1796000</v>
      </c>
      <c r="CD122" s="676"/>
      <c r="CE122" s="676">
        <v>82122000</v>
      </c>
      <c r="CF122" s="676">
        <v>49669000</v>
      </c>
      <c r="CG122" s="676">
        <v>14113000</v>
      </c>
    </row>
    <row r="123" spans="1:85" x14ac:dyDescent="0.25">
      <c r="A123" s="320" t="s">
        <v>1155</v>
      </c>
      <c r="B123" s="320" t="s">
        <v>1156</v>
      </c>
      <c r="C123" s="320"/>
      <c r="D123" s="320" t="s">
        <v>1157</v>
      </c>
      <c r="E123" s="320">
        <v>2015</v>
      </c>
      <c r="F123" s="404"/>
      <c r="G123" s="676"/>
      <c r="H123" s="676"/>
      <c r="I123" s="676"/>
      <c r="J123" s="676"/>
      <c r="K123" s="676"/>
      <c r="L123" s="676"/>
      <c r="M123" s="676"/>
      <c r="N123" s="676"/>
      <c r="O123" s="676"/>
      <c r="P123" s="676"/>
      <c r="Q123" s="676"/>
      <c r="R123" s="676"/>
      <c r="S123" s="676"/>
      <c r="T123" s="676"/>
      <c r="U123" s="676"/>
      <c r="V123" s="676"/>
      <c r="W123" s="676"/>
      <c r="X123" s="676">
        <v>0</v>
      </c>
      <c r="Y123" s="676"/>
      <c r="Z123" s="676">
        <v>0</v>
      </c>
      <c r="AA123" s="676"/>
      <c r="AB123" s="676">
        <v>7020240</v>
      </c>
      <c r="AC123" s="676">
        <v>0</v>
      </c>
      <c r="AD123" s="676"/>
      <c r="AE123" s="676"/>
      <c r="AF123" s="676"/>
      <c r="AG123" s="676"/>
      <c r="AH123" s="676"/>
      <c r="AI123" s="676">
        <v>2406</v>
      </c>
      <c r="AJ123" s="676"/>
      <c r="AK123" s="676"/>
      <c r="AL123" s="676"/>
      <c r="AM123" s="676"/>
      <c r="AN123" s="676"/>
      <c r="AO123" s="676"/>
      <c r="AP123" s="676"/>
      <c r="AQ123" s="676">
        <v>0</v>
      </c>
      <c r="AR123" s="676"/>
      <c r="AS123" s="676"/>
      <c r="AT123" s="676">
        <v>0</v>
      </c>
      <c r="AU123" s="676"/>
      <c r="AV123" s="676"/>
      <c r="AW123" s="676"/>
      <c r="AX123" s="676"/>
      <c r="AY123" s="676"/>
      <c r="AZ123" s="676">
        <v>0</v>
      </c>
      <c r="BA123" s="676"/>
      <c r="BB123" s="676"/>
      <c r="BC123" s="676"/>
      <c r="BD123" s="676"/>
      <c r="BE123" s="676">
        <v>0</v>
      </c>
      <c r="BF123" s="676"/>
      <c r="BG123" s="676"/>
      <c r="BH123" s="676"/>
      <c r="BI123" s="676"/>
      <c r="BJ123" s="676"/>
      <c r="BK123" s="676"/>
      <c r="BL123" s="676"/>
      <c r="BM123" s="676"/>
      <c r="BN123" s="676">
        <v>0</v>
      </c>
      <c r="BO123" s="676"/>
      <c r="BP123" s="676"/>
      <c r="BQ123" s="676"/>
      <c r="BR123" s="676"/>
      <c r="BS123" s="676"/>
      <c r="BT123" s="676"/>
      <c r="BU123" s="676"/>
      <c r="BV123" s="676"/>
      <c r="BW123" s="676"/>
      <c r="BX123" s="676">
        <v>502681</v>
      </c>
      <c r="BY123" s="676"/>
      <c r="BZ123" s="676"/>
      <c r="CA123" s="676"/>
      <c r="CB123" s="676">
        <v>0</v>
      </c>
      <c r="CC123" s="676"/>
      <c r="CD123" s="676"/>
      <c r="CE123" s="676"/>
      <c r="CF123" s="676"/>
      <c r="CG123" s="676"/>
    </row>
    <row r="124" spans="1:85" x14ac:dyDescent="0.25">
      <c r="A124" s="320" t="s">
        <v>1158</v>
      </c>
      <c r="B124" s="320" t="s">
        <v>1159</v>
      </c>
      <c r="C124" s="320"/>
      <c r="D124" s="320" t="s">
        <v>1160</v>
      </c>
      <c r="E124" s="320">
        <v>2015</v>
      </c>
      <c r="F124" s="404"/>
      <c r="G124" s="676"/>
      <c r="H124" s="676">
        <v>91976</v>
      </c>
      <c r="I124" s="676">
        <v>52740</v>
      </c>
      <c r="J124" s="676">
        <v>34388</v>
      </c>
      <c r="K124" s="676"/>
      <c r="L124" s="676"/>
      <c r="M124" s="676"/>
      <c r="N124" s="676"/>
      <c r="O124" s="676">
        <v>185700</v>
      </c>
      <c r="P124" s="676">
        <v>14315</v>
      </c>
      <c r="Q124" s="676">
        <v>8249</v>
      </c>
      <c r="R124" s="676"/>
      <c r="S124" s="676"/>
      <c r="T124" s="676">
        <v>204720</v>
      </c>
      <c r="U124" s="676">
        <v>11204000</v>
      </c>
      <c r="V124" s="676">
        <v>28972</v>
      </c>
      <c r="W124" s="676">
        <v>24803</v>
      </c>
      <c r="X124" s="676">
        <v>0</v>
      </c>
      <c r="Y124" s="676"/>
      <c r="Z124" s="676">
        <v>1097406180</v>
      </c>
      <c r="AA124" s="676"/>
      <c r="AB124" s="676">
        <v>10437644</v>
      </c>
      <c r="AC124" s="676">
        <v>0</v>
      </c>
      <c r="AD124" s="676">
        <v>412744</v>
      </c>
      <c r="AE124" s="676">
        <v>665629</v>
      </c>
      <c r="AF124" s="676">
        <v>22278</v>
      </c>
      <c r="AG124" s="676"/>
      <c r="AH124" s="676"/>
      <c r="AI124" s="676">
        <v>900</v>
      </c>
      <c r="AJ124" s="676"/>
      <c r="AK124" s="676">
        <v>4480718</v>
      </c>
      <c r="AL124" s="676"/>
      <c r="AM124" s="676"/>
      <c r="AN124" s="676"/>
      <c r="AO124" s="676"/>
      <c r="AP124" s="676">
        <v>163903</v>
      </c>
      <c r="AQ124" s="676">
        <v>632388</v>
      </c>
      <c r="AR124" s="676">
        <v>242982</v>
      </c>
      <c r="AS124" s="676">
        <v>286258</v>
      </c>
      <c r="AT124" s="676">
        <v>48976.46</v>
      </c>
      <c r="AU124" s="676"/>
      <c r="AV124" s="676">
        <v>25619</v>
      </c>
      <c r="AW124" s="676">
        <v>6765</v>
      </c>
      <c r="AX124" s="676"/>
      <c r="AY124" s="676"/>
      <c r="AZ124" s="676">
        <v>0</v>
      </c>
      <c r="BA124" s="676">
        <v>510742</v>
      </c>
      <c r="BB124" s="676">
        <v>219301</v>
      </c>
      <c r="BC124" s="676">
        <v>490920</v>
      </c>
      <c r="BD124" s="676">
        <v>9146325</v>
      </c>
      <c r="BE124" s="676">
        <v>31600710.629999999</v>
      </c>
      <c r="BF124" s="676">
        <v>10078000</v>
      </c>
      <c r="BG124" s="676">
        <v>1930718000</v>
      </c>
      <c r="BH124" s="676">
        <v>28823000</v>
      </c>
      <c r="BI124" s="676">
        <v>31372138</v>
      </c>
      <c r="BJ124" s="676"/>
      <c r="BK124" s="676">
        <v>903</v>
      </c>
      <c r="BL124" s="676">
        <v>50812</v>
      </c>
      <c r="BM124" s="676">
        <v>1264000</v>
      </c>
      <c r="BN124" s="676">
        <v>0</v>
      </c>
      <c r="BO124" s="676"/>
      <c r="BP124" s="676"/>
      <c r="BQ124" s="676"/>
      <c r="BR124" s="676">
        <v>14214</v>
      </c>
      <c r="BS124" s="676">
        <v>23537</v>
      </c>
      <c r="BT124" s="676">
        <v>152433</v>
      </c>
      <c r="BU124" s="676"/>
      <c r="BV124" s="676"/>
      <c r="BW124" s="676">
        <v>22137642</v>
      </c>
      <c r="BX124" s="676">
        <v>591366</v>
      </c>
      <c r="BY124" s="676">
        <v>73310</v>
      </c>
      <c r="BZ124" s="676">
        <v>1113000</v>
      </c>
      <c r="CA124" s="676">
        <v>204603.48</v>
      </c>
      <c r="CB124" s="676">
        <v>309119</v>
      </c>
      <c r="CC124" s="676">
        <v>1796000</v>
      </c>
      <c r="CD124" s="676"/>
      <c r="CE124" s="676"/>
      <c r="CF124" s="676">
        <v>49669000</v>
      </c>
      <c r="CG124" s="676">
        <v>14113000</v>
      </c>
    </row>
    <row r="125" spans="1:85" x14ac:dyDescent="0.25">
      <c r="A125" s="320" t="s">
        <v>993</v>
      </c>
      <c r="B125" s="320" t="s">
        <v>1161</v>
      </c>
      <c r="C125" s="320"/>
      <c r="D125" s="320" t="s">
        <v>1162</v>
      </c>
      <c r="E125" s="320">
        <v>2015</v>
      </c>
      <c r="F125" s="404"/>
      <c r="G125" s="676"/>
      <c r="H125" s="676"/>
      <c r="I125" s="676"/>
      <c r="J125" s="676"/>
      <c r="K125" s="676"/>
      <c r="L125" s="676">
        <v>357102</v>
      </c>
      <c r="M125" s="676"/>
      <c r="N125" s="676"/>
      <c r="O125" s="676"/>
      <c r="P125" s="676"/>
      <c r="Q125" s="676"/>
      <c r="R125" s="676"/>
      <c r="S125" s="676"/>
      <c r="T125" s="676">
        <v>1089460</v>
      </c>
      <c r="U125" s="676">
        <v>74945000</v>
      </c>
      <c r="V125" s="676"/>
      <c r="W125" s="676"/>
      <c r="X125" s="676">
        <v>0</v>
      </c>
      <c r="Y125" s="676"/>
      <c r="Z125" s="676">
        <v>0</v>
      </c>
      <c r="AA125" s="676"/>
      <c r="AB125" s="676"/>
      <c r="AC125" s="676">
        <v>0</v>
      </c>
      <c r="AD125" s="676">
        <v>90120</v>
      </c>
      <c r="AE125" s="676"/>
      <c r="AF125" s="676">
        <v>49648864</v>
      </c>
      <c r="AG125" s="676"/>
      <c r="AH125" s="676"/>
      <c r="AI125" s="676"/>
      <c r="AJ125" s="676">
        <v>137090</v>
      </c>
      <c r="AK125" s="676">
        <v>6500000</v>
      </c>
      <c r="AL125" s="676">
        <v>513865</v>
      </c>
      <c r="AM125" s="676">
        <v>5298199</v>
      </c>
      <c r="AN125" s="676">
        <v>223063000</v>
      </c>
      <c r="AO125" s="676"/>
      <c r="AP125" s="676"/>
      <c r="AQ125" s="676">
        <v>0</v>
      </c>
      <c r="AR125" s="676"/>
      <c r="AS125" s="676"/>
      <c r="AT125" s="676">
        <v>0</v>
      </c>
      <c r="AU125" s="676"/>
      <c r="AV125" s="676"/>
      <c r="AW125" s="676"/>
      <c r="AX125" s="676"/>
      <c r="AY125" s="676">
        <v>601700</v>
      </c>
      <c r="AZ125" s="676">
        <v>0</v>
      </c>
      <c r="BA125" s="676">
        <v>14560627</v>
      </c>
      <c r="BB125" s="676"/>
      <c r="BC125" s="676"/>
      <c r="BD125" s="676">
        <v>67530556</v>
      </c>
      <c r="BE125" s="676">
        <v>0</v>
      </c>
      <c r="BF125" s="676">
        <v>21600000</v>
      </c>
      <c r="BG125" s="676">
        <v>1649343000</v>
      </c>
      <c r="BH125" s="676">
        <v>84240000</v>
      </c>
      <c r="BI125" s="676">
        <v>13392058</v>
      </c>
      <c r="BJ125" s="676"/>
      <c r="BK125" s="676"/>
      <c r="BL125" s="676"/>
      <c r="BM125" s="676">
        <v>21785000</v>
      </c>
      <c r="BN125" s="676">
        <v>11410410</v>
      </c>
      <c r="BO125" s="676"/>
      <c r="BP125" s="676"/>
      <c r="BQ125" s="676"/>
      <c r="BR125" s="676"/>
      <c r="BS125" s="676"/>
      <c r="BT125" s="676"/>
      <c r="BU125" s="676"/>
      <c r="BV125" s="676"/>
      <c r="BW125" s="676">
        <v>235519153</v>
      </c>
      <c r="BX125" s="676">
        <v>168471</v>
      </c>
      <c r="BY125" s="676"/>
      <c r="BZ125" s="676">
        <v>50000000</v>
      </c>
      <c r="CA125" s="676">
        <v>115360</v>
      </c>
      <c r="CB125" s="676">
        <v>6713376.4699999997</v>
      </c>
      <c r="CC125" s="676"/>
      <c r="CD125" s="676"/>
      <c r="CE125" s="676">
        <v>62742000</v>
      </c>
      <c r="CF125" s="676">
        <v>10980000</v>
      </c>
      <c r="CG125" s="676">
        <v>184803000</v>
      </c>
    </row>
    <row r="126" spans="1:85" x14ac:dyDescent="0.25">
      <c r="A126" s="320" t="s">
        <v>1022</v>
      </c>
      <c r="B126" s="320" t="s">
        <v>1411</v>
      </c>
      <c r="C126" s="320" t="s">
        <v>1412</v>
      </c>
      <c r="D126" s="320" t="s">
        <v>1163</v>
      </c>
      <c r="E126" s="320">
        <v>2015</v>
      </c>
      <c r="F126" s="404">
        <v>96203</v>
      </c>
      <c r="G126" s="676">
        <v>323513</v>
      </c>
      <c r="H126" s="676">
        <v>11170696</v>
      </c>
      <c r="I126" s="676">
        <v>14151259</v>
      </c>
      <c r="J126" s="676">
        <v>8438829</v>
      </c>
      <c r="K126" s="676">
        <v>1839023</v>
      </c>
      <c r="L126" s="676">
        <v>638150</v>
      </c>
      <c r="M126" s="676">
        <v>20237948</v>
      </c>
      <c r="N126" s="676">
        <v>38774084</v>
      </c>
      <c r="O126" s="676">
        <v>15882280</v>
      </c>
      <c r="P126" s="676">
        <v>3235625</v>
      </c>
      <c r="Q126" s="676">
        <v>74029</v>
      </c>
      <c r="R126" s="676">
        <v>8292767</v>
      </c>
      <c r="S126" s="676">
        <v>24820411</v>
      </c>
      <c r="T126" s="676">
        <v>4864994</v>
      </c>
      <c r="U126" s="676">
        <v>82309000</v>
      </c>
      <c r="V126" s="676">
        <v>3305033</v>
      </c>
      <c r="W126" s="676">
        <v>597350</v>
      </c>
      <c r="X126" s="676">
        <v>384041.35</v>
      </c>
      <c r="Y126" s="676">
        <v>55080510</v>
      </c>
      <c r="Z126" s="676">
        <v>25382293</v>
      </c>
      <c r="AA126" s="676">
        <v>539867</v>
      </c>
      <c r="AB126" s="676">
        <v>28616255</v>
      </c>
      <c r="AC126" s="676">
        <v>646467.17000000004</v>
      </c>
      <c r="AD126" s="676">
        <v>4016242</v>
      </c>
      <c r="AE126" s="676">
        <v>1003181</v>
      </c>
      <c r="AF126" s="676">
        <v>2871724</v>
      </c>
      <c r="AG126" s="676">
        <v>484511</v>
      </c>
      <c r="AH126" s="676">
        <v>114659</v>
      </c>
      <c r="AI126" s="676">
        <v>283219</v>
      </c>
      <c r="AJ126" s="676">
        <v>258270</v>
      </c>
      <c r="AK126" s="676">
        <v>8517889</v>
      </c>
      <c r="AL126" s="676">
        <v>10161682</v>
      </c>
      <c r="AM126" s="676">
        <v>4004985</v>
      </c>
      <c r="AN126" s="676">
        <v>190634000</v>
      </c>
      <c r="AO126" s="676">
        <v>11353629</v>
      </c>
      <c r="AP126" s="676">
        <v>5080032</v>
      </c>
      <c r="AQ126" s="676">
        <v>5534356</v>
      </c>
      <c r="AR126" s="676">
        <v>3883254</v>
      </c>
      <c r="AS126" s="676">
        <v>2975301</v>
      </c>
      <c r="AT126" s="676">
        <v>6860344.5899999999</v>
      </c>
      <c r="AU126" s="676">
        <v>4475506</v>
      </c>
      <c r="AV126" s="676">
        <v>700248</v>
      </c>
      <c r="AW126" s="676">
        <v>224776</v>
      </c>
      <c r="AX126" s="676">
        <v>33916621</v>
      </c>
      <c r="AY126" s="676">
        <v>10002785</v>
      </c>
      <c r="AZ126" s="676">
        <v>216484</v>
      </c>
      <c r="BA126" s="676">
        <v>2175679</v>
      </c>
      <c r="BB126" s="676">
        <v>8793227</v>
      </c>
      <c r="BC126" s="676">
        <v>10299705</v>
      </c>
      <c r="BD126" s="676">
        <v>59710535</v>
      </c>
      <c r="BE126" s="676">
        <v>984562.72</v>
      </c>
      <c r="BF126" s="676">
        <v>168225000</v>
      </c>
      <c r="BG126" s="676">
        <v>520805000</v>
      </c>
      <c r="BH126" s="676">
        <v>249246000</v>
      </c>
      <c r="BI126" s="676">
        <v>21987006</v>
      </c>
      <c r="BJ126" s="676">
        <v>8360507</v>
      </c>
      <c r="BK126" s="676">
        <v>149254</v>
      </c>
      <c r="BL126" s="676">
        <v>618651</v>
      </c>
      <c r="BM126" s="676">
        <v>146354000</v>
      </c>
      <c r="BN126" s="676">
        <v>6587153</v>
      </c>
      <c r="BO126" s="676">
        <v>353156</v>
      </c>
      <c r="BP126" s="676">
        <v>823845</v>
      </c>
      <c r="BQ126" s="676">
        <v>408511</v>
      </c>
      <c r="BR126" s="676">
        <v>480307</v>
      </c>
      <c r="BS126" s="676">
        <v>12618140</v>
      </c>
      <c r="BT126" s="676">
        <v>12523472</v>
      </c>
      <c r="BU126" s="676">
        <v>5882889</v>
      </c>
      <c r="BV126" s="676">
        <v>308130</v>
      </c>
      <c r="BW126" s="676">
        <v>25064397</v>
      </c>
      <c r="BX126" s="676">
        <v>1959801</v>
      </c>
      <c r="BY126" s="676">
        <v>2813909</v>
      </c>
      <c r="BZ126" s="676">
        <v>97910000</v>
      </c>
      <c r="CA126" s="676">
        <v>1224395.77</v>
      </c>
      <c r="CB126" s="676">
        <v>9502101.9499999993</v>
      </c>
      <c r="CC126" s="676">
        <v>46664000</v>
      </c>
      <c r="CD126" s="676">
        <v>533856</v>
      </c>
      <c r="CE126" s="676">
        <v>96083000</v>
      </c>
      <c r="CF126" s="676">
        <v>75271000</v>
      </c>
      <c r="CG126" s="676">
        <v>70202000</v>
      </c>
    </row>
    <row r="127" spans="1:85" x14ac:dyDescent="0.25">
      <c r="A127" s="320" t="s">
        <v>1164</v>
      </c>
      <c r="B127" s="320" t="s">
        <v>1413</v>
      </c>
      <c r="C127" s="320" t="s">
        <v>1414</v>
      </c>
      <c r="D127" s="320" t="s">
        <v>1165</v>
      </c>
      <c r="E127" s="320">
        <v>2015</v>
      </c>
      <c r="F127" s="404">
        <v>21684</v>
      </c>
      <c r="G127" s="676">
        <v>77565</v>
      </c>
      <c r="H127" s="676">
        <v>9483346</v>
      </c>
      <c r="I127" s="676">
        <v>12304015</v>
      </c>
      <c r="J127" s="676">
        <v>2102579</v>
      </c>
      <c r="K127" s="676">
        <v>1482155</v>
      </c>
      <c r="L127" s="676">
        <v>435272</v>
      </c>
      <c r="M127" s="676">
        <v>20163737</v>
      </c>
      <c r="N127" s="676">
        <v>15549402</v>
      </c>
      <c r="O127" s="676">
        <v>14304394</v>
      </c>
      <c r="P127" s="676">
        <v>2948128</v>
      </c>
      <c r="Q127" s="676">
        <v>17507</v>
      </c>
      <c r="R127" s="676">
        <v>7061675</v>
      </c>
      <c r="S127" s="676">
        <v>22533559</v>
      </c>
      <c r="T127" s="676">
        <v>1904984</v>
      </c>
      <c r="U127" s="676">
        <v>32526000</v>
      </c>
      <c r="V127" s="676">
        <v>3141234</v>
      </c>
      <c r="W127" s="676">
        <v>339937</v>
      </c>
      <c r="X127" s="676">
        <v>125376.18</v>
      </c>
      <c r="Y127" s="676">
        <v>48409858</v>
      </c>
      <c r="Z127" s="676">
        <v>11127936</v>
      </c>
      <c r="AA127" s="676">
        <v>265333</v>
      </c>
      <c r="AB127" s="676">
        <v>17944271</v>
      </c>
      <c r="AC127" s="676">
        <v>356143.1</v>
      </c>
      <c r="AD127" s="676">
        <v>2867981</v>
      </c>
      <c r="AE127" s="676">
        <v>775965</v>
      </c>
      <c r="AF127" s="676">
        <v>1575192</v>
      </c>
      <c r="AG127" s="676">
        <v>12793</v>
      </c>
      <c r="AH127" s="676">
        <v>99866</v>
      </c>
      <c r="AI127" s="676">
        <v>246827</v>
      </c>
      <c r="AJ127" s="676">
        <v>40770</v>
      </c>
      <c r="AK127" s="676">
        <v>2572576</v>
      </c>
      <c r="AL127" s="676">
        <v>8886512</v>
      </c>
      <c r="AM127" s="676">
        <v>3106028</v>
      </c>
      <c r="AN127" s="676">
        <v>183637000</v>
      </c>
      <c r="AO127" s="676">
        <v>9386703</v>
      </c>
      <c r="AP127" s="676">
        <v>1877380</v>
      </c>
      <c r="AQ127" s="676">
        <v>3325177</v>
      </c>
      <c r="AR127" s="676">
        <v>2476053</v>
      </c>
      <c r="AS127" s="676">
        <v>804736</v>
      </c>
      <c r="AT127" s="676">
        <v>5983121.2999999998</v>
      </c>
      <c r="AU127" s="676">
        <v>1948162</v>
      </c>
      <c r="AV127" s="676">
        <v>305828</v>
      </c>
      <c r="AW127" s="676">
        <v>183747</v>
      </c>
      <c r="AX127" s="676">
        <v>9186387</v>
      </c>
      <c r="AY127" s="676">
        <v>5834024</v>
      </c>
      <c r="AZ127" s="676">
        <v>39959</v>
      </c>
      <c r="BA127" s="676">
        <v>1208964</v>
      </c>
      <c r="BB127" s="676">
        <v>7311383</v>
      </c>
      <c r="BC127" s="676">
        <v>3578305</v>
      </c>
      <c r="BD127" s="676">
        <v>44919530</v>
      </c>
      <c r="BE127" s="676">
        <v>62863.74</v>
      </c>
      <c r="BF127" s="676">
        <v>139569000</v>
      </c>
      <c r="BG127" s="676">
        <v>361433000</v>
      </c>
      <c r="BH127" s="676">
        <v>148021000</v>
      </c>
      <c r="BI127" s="676">
        <v>10897166</v>
      </c>
      <c r="BJ127" s="676">
        <v>3155313</v>
      </c>
      <c r="BK127" s="676">
        <v>38772</v>
      </c>
      <c r="BL127" s="676">
        <v>458871</v>
      </c>
      <c r="BM127" s="676">
        <v>62474000</v>
      </c>
      <c r="BN127" s="676">
        <v>5669589</v>
      </c>
      <c r="BO127" s="676">
        <v>124173</v>
      </c>
      <c r="BP127" s="676">
        <v>42480</v>
      </c>
      <c r="BQ127" s="676">
        <v>213896</v>
      </c>
      <c r="BR127" s="676">
        <v>179833</v>
      </c>
      <c r="BS127" s="676">
        <v>6601269</v>
      </c>
      <c r="BT127" s="676">
        <v>11209997</v>
      </c>
      <c r="BU127" s="676">
        <v>5130550</v>
      </c>
      <c r="BV127" s="676">
        <v>176381</v>
      </c>
      <c r="BW127" s="676">
        <v>23883508</v>
      </c>
      <c r="BX127" s="676">
        <v>1451688</v>
      </c>
      <c r="BY127" s="676">
        <v>1471096</v>
      </c>
      <c r="BZ127" s="676">
        <v>5169000</v>
      </c>
      <c r="CA127" s="676">
        <v>558417.80000000005</v>
      </c>
      <c r="CB127" s="676">
        <v>7964261.5199999996</v>
      </c>
      <c r="CC127" s="676">
        <v>5353000</v>
      </c>
      <c r="CD127" s="676">
        <v>498075</v>
      </c>
      <c r="CE127" s="676">
        <v>73461000</v>
      </c>
      <c r="CF127" s="676">
        <v>64702000</v>
      </c>
      <c r="CG127" s="676">
        <v>61541000</v>
      </c>
    </row>
    <row r="128" spans="1:85" x14ac:dyDescent="0.25">
      <c r="A128" s="320" t="s">
        <v>1166</v>
      </c>
      <c r="B128" s="320" t="s">
        <v>1114</v>
      </c>
      <c r="C128" s="320"/>
      <c r="D128" s="320" t="s">
        <v>1167</v>
      </c>
      <c r="E128" s="320">
        <v>2015</v>
      </c>
      <c r="F128" s="404"/>
      <c r="G128" s="676"/>
      <c r="H128" s="676">
        <v>2006041</v>
      </c>
      <c r="I128" s="676">
        <v>1180162</v>
      </c>
      <c r="J128" s="676">
        <v>1203606</v>
      </c>
      <c r="K128" s="676">
        <v>2406</v>
      </c>
      <c r="L128" s="676"/>
      <c r="M128" s="676">
        <v>301140</v>
      </c>
      <c r="N128" s="676">
        <v>10832284</v>
      </c>
      <c r="O128" s="676">
        <v>11265</v>
      </c>
      <c r="P128" s="676">
        <v>318506</v>
      </c>
      <c r="Q128" s="676"/>
      <c r="R128" s="676">
        <v>359871</v>
      </c>
      <c r="S128" s="676">
        <v>3442152</v>
      </c>
      <c r="T128" s="676">
        <v>258940</v>
      </c>
      <c r="U128" s="676"/>
      <c r="V128" s="676">
        <v>268205</v>
      </c>
      <c r="W128" s="676">
        <v>4370</v>
      </c>
      <c r="X128" s="676">
        <v>0</v>
      </c>
      <c r="Y128" s="676">
        <v>30137912</v>
      </c>
      <c r="Z128" s="676">
        <v>372561</v>
      </c>
      <c r="AA128" s="676"/>
      <c r="AB128" s="676"/>
      <c r="AC128" s="676">
        <v>6498.11</v>
      </c>
      <c r="AD128" s="676"/>
      <c r="AE128" s="676"/>
      <c r="AF128" s="676"/>
      <c r="AG128" s="676"/>
      <c r="AH128" s="676"/>
      <c r="AI128" s="676"/>
      <c r="AJ128" s="676"/>
      <c r="AK128" s="676"/>
      <c r="AL128" s="676"/>
      <c r="AM128" s="676"/>
      <c r="AN128" s="676"/>
      <c r="AO128" s="676"/>
      <c r="AP128" s="676">
        <v>12247</v>
      </c>
      <c r="AQ128" s="676">
        <v>41796</v>
      </c>
      <c r="AR128" s="676">
        <v>20543</v>
      </c>
      <c r="AS128" s="676">
        <v>59309</v>
      </c>
      <c r="AT128" s="676">
        <v>0</v>
      </c>
      <c r="AU128" s="676">
        <v>594421</v>
      </c>
      <c r="AV128" s="676"/>
      <c r="AW128" s="676"/>
      <c r="AX128" s="676">
        <v>600000</v>
      </c>
      <c r="AY128" s="676"/>
      <c r="AZ128" s="676">
        <v>0</v>
      </c>
      <c r="BA128" s="676">
        <v>372281</v>
      </c>
      <c r="BB128" s="676">
        <v>32230</v>
      </c>
      <c r="BC128" s="676">
        <v>62254</v>
      </c>
      <c r="BD128" s="676"/>
      <c r="BE128" s="676">
        <v>0</v>
      </c>
      <c r="BF128" s="676"/>
      <c r="BG128" s="676"/>
      <c r="BH128" s="676"/>
      <c r="BI128" s="676"/>
      <c r="BJ128" s="676">
        <v>1188971</v>
      </c>
      <c r="BK128" s="676"/>
      <c r="BL128" s="676"/>
      <c r="BM128" s="676"/>
      <c r="BN128" s="676">
        <v>0</v>
      </c>
      <c r="BO128" s="676"/>
      <c r="BP128" s="676"/>
      <c r="BQ128" s="676"/>
      <c r="BR128" s="676"/>
      <c r="BS128" s="676"/>
      <c r="BT128" s="676">
        <v>316229</v>
      </c>
      <c r="BU128" s="676">
        <v>3165821</v>
      </c>
      <c r="BV128" s="676"/>
      <c r="BW128" s="676">
        <v>7928743</v>
      </c>
      <c r="BX128" s="676"/>
      <c r="BY128" s="676">
        <v>326709</v>
      </c>
      <c r="BZ128" s="676"/>
      <c r="CA128" s="676">
        <v>62424.7</v>
      </c>
      <c r="CB128" s="676">
        <v>205012.5</v>
      </c>
      <c r="CC128" s="676"/>
      <c r="CD128" s="676"/>
      <c r="CE128" s="676"/>
      <c r="CF128" s="676"/>
      <c r="CG128" s="676"/>
    </row>
    <row r="129" spans="1:85" x14ac:dyDescent="0.25">
      <c r="A129" s="320" t="s">
        <v>1168</v>
      </c>
      <c r="B129" s="320" t="s">
        <v>1117</v>
      </c>
      <c r="C129" s="320"/>
      <c r="D129" s="320" t="s">
        <v>1169</v>
      </c>
      <c r="E129" s="320">
        <v>2015</v>
      </c>
      <c r="F129" s="404"/>
      <c r="G129" s="676"/>
      <c r="H129" s="676">
        <v>19330</v>
      </c>
      <c r="I129" s="676"/>
      <c r="J129" s="676"/>
      <c r="K129" s="676"/>
      <c r="L129" s="676"/>
      <c r="M129" s="676"/>
      <c r="N129" s="676"/>
      <c r="O129" s="676"/>
      <c r="P129" s="676"/>
      <c r="Q129" s="676"/>
      <c r="R129" s="676"/>
      <c r="S129" s="676">
        <v>68771</v>
      </c>
      <c r="T129" s="676"/>
      <c r="U129" s="676"/>
      <c r="V129" s="676"/>
      <c r="W129" s="676"/>
      <c r="X129" s="676">
        <v>0</v>
      </c>
      <c r="Y129" s="676"/>
      <c r="Z129" s="676">
        <v>0</v>
      </c>
      <c r="AA129" s="676"/>
      <c r="AB129" s="676"/>
      <c r="AC129" s="676">
        <v>0</v>
      </c>
      <c r="AD129" s="676"/>
      <c r="AE129" s="676"/>
      <c r="AF129" s="676"/>
      <c r="AG129" s="676"/>
      <c r="AH129" s="676"/>
      <c r="AI129" s="676"/>
      <c r="AJ129" s="676"/>
      <c r="AK129" s="676"/>
      <c r="AL129" s="676">
        <v>13138</v>
      </c>
      <c r="AM129" s="676"/>
      <c r="AN129" s="676"/>
      <c r="AO129" s="676"/>
      <c r="AP129" s="676"/>
      <c r="AQ129" s="676">
        <v>0</v>
      </c>
      <c r="AR129" s="676">
        <v>110</v>
      </c>
      <c r="AS129" s="676">
        <v>228936</v>
      </c>
      <c r="AT129" s="676">
        <v>0</v>
      </c>
      <c r="AU129" s="676"/>
      <c r="AV129" s="676"/>
      <c r="AW129" s="676"/>
      <c r="AX129" s="676">
        <v>204000</v>
      </c>
      <c r="AY129" s="676">
        <v>5691</v>
      </c>
      <c r="AZ129" s="676">
        <v>0</v>
      </c>
      <c r="BA129" s="676"/>
      <c r="BB129" s="676"/>
      <c r="BC129" s="676"/>
      <c r="BD129" s="676"/>
      <c r="BE129" s="676">
        <v>0</v>
      </c>
      <c r="BF129" s="676"/>
      <c r="BG129" s="676"/>
      <c r="BH129" s="676"/>
      <c r="BI129" s="676"/>
      <c r="BJ129" s="676">
        <v>180</v>
      </c>
      <c r="BK129" s="676"/>
      <c r="BL129" s="676"/>
      <c r="BM129" s="676"/>
      <c r="BN129" s="676">
        <v>0</v>
      </c>
      <c r="BO129" s="676"/>
      <c r="BP129" s="676"/>
      <c r="BQ129" s="676"/>
      <c r="BR129" s="676"/>
      <c r="BS129" s="676"/>
      <c r="BT129" s="676">
        <v>1770</v>
      </c>
      <c r="BU129" s="676"/>
      <c r="BV129" s="676"/>
      <c r="BW129" s="676">
        <v>304384</v>
      </c>
      <c r="BX129" s="676"/>
      <c r="BY129" s="676">
        <v>2200</v>
      </c>
      <c r="BZ129" s="676"/>
      <c r="CA129" s="676"/>
      <c r="CB129" s="676">
        <v>0</v>
      </c>
      <c r="CC129" s="676"/>
      <c r="CD129" s="676"/>
      <c r="CE129" s="676"/>
      <c r="CF129" s="676"/>
      <c r="CG129" s="676"/>
    </row>
    <row r="130" spans="1:85" x14ac:dyDescent="0.25">
      <c r="A130" s="320" t="s">
        <v>1170</v>
      </c>
      <c r="B130" s="320" t="s">
        <v>1120</v>
      </c>
      <c r="C130" s="320"/>
      <c r="D130" s="320" t="s">
        <v>1171</v>
      </c>
      <c r="E130" s="320">
        <v>2015</v>
      </c>
      <c r="F130" s="404">
        <v>21684</v>
      </c>
      <c r="G130" s="676">
        <v>77565</v>
      </c>
      <c r="H130" s="676">
        <v>7457975</v>
      </c>
      <c r="I130" s="676">
        <v>11123853</v>
      </c>
      <c r="J130" s="676">
        <v>898973</v>
      </c>
      <c r="K130" s="676">
        <v>1479749</v>
      </c>
      <c r="L130" s="676">
        <v>435272</v>
      </c>
      <c r="M130" s="676">
        <v>19862597</v>
      </c>
      <c r="N130" s="676">
        <v>4717118</v>
      </c>
      <c r="O130" s="676">
        <v>14293129</v>
      </c>
      <c r="P130" s="676">
        <v>2629622</v>
      </c>
      <c r="Q130" s="676">
        <v>17507</v>
      </c>
      <c r="R130" s="676">
        <v>6701804</v>
      </c>
      <c r="S130" s="676">
        <v>19022636</v>
      </c>
      <c r="T130" s="676">
        <v>1646044</v>
      </c>
      <c r="U130" s="676"/>
      <c r="V130" s="676">
        <v>2873029</v>
      </c>
      <c r="W130" s="676">
        <v>335567</v>
      </c>
      <c r="X130" s="676">
        <v>125376.18</v>
      </c>
      <c r="Y130" s="676">
        <v>18271946</v>
      </c>
      <c r="Z130" s="676">
        <v>10755375</v>
      </c>
      <c r="AA130" s="676">
        <v>265333</v>
      </c>
      <c r="AB130" s="676">
        <v>17944271</v>
      </c>
      <c r="AC130" s="676">
        <v>349644.99</v>
      </c>
      <c r="AD130" s="676">
        <v>2867981</v>
      </c>
      <c r="AE130" s="676">
        <v>775965</v>
      </c>
      <c r="AF130" s="676">
        <v>1575192</v>
      </c>
      <c r="AG130" s="676">
        <v>12793</v>
      </c>
      <c r="AH130" s="676">
        <v>99866</v>
      </c>
      <c r="AI130" s="676">
        <v>246827</v>
      </c>
      <c r="AJ130" s="676">
        <v>40770</v>
      </c>
      <c r="AK130" s="676">
        <v>2572576</v>
      </c>
      <c r="AL130" s="676">
        <v>8873374</v>
      </c>
      <c r="AM130" s="676">
        <v>3106028</v>
      </c>
      <c r="AN130" s="676"/>
      <c r="AO130" s="676">
        <v>9386703</v>
      </c>
      <c r="AP130" s="676">
        <v>1865133</v>
      </c>
      <c r="AQ130" s="676">
        <v>3283381</v>
      </c>
      <c r="AR130" s="676">
        <v>2455400</v>
      </c>
      <c r="AS130" s="676">
        <v>516491</v>
      </c>
      <c r="AT130" s="676">
        <v>5983121.2999999998</v>
      </c>
      <c r="AU130" s="676">
        <v>1353741</v>
      </c>
      <c r="AV130" s="676">
        <v>305828</v>
      </c>
      <c r="AW130" s="676">
        <v>183747</v>
      </c>
      <c r="AX130" s="676">
        <v>8382387</v>
      </c>
      <c r="AY130" s="676">
        <v>5828333</v>
      </c>
      <c r="AZ130" s="676">
        <v>39959</v>
      </c>
      <c r="BA130" s="676">
        <v>836683</v>
      </c>
      <c r="BB130" s="676">
        <v>7279153</v>
      </c>
      <c r="BC130" s="676">
        <v>3516051</v>
      </c>
      <c r="BD130" s="676">
        <v>44919530</v>
      </c>
      <c r="BE130" s="676">
        <v>62863.74</v>
      </c>
      <c r="BF130" s="676"/>
      <c r="BG130" s="676"/>
      <c r="BH130" s="676"/>
      <c r="BI130" s="676">
        <v>10897166</v>
      </c>
      <c r="BJ130" s="676">
        <v>1966162</v>
      </c>
      <c r="BK130" s="676">
        <v>38772</v>
      </c>
      <c r="BL130" s="676">
        <v>458871</v>
      </c>
      <c r="BM130" s="676"/>
      <c r="BN130" s="676">
        <v>5669589</v>
      </c>
      <c r="BO130" s="676">
        <v>124173</v>
      </c>
      <c r="BP130" s="676">
        <v>42480</v>
      </c>
      <c r="BQ130" s="676">
        <v>213896</v>
      </c>
      <c r="BR130" s="676">
        <v>179833</v>
      </c>
      <c r="BS130" s="676">
        <v>6601269</v>
      </c>
      <c r="BT130" s="676">
        <v>10891998</v>
      </c>
      <c r="BU130" s="676">
        <v>1964729</v>
      </c>
      <c r="BV130" s="676">
        <v>176381</v>
      </c>
      <c r="BW130" s="676">
        <v>15650381</v>
      </c>
      <c r="BX130" s="676">
        <v>1451688</v>
      </c>
      <c r="BY130" s="676">
        <v>1142187</v>
      </c>
      <c r="BZ130" s="676"/>
      <c r="CA130" s="676">
        <v>495993.1</v>
      </c>
      <c r="CB130" s="676">
        <v>7759249.0199999996</v>
      </c>
      <c r="CC130" s="676"/>
      <c r="CD130" s="676">
        <v>498075</v>
      </c>
      <c r="CE130" s="676"/>
      <c r="CF130" s="676"/>
      <c r="CG130" s="676"/>
    </row>
    <row r="131" spans="1:85" x14ac:dyDescent="0.25">
      <c r="A131" s="320" t="s">
        <v>1172</v>
      </c>
      <c r="B131" s="320" t="s">
        <v>976</v>
      </c>
      <c r="C131" s="320"/>
      <c r="D131" s="320" t="s">
        <v>1173</v>
      </c>
      <c r="E131" s="320">
        <v>2015</v>
      </c>
      <c r="F131" s="404"/>
      <c r="G131" s="676"/>
      <c r="H131" s="676"/>
      <c r="I131" s="676"/>
      <c r="J131" s="676"/>
      <c r="K131" s="676"/>
      <c r="L131" s="676"/>
      <c r="M131" s="676"/>
      <c r="N131" s="676"/>
      <c r="O131" s="676"/>
      <c r="P131" s="676"/>
      <c r="Q131" s="676"/>
      <c r="R131" s="676"/>
      <c r="S131" s="676"/>
      <c r="T131" s="676"/>
      <c r="U131" s="676"/>
      <c r="V131" s="676"/>
      <c r="W131" s="676"/>
      <c r="X131" s="676">
        <v>0</v>
      </c>
      <c r="Y131" s="676"/>
      <c r="Z131" s="676">
        <v>11179032</v>
      </c>
      <c r="AA131" s="676"/>
      <c r="AB131" s="676"/>
      <c r="AC131" s="676">
        <v>0</v>
      </c>
      <c r="AD131" s="676"/>
      <c r="AE131" s="676"/>
      <c r="AF131" s="676"/>
      <c r="AG131" s="676"/>
      <c r="AH131" s="676"/>
      <c r="AI131" s="676"/>
      <c r="AJ131" s="676"/>
      <c r="AK131" s="676"/>
      <c r="AL131" s="676"/>
      <c r="AM131" s="676"/>
      <c r="AN131" s="676"/>
      <c r="AO131" s="676"/>
      <c r="AP131" s="676"/>
      <c r="AQ131" s="676">
        <v>0</v>
      </c>
      <c r="AR131" s="676"/>
      <c r="AS131" s="676"/>
      <c r="AT131" s="676">
        <v>0</v>
      </c>
      <c r="AU131" s="676"/>
      <c r="AV131" s="676"/>
      <c r="AW131" s="676"/>
      <c r="AX131" s="676">
        <v>129707</v>
      </c>
      <c r="AY131" s="676"/>
      <c r="AZ131" s="676">
        <v>0</v>
      </c>
      <c r="BA131" s="676"/>
      <c r="BB131" s="676"/>
      <c r="BC131" s="676"/>
      <c r="BD131" s="676"/>
      <c r="BE131" s="676">
        <v>0</v>
      </c>
      <c r="BF131" s="676"/>
      <c r="BG131" s="676"/>
      <c r="BH131" s="676"/>
      <c r="BI131" s="676"/>
      <c r="BJ131" s="676"/>
      <c r="BK131" s="676"/>
      <c r="BL131" s="676"/>
      <c r="BM131" s="676"/>
      <c r="BN131" s="676">
        <v>0</v>
      </c>
      <c r="BO131" s="676"/>
      <c r="BP131" s="676"/>
      <c r="BQ131" s="676"/>
      <c r="BR131" s="676"/>
      <c r="BS131" s="676"/>
      <c r="BT131" s="676"/>
      <c r="BU131" s="676"/>
      <c r="BV131" s="676"/>
      <c r="BW131" s="676"/>
      <c r="BX131" s="676"/>
      <c r="BY131" s="676"/>
      <c r="BZ131" s="676"/>
      <c r="CA131" s="676"/>
      <c r="CB131" s="676">
        <v>0</v>
      </c>
      <c r="CC131" s="676"/>
      <c r="CD131" s="676"/>
      <c r="CE131" s="676"/>
      <c r="CF131" s="676"/>
      <c r="CG131" s="676"/>
    </row>
    <row r="132" spans="1:85" x14ac:dyDescent="0.25">
      <c r="A132" s="320" t="s">
        <v>1174</v>
      </c>
      <c r="B132" s="320" t="s">
        <v>1125</v>
      </c>
      <c r="C132" s="320"/>
      <c r="D132" s="320" t="s">
        <v>1175</v>
      </c>
      <c r="E132" s="320">
        <v>2015</v>
      </c>
      <c r="F132" s="404"/>
      <c r="G132" s="676"/>
      <c r="H132" s="676">
        <v>241418</v>
      </c>
      <c r="I132" s="676">
        <v>227877</v>
      </c>
      <c r="J132" s="676">
        <v>6037203</v>
      </c>
      <c r="K132" s="676"/>
      <c r="L132" s="676"/>
      <c r="M132" s="676"/>
      <c r="N132" s="676">
        <v>20870457</v>
      </c>
      <c r="O132" s="676"/>
      <c r="P132" s="676"/>
      <c r="Q132" s="676"/>
      <c r="R132" s="676"/>
      <c r="S132" s="676">
        <v>832011</v>
      </c>
      <c r="T132" s="676"/>
      <c r="U132" s="676"/>
      <c r="V132" s="676"/>
      <c r="W132" s="676"/>
      <c r="X132" s="676">
        <v>0</v>
      </c>
      <c r="Y132" s="676"/>
      <c r="Z132" s="676">
        <v>0</v>
      </c>
      <c r="AA132" s="676"/>
      <c r="AB132" s="676"/>
      <c r="AC132" s="676">
        <v>0</v>
      </c>
      <c r="AD132" s="676"/>
      <c r="AE132" s="676"/>
      <c r="AF132" s="676"/>
      <c r="AG132" s="676"/>
      <c r="AH132" s="676"/>
      <c r="AI132" s="676"/>
      <c r="AJ132" s="676"/>
      <c r="AK132" s="676"/>
      <c r="AL132" s="676"/>
      <c r="AM132" s="676"/>
      <c r="AN132" s="676"/>
      <c r="AO132" s="676"/>
      <c r="AP132" s="676"/>
      <c r="AQ132" s="676">
        <v>0</v>
      </c>
      <c r="AR132" s="676">
        <v>511497</v>
      </c>
      <c r="AS132" s="676"/>
      <c r="AT132" s="676">
        <v>0</v>
      </c>
      <c r="AU132" s="676">
        <v>1688955</v>
      </c>
      <c r="AV132" s="676"/>
      <c r="AW132" s="676"/>
      <c r="AX132" s="676"/>
      <c r="AY132" s="676"/>
      <c r="AZ132" s="676">
        <v>0</v>
      </c>
      <c r="BA132" s="676"/>
      <c r="BB132" s="676">
        <v>689885</v>
      </c>
      <c r="BC132" s="676"/>
      <c r="BD132" s="676"/>
      <c r="BE132" s="676">
        <v>0</v>
      </c>
      <c r="BF132" s="676"/>
      <c r="BG132" s="676"/>
      <c r="BH132" s="676"/>
      <c r="BI132" s="676"/>
      <c r="BJ132" s="676">
        <v>3009457</v>
      </c>
      <c r="BK132" s="676"/>
      <c r="BL132" s="676"/>
      <c r="BM132" s="676">
        <v>73823000</v>
      </c>
      <c r="BN132" s="676">
        <v>0</v>
      </c>
      <c r="BO132" s="676"/>
      <c r="BP132" s="676"/>
      <c r="BQ132" s="676"/>
      <c r="BR132" s="676"/>
      <c r="BS132" s="676">
        <v>2014000</v>
      </c>
      <c r="BT132" s="676"/>
      <c r="BU132" s="676"/>
      <c r="BV132" s="676"/>
      <c r="BW132" s="676"/>
      <c r="BX132" s="676"/>
      <c r="BY132" s="676">
        <v>599858</v>
      </c>
      <c r="BZ132" s="676"/>
      <c r="CA132" s="676"/>
      <c r="CB132" s="676">
        <v>0</v>
      </c>
      <c r="CC132" s="676">
        <v>35854000</v>
      </c>
      <c r="CD132" s="676"/>
      <c r="CE132" s="676"/>
      <c r="CF132" s="676"/>
      <c r="CG132" s="676"/>
    </row>
    <row r="133" spans="1:85" x14ac:dyDescent="0.25">
      <c r="A133" s="320" t="s">
        <v>1176</v>
      </c>
      <c r="B133" s="320" t="s">
        <v>1128</v>
      </c>
      <c r="C133" s="320"/>
      <c r="D133" s="320" t="s">
        <v>1177</v>
      </c>
      <c r="E133" s="320">
        <v>2015</v>
      </c>
      <c r="F133" s="404"/>
      <c r="G133" s="676"/>
      <c r="H133" s="676">
        <v>500000</v>
      </c>
      <c r="I133" s="676"/>
      <c r="J133" s="676"/>
      <c r="K133" s="676"/>
      <c r="L133" s="676"/>
      <c r="M133" s="676"/>
      <c r="N133" s="676"/>
      <c r="O133" s="676"/>
      <c r="P133" s="676">
        <v>3417</v>
      </c>
      <c r="Q133" s="676"/>
      <c r="R133" s="676"/>
      <c r="S133" s="676"/>
      <c r="T133" s="676"/>
      <c r="U133" s="676"/>
      <c r="V133" s="676"/>
      <c r="W133" s="676"/>
      <c r="X133" s="676">
        <v>0</v>
      </c>
      <c r="Y133" s="676"/>
      <c r="Z133" s="676">
        <v>0</v>
      </c>
      <c r="AA133" s="676"/>
      <c r="AB133" s="676"/>
      <c r="AC133" s="676">
        <v>0</v>
      </c>
      <c r="AD133" s="676"/>
      <c r="AE133" s="676"/>
      <c r="AF133" s="676"/>
      <c r="AG133" s="676"/>
      <c r="AH133" s="676"/>
      <c r="AI133" s="676"/>
      <c r="AJ133" s="676"/>
      <c r="AK133" s="676"/>
      <c r="AL133" s="676"/>
      <c r="AM133" s="676"/>
      <c r="AN133" s="676"/>
      <c r="AO133" s="676"/>
      <c r="AP133" s="676"/>
      <c r="AQ133" s="676">
        <v>0</v>
      </c>
      <c r="AR133" s="676"/>
      <c r="AS133" s="676"/>
      <c r="AT133" s="676">
        <v>0</v>
      </c>
      <c r="AU133" s="676"/>
      <c r="AV133" s="676"/>
      <c r="AW133" s="676"/>
      <c r="AX133" s="676"/>
      <c r="AY133" s="676"/>
      <c r="AZ133" s="676">
        <v>0</v>
      </c>
      <c r="BA133" s="676"/>
      <c r="BB133" s="676"/>
      <c r="BC133" s="676"/>
      <c r="BD133" s="676"/>
      <c r="BE133" s="676">
        <v>0</v>
      </c>
      <c r="BF133" s="676"/>
      <c r="BG133" s="676"/>
      <c r="BH133" s="676"/>
      <c r="BI133" s="676"/>
      <c r="BJ133" s="676"/>
      <c r="BK133" s="676"/>
      <c r="BL133" s="676"/>
      <c r="BM133" s="676"/>
      <c r="BN133" s="676">
        <v>0</v>
      </c>
      <c r="BO133" s="676"/>
      <c r="BP133" s="676"/>
      <c r="BQ133" s="676"/>
      <c r="BR133" s="676"/>
      <c r="BS133" s="676"/>
      <c r="BT133" s="676"/>
      <c r="BU133" s="676"/>
      <c r="BV133" s="676"/>
      <c r="BW133" s="676"/>
      <c r="BX133" s="676"/>
      <c r="BY133" s="676"/>
      <c r="BZ133" s="676"/>
      <c r="CA133" s="676"/>
      <c r="CB133" s="676">
        <v>0</v>
      </c>
      <c r="CC133" s="676"/>
      <c r="CD133" s="676"/>
      <c r="CE133" s="676"/>
      <c r="CF133" s="676"/>
      <c r="CG133" s="676">
        <v>8000000</v>
      </c>
    </row>
    <row r="134" spans="1:85" x14ac:dyDescent="0.25">
      <c r="A134" s="320" t="s">
        <v>1178</v>
      </c>
      <c r="B134" s="320" t="s">
        <v>1179</v>
      </c>
      <c r="C134" s="320"/>
      <c r="D134" s="320" t="s">
        <v>1180</v>
      </c>
      <c r="E134" s="320">
        <v>2015</v>
      </c>
      <c r="F134" s="404"/>
      <c r="G134" s="676"/>
      <c r="H134" s="676">
        <v>302427</v>
      </c>
      <c r="I134" s="676"/>
      <c r="J134" s="676"/>
      <c r="K134" s="676"/>
      <c r="L134" s="676"/>
      <c r="M134" s="676"/>
      <c r="N134" s="676"/>
      <c r="O134" s="676"/>
      <c r="P134" s="676"/>
      <c r="Q134" s="676"/>
      <c r="R134" s="676"/>
      <c r="S134" s="676">
        <v>1018677</v>
      </c>
      <c r="T134" s="676"/>
      <c r="U134" s="676"/>
      <c r="V134" s="676"/>
      <c r="W134" s="676"/>
      <c r="X134" s="676">
        <v>0</v>
      </c>
      <c r="Y134" s="676"/>
      <c r="Z134" s="676">
        <v>0</v>
      </c>
      <c r="AA134" s="676"/>
      <c r="AB134" s="676"/>
      <c r="AC134" s="676">
        <v>0</v>
      </c>
      <c r="AD134" s="676"/>
      <c r="AE134" s="676"/>
      <c r="AF134" s="676"/>
      <c r="AG134" s="676"/>
      <c r="AH134" s="676"/>
      <c r="AI134" s="676"/>
      <c r="AJ134" s="676"/>
      <c r="AK134" s="676"/>
      <c r="AL134" s="676"/>
      <c r="AM134" s="676"/>
      <c r="AN134" s="676"/>
      <c r="AO134" s="676"/>
      <c r="AP134" s="676">
        <v>1365378</v>
      </c>
      <c r="AQ134" s="676">
        <v>0</v>
      </c>
      <c r="AR134" s="676"/>
      <c r="AS134" s="676">
        <v>1233765</v>
      </c>
      <c r="AT134" s="676">
        <v>0</v>
      </c>
      <c r="AU134" s="676"/>
      <c r="AV134" s="676"/>
      <c r="AW134" s="676"/>
      <c r="AX134" s="676">
        <v>5466616</v>
      </c>
      <c r="AY134" s="676">
        <v>2960929</v>
      </c>
      <c r="AZ134" s="676">
        <v>0</v>
      </c>
      <c r="BA134" s="676">
        <v>147689</v>
      </c>
      <c r="BB134" s="676"/>
      <c r="BC134" s="676"/>
      <c r="BD134" s="676"/>
      <c r="BE134" s="676">
        <v>0</v>
      </c>
      <c r="BF134" s="676"/>
      <c r="BG134" s="676"/>
      <c r="BH134" s="676"/>
      <c r="BI134" s="676"/>
      <c r="BJ134" s="676"/>
      <c r="BK134" s="676"/>
      <c r="BL134" s="676"/>
      <c r="BM134" s="676"/>
      <c r="BN134" s="676">
        <v>0</v>
      </c>
      <c r="BO134" s="676"/>
      <c r="BP134" s="676">
        <v>93738</v>
      </c>
      <c r="BQ134" s="676"/>
      <c r="BR134" s="676"/>
      <c r="BS134" s="676"/>
      <c r="BT134" s="676"/>
      <c r="BU134" s="676"/>
      <c r="BV134" s="676"/>
      <c r="BW134" s="676"/>
      <c r="BX134" s="676"/>
      <c r="BY134" s="676"/>
      <c r="BZ134" s="676"/>
      <c r="CA134" s="676"/>
      <c r="CB134" s="676">
        <v>0</v>
      </c>
      <c r="CC134" s="676"/>
      <c r="CD134" s="676"/>
      <c r="CE134" s="676"/>
      <c r="CF134" s="676"/>
      <c r="CG134" s="676"/>
    </row>
    <row r="135" spans="1:85" x14ac:dyDescent="0.25">
      <c r="A135" s="320" t="s">
        <v>1181</v>
      </c>
      <c r="B135" s="320" t="s">
        <v>1182</v>
      </c>
      <c r="C135" s="320"/>
      <c r="D135" s="320" t="s">
        <v>1183</v>
      </c>
      <c r="E135" s="320">
        <v>2015</v>
      </c>
      <c r="F135" s="404">
        <v>31942</v>
      </c>
      <c r="G135" s="676">
        <v>121292</v>
      </c>
      <c r="H135" s="676">
        <v>341867</v>
      </c>
      <c r="I135" s="676">
        <v>322948</v>
      </c>
      <c r="J135" s="676">
        <v>50861</v>
      </c>
      <c r="K135" s="676">
        <v>148069</v>
      </c>
      <c r="L135" s="676">
        <v>98622</v>
      </c>
      <c r="M135" s="676">
        <v>2956</v>
      </c>
      <c r="N135" s="676">
        <v>48034</v>
      </c>
      <c r="O135" s="676">
        <v>355367</v>
      </c>
      <c r="P135" s="676">
        <v>126423</v>
      </c>
      <c r="Q135" s="676">
        <v>20563</v>
      </c>
      <c r="R135" s="676">
        <v>129919</v>
      </c>
      <c r="S135" s="676">
        <v>45526</v>
      </c>
      <c r="T135" s="676">
        <v>333596</v>
      </c>
      <c r="U135" s="676">
        <v>4413000</v>
      </c>
      <c r="V135" s="676">
        <v>58948</v>
      </c>
      <c r="W135" s="676">
        <v>130439</v>
      </c>
      <c r="X135" s="676">
        <v>53273.22</v>
      </c>
      <c r="Y135" s="676"/>
      <c r="Z135" s="676">
        <v>1215893</v>
      </c>
      <c r="AA135" s="676">
        <v>95083</v>
      </c>
      <c r="AB135" s="676">
        <v>3017990</v>
      </c>
      <c r="AC135" s="676">
        <v>160748.79</v>
      </c>
      <c r="AD135" s="676">
        <v>223352</v>
      </c>
      <c r="AE135" s="676">
        <v>52617</v>
      </c>
      <c r="AF135" s="676">
        <v>281779</v>
      </c>
      <c r="AG135" s="676">
        <v>14731</v>
      </c>
      <c r="AH135" s="676">
        <v>12</v>
      </c>
      <c r="AI135" s="676">
        <v>406</v>
      </c>
      <c r="AJ135" s="676"/>
      <c r="AK135" s="676">
        <v>2122660</v>
      </c>
      <c r="AL135" s="676">
        <v>54071</v>
      </c>
      <c r="AM135" s="676">
        <v>187222</v>
      </c>
      <c r="AN135" s="676">
        <v>3383000</v>
      </c>
      <c r="AO135" s="676">
        <v>4040</v>
      </c>
      <c r="AP135" s="676">
        <v>934220</v>
      </c>
      <c r="AQ135" s="676">
        <v>1247107</v>
      </c>
      <c r="AR135" s="676">
        <v>511230</v>
      </c>
      <c r="AS135" s="676">
        <v>475984</v>
      </c>
      <c r="AT135" s="676">
        <v>415127.05</v>
      </c>
      <c r="AU135" s="676">
        <v>461535</v>
      </c>
      <c r="AV135" s="676">
        <v>191307</v>
      </c>
      <c r="AW135" s="676">
        <v>17628</v>
      </c>
      <c r="AX135" s="676">
        <v>27542</v>
      </c>
      <c r="AY135" s="676">
        <v>128280</v>
      </c>
      <c r="AZ135" s="676">
        <v>78845</v>
      </c>
      <c r="BA135" s="676">
        <v>286925</v>
      </c>
      <c r="BB135" s="676">
        <v>227848</v>
      </c>
      <c r="BC135" s="676">
        <v>533792</v>
      </c>
      <c r="BD135" s="676">
        <v>3884176</v>
      </c>
      <c r="BE135" s="676">
        <v>290716.86</v>
      </c>
      <c r="BF135" s="676">
        <v>16715000</v>
      </c>
      <c r="BG135" s="676">
        <v>19995000</v>
      </c>
      <c r="BH135" s="676">
        <v>5559000</v>
      </c>
      <c r="BI135" s="676">
        <v>2148840</v>
      </c>
      <c r="BJ135" s="676">
        <v>54657</v>
      </c>
      <c r="BK135" s="676">
        <v>59699</v>
      </c>
      <c r="BL135" s="676">
        <v>46771</v>
      </c>
      <c r="BM135" s="676">
        <v>302000</v>
      </c>
      <c r="BN135" s="676">
        <v>414136</v>
      </c>
      <c r="BO135" s="676">
        <v>123182</v>
      </c>
      <c r="BP135" s="676">
        <v>349384</v>
      </c>
      <c r="BQ135" s="676">
        <v>41813</v>
      </c>
      <c r="BR135" s="676">
        <v>151029</v>
      </c>
      <c r="BS135" s="676">
        <v>184747</v>
      </c>
      <c r="BT135" s="676">
        <v>490018</v>
      </c>
      <c r="BU135" s="676">
        <v>6127</v>
      </c>
      <c r="BV135" s="676">
        <v>33020</v>
      </c>
      <c r="BW135" s="676">
        <v>594353</v>
      </c>
      <c r="BX135" s="676">
        <v>187188</v>
      </c>
      <c r="BY135" s="676">
        <v>367859</v>
      </c>
      <c r="BZ135" s="676"/>
      <c r="CA135" s="676">
        <v>337957.17</v>
      </c>
      <c r="CB135" s="676">
        <v>594263.55000000005</v>
      </c>
      <c r="CC135" s="676"/>
      <c r="CD135" s="676">
        <v>10592</v>
      </c>
      <c r="CE135" s="676">
        <v>13959000</v>
      </c>
      <c r="CF135" s="676"/>
      <c r="CG135" s="676"/>
    </row>
    <row r="136" spans="1:85" x14ac:dyDescent="0.25">
      <c r="A136" s="320" t="s">
        <v>1184</v>
      </c>
      <c r="B136" s="320" t="s">
        <v>1185</v>
      </c>
      <c r="C136" s="320"/>
      <c r="D136" s="320" t="s">
        <v>1186</v>
      </c>
      <c r="E136" s="320">
        <v>2015</v>
      </c>
      <c r="F136" s="404">
        <v>18173</v>
      </c>
      <c r="G136" s="676">
        <v>83474</v>
      </c>
      <c r="H136" s="676">
        <v>241446</v>
      </c>
      <c r="I136" s="676">
        <v>202905</v>
      </c>
      <c r="J136" s="676">
        <v>37999</v>
      </c>
      <c r="K136" s="676">
        <v>95305</v>
      </c>
      <c r="L136" s="676">
        <v>67507</v>
      </c>
      <c r="M136" s="676"/>
      <c r="N136" s="676">
        <v>29776</v>
      </c>
      <c r="O136" s="676">
        <v>220997</v>
      </c>
      <c r="P136" s="676">
        <v>86482</v>
      </c>
      <c r="Q136" s="676">
        <v>13863</v>
      </c>
      <c r="R136" s="676">
        <v>82062</v>
      </c>
      <c r="S136" s="676">
        <v>31508</v>
      </c>
      <c r="T136" s="676">
        <v>238116</v>
      </c>
      <c r="U136" s="676">
        <v>2593000</v>
      </c>
      <c r="V136" s="676">
        <v>36456</v>
      </c>
      <c r="W136" s="676">
        <v>86045</v>
      </c>
      <c r="X136" s="676">
        <v>37508.79</v>
      </c>
      <c r="Y136" s="676"/>
      <c r="Z136" s="676">
        <v>827039</v>
      </c>
      <c r="AA136" s="676">
        <v>128044</v>
      </c>
      <c r="AB136" s="676">
        <v>3272306</v>
      </c>
      <c r="AC136" s="676">
        <v>97824.04</v>
      </c>
      <c r="AD136" s="676">
        <v>161984</v>
      </c>
      <c r="AE136" s="676">
        <v>85264</v>
      </c>
      <c r="AF136" s="676">
        <v>272360</v>
      </c>
      <c r="AG136" s="676">
        <v>12684</v>
      </c>
      <c r="AH136" s="676"/>
      <c r="AI136" s="676"/>
      <c r="AJ136" s="676">
        <v>6</v>
      </c>
      <c r="AK136" s="676">
        <v>1097119</v>
      </c>
      <c r="AL136" s="676">
        <v>33390</v>
      </c>
      <c r="AM136" s="676">
        <v>115661</v>
      </c>
      <c r="AN136" s="676">
        <v>1101000</v>
      </c>
      <c r="AO136" s="676">
        <v>667725</v>
      </c>
      <c r="AP136" s="676">
        <v>613658</v>
      </c>
      <c r="AQ136" s="676">
        <v>595386</v>
      </c>
      <c r="AR136" s="676">
        <v>297886</v>
      </c>
      <c r="AS136" s="676">
        <v>296333</v>
      </c>
      <c r="AT136" s="676">
        <v>268973.25</v>
      </c>
      <c r="AU136" s="676">
        <v>287217</v>
      </c>
      <c r="AV136" s="676">
        <v>114465</v>
      </c>
      <c r="AW136" s="676">
        <v>11469</v>
      </c>
      <c r="AX136" s="676">
        <v>43202</v>
      </c>
      <c r="AY136" s="676">
        <v>51400</v>
      </c>
      <c r="AZ136" s="676">
        <v>36497</v>
      </c>
      <c r="BA136" s="676">
        <v>225477</v>
      </c>
      <c r="BB136" s="676">
        <v>145374</v>
      </c>
      <c r="BC136" s="676">
        <v>341137</v>
      </c>
      <c r="BD136" s="676">
        <v>531621</v>
      </c>
      <c r="BE136" s="676">
        <v>218109.38</v>
      </c>
      <c r="BF136" s="676">
        <v>7813000</v>
      </c>
      <c r="BG136" s="676">
        <v>4838000</v>
      </c>
      <c r="BH136" s="676">
        <v>15701000</v>
      </c>
      <c r="BI136" s="676">
        <v>1550626</v>
      </c>
      <c r="BJ136" s="676">
        <v>42415</v>
      </c>
      <c r="BK136" s="676">
        <v>38089</v>
      </c>
      <c r="BL136" s="676">
        <v>32235</v>
      </c>
      <c r="BM136" s="676">
        <v>200000</v>
      </c>
      <c r="BN136" s="676">
        <v>271584</v>
      </c>
      <c r="BO136" s="676">
        <v>81597</v>
      </c>
      <c r="BP136" s="676">
        <v>164412</v>
      </c>
      <c r="BQ136" s="676">
        <v>26331</v>
      </c>
      <c r="BR136" s="676">
        <v>96710</v>
      </c>
      <c r="BS136" s="676">
        <v>172112</v>
      </c>
      <c r="BT136" s="676">
        <v>243067</v>
      </c>
      <c r="BU136" s="676">
        <v>22708</v>
      </c>
      <c r="BV136" s="676">
        <v>23477</v>
      </c>
      <c r="BW136" s="676">
        <v>431825</v>
      </c>
      <c r="BX136" s="676">
        <v>135017</v>
      </c>
      <c r="BY136" s="676">
        <v>230982</v>
      </c>
      <c r="BZ136" s="676"/>
      <c r="CA136" s="676">
        <v>229838.9</v>
      </c>
      <c r="CB136" s="676">
        <v>576326.18999999994</v>
      </c>
      <c r="CC136" s="676"/>
      <c r="CD136" s="676">
        <v>13505</v>
      </c>
      <c r="CE136" s="676"/>
      <c r="CF136" s="676"/>
      <c r="CG136" s="676"/>
    </row>
    <row r="137" spans="1:85" x14ac:dyDescent="0.25">
      <c r="A137" s="320" t="s">
        <v>1187</v>
      </c>
      <c r="B137" s="320" t="s">
        <v>1188</v>
      </c>
      <c r="C137" s="320"/>
      <c r="D137" s="320" t="s">
        <v>1189</v>
      </c>
      <c r="E137" s="320">
        <v>2015</v>
      </c>
      <c r="F137" s="404">
        <v>19504</v>
      </c>
      <c r="G137" s="676">
        <v>20073</v>
      </c>
      <c r="H137" s="676">
        <v>49591</v>
      </c>
      <c r="I137" s="676">
        <v>51959</v>
      </c>
      <c r="J137" s="676">
        <v>208654</v>
      </c>
      <c r="K137" s="676">
        <v>108626</v>
      </c>
      <c r="L137" s="676">
        <v>31649</v>
      </c>
      <c r="M137" s="676">
        <v>70856</v>
      </c>
      <c r="N137" s="676">
        <v>2273873</v>
      </c>
      <c r="O137" s="676">
        <v>890657</v>
      </c>
      <c r="P137" s="676">
        <v>70335</v>
      </c>
      <c r="Q137" s="676">
        <v>22051</v>
      </c>
      <c r="R137" s="676">
        <v>699519</v>
      </c>
      <c r="S137" s="676">
        <v>351552</v>
      </c>
      <c r="T137" s="676">
        <v>59101</v>
      </c>
      <c r="U137" s="676">
        <v>30931000</v>
      </c>
      <c r="V137" s="676">
        <v>68395</v>
      </c>
      <c r="W137" s="676">
        <v>20944</v>
      </c>
      <c r="X137" s="676">
        <v>91872.75</v>
      </c>
      <c r="Y137" s="676">
        <v>6610652</v>
      </c>
      <c r="Z137" s="676">
        <v>510206</v>
      </c>
      <c r="AA137" s="676">
        <v>44807</v>
      </c>
      <c r="AB137" s="676">
        <v>2428398</v>
      </c>
      <c r="AC137" s="676">
        <v>28910.28</v>
      </c>
      <c r="AD137" s="676">
        <v>39993</v>
      </c>
      <c r="AE137" s="676">
        <v>66543</v>
      </c>
      <c r="AF137" s="676">
        <v>586110</v>
      </c>
      <c r="AG137" s="676">
        <v>443879</v>
      </c>
      <c r="AH137" s="676">
        <v>3146</v>
      </c>
      <c r="AI137" s="676">
        <v>35434</v>
      </c>
      <c r="AJ137" s="676">
        <v>2948</v>
      </c>
      <c r="AK137" s="676">
        <v>795675</v>
      </c>
      <c r="AL137" s="676">
        <v>593054</v>
      </c>
      <c r="AM137" s="676">
        <v>535534</v>
      </c>
      <c r="AN137" s="676">
        <v>239000</v>
      </c>
      <c r="AO137" s="676">
        <v>235884</v>
      </c>
      <c r="AP137" s="676">
        <v>268322</v>
      </c>
      <c r="AQ137" s="676">
        <v>358817</v>
      </c>
      <c r="AR137" s="676">
        <v>83361</v>
      </c>
      <c r="AS137" s="676">
        <v>159763</v>
      </c>
      <c r="AT137" s="676">
        <v>84052.71</v>
      </c>
      <c r="AU137" s="676">
        <v>67806</v>
      </c>
      <c r="AV137" s="676">
        <v>85688</v>
      </c>
      <c r="AW137" s="676">
        <v>11932</v>
      </c>
      <c r="AX137" s="676">
        <v>284440</v>
      </c>
      <c r="AY137" s="676">
        <v>702106</v>
      </c>
      <c r="AZ137" s="676">
        <v>59700</v>
      </c>
      <c r="BA137" s="676">
        <v>276732</v>
      </c>
      <c r="BB137" s="676">
        <v>418737</v>
      </c>
      <c r="BC137" s="676">
        <v>285794</v>
      </c>
      <c r="BD137" s="676">
        <v>1595636</v>
      </c>
      <c r="BE137" s="676">
        <v>79006.36</v>
      </c>
      <c r="BF137" s="676">
        <v>995000</v>
      </c>
      <c r="BG137" s="676">
        <v>13401000</v>
      </c>
      <c r="BH137" s="676"/>
      <c r="BI137" s="676">
        <v>284977</v>
      </c>
      <c r="BJ137" s="676">
        <v>16574</v>
      </c>
      <c r="BK137" s="676">
        <v>11747</v>
      </c>
      <c r="BL137" s="676">
        <v>35934</v>
      </c>
      <c r="BM137" s="676">
        <v>8391000</v>
      </c>
      <c r="BN137" s="676">
        <v>230016</v>
      </c>
      <c r="BO137" s="676">
        <v>23729</v>
      </c>
      <c r="BP137" s="676">
        <v>168059</v>
      </c>
      <c r="BQ137" s="676">
        <v>18297</v>
      </c>
      <c r="BR137" s="676">
        <v>52710</v>
      </c>
      <c r="BS137" s="676">
        <v>608570</v>
      </c>
      <c r="BT137" s="676">
        <v>482168</v>
      </c>
      <c r="BU137" s="676">
        <v>629955</v>
      </c>
      <c r="BV137" s="676">
        <v>73435</v>
      </c>
      <c r="BW137" s="676">
        <v>150159</v>
      </c>
      <c r="BX137" s="676">
        <v>46309</v>
      </c>
      <c r="BY137" s="676">
        <v>56076</v>
      </c>
      <c r="BZ137" s="676"/>
      <c r="CA137" s="676">
        <v>61337.74</v>
      </c>
      <c r="CB137" s="676">
        <v>335788.45</v>
      </c>
      <c r="CC137" s="676">
        <v>1839000</v>
      </c>
      <c r="CD137" s="676">
        <v>11684</v>
      </c>
      <c r="CE137" s="676">
        <v>8502000</v>
      </c>
      <c r="CF137" s="676">
        <v>-1394000</v>
      </c>
      <c r="CG137" s="676">
        <v>661000</v>
      </c>
    </row>
    <row r="138" spans="1:85" x14ac:dyDescent="0.25">
      <c r="A138" s="320" t="s">
        <v>1190</v>
      </c>
      <c r="B138" s="320" t="s">
        <v>1191</v>
      </c>
      <c r="C138" s="320"/>
      <c r="D138" s="320" t="s">
        <v>1192</v>
      </c>
      <c r="E138" s="320">
        <v>2015</v>
      </c>
      <c r="F138" s="404"/>
      <c r="G138" s="676"/>
      <c r="H138" s="676"/>
      <c r="I138" s="676"/>
      <c r="J138" s="676"/>
      <c r="K138" s="676"/>
      <c r="L138" s="676"/>
      <c r="M138" s="676"/>
      <c r="N138" s="676"/>
      <c r="O138" s="676">
        <v>0</v>
      </c>
      <c r="P138" s="676"/>
      <c r="Q138" s="676"/>
      <c r="R138" s="676"/>
      <c r="S138" s="676"/>
      <c r="T138" s="676"/>
      <c r="U138" s="676"/>
      <c r="V138" s="676"/>
      <c r="W138" s="676"/>
      <c r="X138" s="676">
        <v>0</v>
      </c>
      <c r="Y138" s="676">
        <v>60000</v>
      </c>
      <c r="Z138" s="676">
        <v>0</v>
      </c>
      <c r="AA138" s="676"/>
      <c r="AB138" s="676"/>
      <c r="AC138" s="676">
        <v>0</v>
      </c>
      <c r="AD138" s="676"/>
      <c r="AE138" s="676"/>
      <c r="AF138" s="676"/>
      <c r="AG138" s="676"/>
      <c r="AH138" s="676"/>
      <c r="AI138" s="676"/>
      <c r="AJ138" s="676"/>
      <c r="AK138" s="676"/>
      <c r="AL138" s="676"/>
      <c r="AM138" s="676"/>
      <c r="AN138" s="676"/>
      <c r="AO138" s="676"/>
      <c r="AP138" s="676"/>
      <c r="AQ138" s="676">
        <v>0</v>
      </c>
      <c r="AR138" s="676"/>
      <c r="AS138" s="676"/>
      <c r="AT138" s="676">
        <v>0</v>
      </c>
      <c r="AU138" s="676"/>
      <c r="AV138" s="676"/>
      <c r="AW138" s="676"/>
      <c r="AX138" s="676"/>
      <c r="AY138" s="676"/>
      <c r="AZ138" s="676">
        <v>0</v>
      </c>
      <c r="BA138" s="676"/>
      <c r="BB138" s="676"/>
      <c r="BC138" s="676"/>
      <c r="BD138" s="676"/>
      <c r="BE138" s="676">
        <v>0</v>
      </c>
      <c r="BF138" s="676"/>
      <c r="BG138" s="676">
        <v>110656000</v>
      </c>
      <c r="BH138" s="676">
        <v>79965000</v>
      </c>
      <c r="BI138" s="676"/>
      <c r="BJ138" s="676"/>
      <c r="BK138" s="676"/>
      <c r="BL138" s="676"/>
      <c r="BM138" s="676"/>
      <c r="BN138" s="676">
        <v>0</v>
      </c>
      <c r="BO138" s="676"/>
      <c r="BP138" s="676"/>
      <c r="BQ138" s="676"/>
      <c r="BR138" s="676"/>
      <c r="BS138" s="676"/>
      <c r="BT138" s="676"/>
      <c r="BU138" s="676"/>
      <c r="BV138" s="676"/>
      <c r="BW138" s="676"/>
      <c r="BX138" s="676"/>
      <c r="BY138" s="676"/>
      <c r="BZ138" s="676"/>
      <c r="CA138" s="676"/>
      <c r="CB138" s="676">
        <v>0</v>
      </c>
      <c r="CC138" s="676"/>
      <c r="CD138" s="676"/>
      <c r="CE138" s="676"/>
      <c r="CF138" s="676"/>
      <c r="CG138" s="676"/>
    </row>
    <row r="139" spans="1:85" x14ac:dyDescent="0.25">
      <c r="A139" s="320" t="s">
        <v>1193</v>
      </c>
      <c r="B139" s="320" t="s">
        <v>1194</v>
      </c>
      <c r="C139" s="320"/>
      <c r="D139" s="320" t="s">
        <v>1195</v>
      </c>
      <c r="E139" s="320">
        <v>2015</v>
      </c>
      <c r="F139" s="404">
        <v>4900</v>
      </c>
      <c r="G139" s="676">
        <v>21109</v>
      </c>
      <c r="H139" s="676">
        <v>10601</v>
      </c>
      <c r="I139" s="676">
        <v>1041555</v>
      </c>
      <c r="J139" s="676">
        <v>1533</v>
      </c>
      <c r="K139" s="676">
        <v>4868</v>
      </c>
      <c r="L139" s="676">
        <v>5100</v>
      </c>
      <c r="M139" s="676">
        <v>399</v>
      </c>
      <c r="N139" s="676">
        <v>2542</v>
      </c>
      <c r="O139" s="676">
        <v>110865</v>
      </c>
      <c r="P139" s="676">
        <v>840</v>
      </c>
      <c r="Q139" s="676">
        <v>45</v>
      </c>
      <c r="R139" s="676">
        <v>319592</v>
      </c>
      <c r="S139" s="676">
        <v>7578</v>
      </c>
      <c r="T139" s="676">
        <v>2329197</v>
      </c>
      <c r="U139" s="676">
        <v>11846000</v>
      </c>
      <c r="V139" s="676"/>
      <c r="W139" s="676">
        <v>19985</v>
      </c>
      <c r="X139" s="676">
        <v>76010.41</v>
      </c>
      <c r="Y139" s="676"/>
      <c r="Z139" s="676">
        <v>522187</v>
      </c>
      <c r="AA139" s="676">
        <v>6600</v>
      </c>
      <c r="AB139" s="676">
        <v>1953290</v>
      </c>
      <c r="AC139" s="676">
        <v>2840.96</v>
      </c>
      <c r="AD139" s="676">
        <v>722932</v>
      </c>
      <c r="AE139" s="676">
        <v>22792</v>
      </c>
      <c r="AF139" s="676">
        <v>156283</v>
      </c>
      <c r="AG139" s="676">
        <v>424</v>
      </c>
      <c r="AH139" s="676">
        <v>11635</v>
      </c>
      <c r="AI139" s="676">
        <v>552</v>
      </c>
      <c r="AJ139" s="676">
        <v>214546</v>
      </c>
      <c r="AK139" s="676">
        <v>1929859</v>
      </c>
      <c r="AL139" s="676">
        <v>594655</v>
      </c>
      <c r="AM139" s="676">
        <v>60540</v>
      </c>
      <c r="AN139" s="676">
        <v>2274000</v>
      </c>
      <c r="AO139" s="676">
        <v>1059277</v>
      </c>
      <c r="AP139" s="676">
        <v>21074</v>
      </c>
      <c r="AQ139" s="676">
        <v>7869</v>
      </c>
      <c r="AR139" s="676">
        <v>3227</v>
      </c>
      <c r="AS139" s="676">
        <v>4720</v>
      </c>
      <c r="AT139" s="676">
        <v>109070.28</v>
      </c>
      <c r="AU139" s="676">
        <v>21831</v>
      </c>
      <c r="AV139" s="676">
        <v>2960</v>
      </c>
      <c r="AW139" s="676"/>
      <c r="AX139" s="676">
        <v>18778727</v>
      </c>
      <c r="AY139" s="676">
        <v>326046</v>
      </c>
      <c r="AZ139" s="676">
        <v>1483</v>
      </c>
      <c r="BA139" s="676">
        <v>29892</v>
      </c>
      <c r="BB139" s="676"/>
      <c r="BC139" s="676">
        <v>5560677</v>
      </c>
      <c r="BD139" s="676">
        <v>8779572</v>
      </c>
      <c r="BE139" s="676">
        <v>333866.38</v>
      </c>
      <c r="BF139" s="676">
        <v>3133000</v>
      </c>
      <c r="BG139" s="676">
        <v>10482000</v>
      </c>
      <c r="BH139" s="676"/>
      <c r="BI139" s="676">
        <v>7105397</v>
      </c>
      <c r="BJ139" s="676">
        <v>2082091</v>
      </c>
      <c r="BK139" s="676">
        <v>947</v>
      </c>
      <c r="BL139" s="676">
        <v>44840</v>
      </c>
      <c r="BM139" s="676">
        <v>1164000</v>
      </c>
      <c r="BN139" s="676">
        <v>1828</v>
      </c>
      <c r="BO139" s="676">
        <v>475</v>
      </c>
      <c r="BP139" s="676">
        <v>5772</v>
      </c>
      <c r="BQ139" s="676">
        <v>108174</v>
      </c>
      <c r="BR139" s="676">
        <v>25</v>
      </c>
      <c r="BS139" s="676">
        <v>3037442</v>
      </c>
      <c r="BT139" s="676">
        <v>98222</v>
      </c>
      <c r="BU139" s="676">
        <v>93549</v>
      </c>
      <c r="BV139" s="676">
        <v>1817</v>
      </c>
      <c r="BW139" s="676">
        <v>4552</v>
      </c>
      <c r="BX139" s="676">
        <v>139599</v>
      </c>
      <c r="BY139" s="676">
        <v>88038</v>
      </c>
      <c r="BZ139" s="676">
        <v>92741000</v>
      </c>
      <c r="CA139" s="676">
        <v>36844.160000000003</v>
      </c>
      <c r="CB139" s="676">
        <v>31462.240000000002</v>
      </c>
      <c r="CC139" s="676">
        <v>3618000</v>
      </c>
      <c r="CD139" s="676"/>
      <c r="CE139" s="676">
        <v>161000</v>
      </c>
      <c r="CF139" s="676">
        <v>11963000</v>
      </c>
      <c r="CG139" s="676"/>
    </row>
    <row r="140" spans="1:85" x14ac:dyDescent="0.25">
      <c r="A140" s="320" t="s">
        <v>1032</v>
      </c>
      <c r="B140" s="320" t="s">
        <v>1415</v>
      </c>
      <c r="C140" s="320" t="s">
        <v>1416</v>
      </c>
      <c r="D140" s="320" t="s">
        <v>1196</v>
      </c>
      <c r="E140" s="320">
        <v>2015</v>
      </c>
      <c r="F140" s="404">
        <v>11875</v>
      </c>
      <c r="G140" s="676">
        <v>80177</v>
      </c>
      <c r="H140" s="676">
        <v>45921</v>
      </c>
      <c r="I140" s="676">
        <v>111146</v>
      </c>
      <c r="J140" s="676">
        <v>89087</v>
      </c>
      <c r="K140" s="676">
        <v>66216</v>
      </c>
      <c r="L140" s="676">
        <v>333914</v>
      </c>
      <c r="M140" s="676">
        <v>333385</v>
      </c>
      <c r="N140" s="676">
        <v>628731</v>
      </c>
      <c r="O140" s="676">
        <v>2765943</v>
      </c>
      <c r="P140" s="676">
        <v>621587</v>
      </c>
      <c r="Q140" s="676">
        <v>20721</v>
      </c>
      <c r="R140" s="676">
        <v>898891</v>
      </c>
      <c r="S140" s="676">
        <v>94246</v>
      </c>
      <c r="T140" s="676">
        <v>170294</v>
      </c>
      <c r="U140" s="676">
        <v>250000</v>
      </c>
      <c r="V140" s="676">
        <v>153648</v>
      </c>
      <c r="W140" s="676">
        <v>55166</v>
      </c>
      <c r="X140" s="676">
        <v>34617.839999999997</v>
      </c>
      <c r="Y140" s="676">
        <v>48937</v>
      </c>
      <c r="Z140" s="676">
        <v>98095924</v>
      </c>
      <c r="AA140" s="676">
        <v>355730</v>
      </c>
      <c r="AB140" s="676">
        <v>12925198</v>
      </c>
      <c r="AC140" s="676">
        <v>100898.14</v>
      </c>
      <c r="AD140" s="676">
        <v>510531</v>
      </c>
      <c r="AE140" s="676">
        <v>724324</v>
      </c>
      <c r="AF140" s="676">
        <v>1949312</v>
      </c>
      <c r="AG140" s="676">
        <v>654338</v>
      </c>
      <c r="AH140" s="676">
        <v>102518</v>
      </c>
      <c r="AI140" s="676">
        <v>26156</v>
      </c>
      <c r="AJ140" s="676">
        <v>15340</v>
      </c>
      <c r="AK140" s="676">
        <v>2084786</v>
      </c>
      <c r="AL140" s="676">
        <v>75824</v>
      </c>
      <c r="AM140" s="676">
        <v>154793</v>
      </c>
      <c r="AN140" s="676">
        <v>21812000</v>
      </c>
      <c r="AO140" s="676">
        <v>517583</v>
      </c>
      <c r="AP140" s="676">
        <v>337245</v>
      </c>
      <c r="AQ140" s="676">
        <v>704571</v>
      </c>
      <c r="AR140" s="676">
        <v>310008</v>
      </c>
      <c r="AS140" s="676">
        <v>416106</v>
      </c>
      <c r="AT140" s="676">
        <v>322846.71000000002</v>
      </c>
      <c r="AU140" s="676">
        <v>300800</v>
      </c>
      <c r="AV140" s="676">
        <v>54258</v>
      </c>
      <c r="AW140" s="676">
        <v>22053</v>
      </c>
      <c r="AX140" s="676">
        <v>52144</v>
      </c>
      <c r="AY140" s="676">
        <v>122000</v>
      </c>
      <c r="AZ140" s="676">
        <v>35899</v>
      </c>
      <c r="BA140" s="676">
        <v>177955</v>
      </c>
      <c r="BB140" s="676">
        <v>516047</v>
      </c>
      <c r="BC140" s="676">
        <v>620849</v>
      </c>
      <c r="BD140" s="676">
        <v>66532</v>
      </c>
      <c r="BE140" s="676">
        <v>995286.25</v>
      </c>
      <c r="BF140" s="676">
        <v>1224000</v>
      </c>
      <c r="BG140" s="676">
        <v>68950000</v>
      </c>
      <c r="BH140" s="676">
        <v>18318000</v>
      </c>
      <c r="BI140" s="676">
        <v>2067748</v>
      </c>
      <c r="BJ140" s="676">
        <v>1407813</v>
      </c>
      <c r="BK140" s="676">
        <v>20565</v>
      </c>
      <c r="BL140" s="676">
        <v>60755</v>
      </c>
      <c r="BM140" s="676">
        <v>932000</v>
      </c>
      <c r="BN140" s="676">
        <v>532746</v>
      </c>
      <c r="BO140" s="676">
        <v>50726</v>
      </c>
      <c r="BP140" s="676">
        <v>147229</v>
      </c>
      <c r="BQ140" s="676">
        <v>34044</v>
      </c>
      <c r="BR140" s="676">
        <v>195703</v>
      </c>
      <c r="BS140" s="676">
        <v>4507515</v>
      </c>
      <c r="BT140" s="676">
        <v>1013613</v>
      </c>
      <c r="BU140" s="676">
        <v>15829</v>
      </c>
      <c r="BV140" s="676">
        <v>578240</v>
      </c>
      <c r="BW140" s="676">
        <v>1045415</v>
      </c>
      <c r="BX140" s="676">
        <v>2142762</v>
      </c>
      <c r="BY140" s="676">
        <v>406520</v>
      </c>
      <c r="BZ140" s="676">
        <v>291000</v>
      </c>
      <c r="CA140" s="676">
        <v>274870.09000000003</v>
      </c>
      <c r="CB140" s="676">
        <v>543191.41</v>
      </c>
      <c r="CC140" s="676"/>
      <c r="CD140" s="676">
        <v>19333</v>
      </c>
      <c r="CE140" s="676">
        <v>2118000</v>
      </c>
      <c r="CF140" s="676">
        <v>11929000</v>
      </c>
      <c r="CG140" s="676">
        <v>18959000</v>
      </c>
    </row>
    <row r="141" spans="1:85" x14ac:dyDescent="0.25">
      <c r="A141" s="320" t="s">
        <v>1034</v>
      </c>
      <c r="B141" s="320" t="s">
        <v>1156</v>
      </c>
      <c r="C141" s="320"/>
      <c r="D141" s="320" t="s">
        <v>1197</v>
      </c>
      <c r="E141" s="320">
        <v>2015</v>
      </c>
      <c r="F141" s="404">
        <v>11875</v>
      </c>
      <c r="G141" s="676">
        <v>51693</v>
      </c>
      <c r="H141" s="676">
        <v>19431</v>
      </c>
      <c r="I141" s="676">
        <v>34183</v>
      </c>
      <c r="J141" s="676">
        <v>43360</v>
      </c>
      <c r="K141" s="676">
        <v>56644</v>
      </c>
      <c r="L141" s="676">
        <v>68552</v>
      </c>
      <c r="M141" s="676">
        <v>226377</v>
      </c>
      <c r="N141" s="676">
        <v>59977</v>
      </c>
      <c r="O141" s="676">
        <v>84782</v>
      </c>
      <c r="P141" s="676">
        <v>32023</v>
      </c>
      <c r="Q141" s="676">
        <v>16921</v>
      </c>
      <c r="R141" s="676">
        <v>114020</v>
      </c>
      <c r="S141" s="676">
        <v>56633</v>
      </c>
      <c r="T141" s="676">
        <v>146990</v>
      </c>
      <c r="U141" s="676"/>
      <c r="V141" s="676">
        <v>34166</v>
      </c>
      <c r="W141" s="676">
        <v>8421</v>
      </c>
      <c r="X141" s="676">
        <v>34617.839999999997</v>
      </c>
      <c r="Y141" s="676"/>
      <c r="Z141" s="676">
        <v>626130</v>
      </c>
      <c r="AA141" s="676">
        <v>93764</v>
      </c>
      <c r="AB141" s="676">
        <v>4767657</v>
      </c>
      <c r="AC141" s="676">
        <v>89518.7</v>
      </c>
      <c r="AD141" s="676">
        <v>52787</v>
      </c>
      <c r="AE141" s="676">
        <v>98802</v>
      </c>
      <c r="AF141" s="676">
        <v>336051</v>
      </c>
      <c r="AG141" s="676">
        <v>23783</v>
      </c>
      <c r="AH141" s="676">
        <v>57118</v>
      </c>
      <c r="AI141" s="676">
        <v>23656</v>
      </c>
      <c r="AJ141" s="676">
        <v>14085</v>
      </c>
      <c r="AK141" s="676">
        <v>1053865</v>
      </c>
      <c r="AL141" s="676">
        <v>51464</v>
      </c>
      <c r="AM141" s="676">
        <v>154793</v>
      </c>
      <c r="AN141" s="676"/>
      <c r="AO141" s="676">
        <v>517583</v>
      </c>
      <c r="AP141" s="676">
        <v>61423</v>
      </c>
      <c r="AQ141" s="676">
        <v>143061</v>
      </c>
      <c r="AR141" s="676">
        <v>82313</v>
      </c>
      <c r="AS141" s="676">
        <v>152754</v>
      </c>
      <c r="AT141" s="676">
        <v>181293.95</v>
      </c>
      <c r="AU141" s="676">
        <v>300800</v>
      </c>
      <c r="AV141" s="676">
        <v>54258</v>
      </c>
      <c r="AW141" s="676">
        <v>20788</v>
      </c>
      <c r="AX141" s="676">
        <v>45794</v>
      </c>
      <c r="AY141" s="676">
        <v>49816</v>
      </c>
      <c r="AZ141" s="676">
        <v>34699</v>
      </c>
      <c r="BA141" s="676">
        <v>152655</v>
      </c>
      <c r="BB141" s="676">
        <v>87470</v>
      </c>
      <c r="BC141" s="676">
        <v>343558</v>
      </c>
      <c r="BD141" s="676"/>
      <c r="BE141" s="676">
        <v>170039.1</v>
      </c>
      <c r="BF141" s="676"/>
      <c r="BG141" s="676"/>
      <c r="BH141" s="676"/>
      <c r="BI141" s="676">
        <v>1223725</v>
      </c>
      <c r="BJ141" s="676">
        <v>1337059</v>
      </c>
      <c r="BK141" s="676">
        <v>10830</v>
      </c>
      <c r="BL141" s="676">
        <v>18402</v>
      </c>
      <c r="BM141" s="676"/>
      <c r="BN141" s="676">
        <v>234516</v>
      </c>
      <c r="BO141" s="676">
        <v>50726</v>
      </c>
      <c r="BP141" s="676">
        <v>19396</v>
      </c>
      <c r="BQ141" s="676">
        <v>34044</v>
      </c>
      <c r="BR141" s="676">
        <v>27363</v>
      </c>
      <c r="BS141" s="676">
        <v>131307</v>
      </c>
      <c r="BT141" s="676">
        <v>416416</v>
      </c>
      <c r="BU141" s="676">
        <v>11679</v>
      </c>
      <c r="BV141" s="676">
        <v>18891</v>
      </c>
      <c r="BW141" s="676">
        <v>304712</v>
      </c>
      <c r="BX141" s="676">
        <v>2142762</v>
      </c>
      <c r="BY141" s="676">
        <v>275790</v>
      </c>
      <c r="BZ141" s="676"/>
      <c r="CA141" s="676">
        <v>193321.95</v>
      </c>
      <c r="CB141" s="676">
        <v>224777.99</v>
      </c>
      <c r="CC141" s="676"/>
      <c r="CD141" s="676">
        <v>12083</v>
      </c>
      <c r="CE141" s="676"/>
      <c r="CF141" s="676"/>
      <c r="CG141" s="676"/>
    </row>
    <row r="142" spans="1:85" x14ac:dyDescent="0.25">
      <c r="A142" s="320" t="s">
        <v>1037</v>
      </c>
      <c r="B142" s="320" t="s">
        <v>1159</v>
      </c>
      <c r="C142" s="320"/>
      <c r="D142" s="320" t="s">
        <v>1198</v>
      </c>
      <c r="E142" s="320">
        <v>2015</v>
      </c>
      <c r="F142" s="404"/>
      <c r="G142" s="676">
        <v>28484</v>
      </c>
      <c r="H142" s="676">
        <v>26490</v>
      </c>
      <c r="I142" s="676">
        <v>76963</v>
      </c>
      <c r="J142" s="676">
        <v>45727</v>
      </c>
      <c r="K142" s="676">
        <v>9572</v>
      </c>
      <c r="L142" s="676">
        <v>265362</v>
      </c>
      <c r="M142" s="676">
        <v>107008</v>
      </c>
      <c r="N142" s="676">
        <v>568754</v>
      </c>
      <c r="O142" s="676">
        <v>2681161</v>
      </c>
      <c r="P142" s="676">
        <v>589564</v>
      </c>
      <c r="Q142" s="676">
        <v>3800</v>
      </c>
      <c r="R142" s="676">
        <v>784871</v>
      </c>
      <c r="S142" s="676">
        <v>37613</v>
      </c>
      <c r="T142" s="676">
        <v>23304</v>
      </c>
      <c r="U142" s="676">
        <v>250000</v>
      </c>
      <c r="V142" s="676">
        <v>119482</v>
      </c>
      <c r="W142" s="676">
        <v>46745</v>
      </c>
      <c r="X142" s="676">
        <v>0</v>
      </c>
      <c r="Y142" s="676">
        <v>48937</v>
      </c>
      <c r="Z142" s="676">
        <v>97469794</v>
      </c>
      <c r="AA142" s="676">
        <v>261966</v>
      </c>
      <c r="AB142" s="676">
        <v>8157541</v>
      </c>
      <c r="AC142" s="676">
        <v>11379.44</v>
      </c>
      <c r="AD142" s="676">
        <v>457744</v>
      </c>
      <c r="AE142" s="676">
        <v>625522</v>
      </c>
      <c r="AF142" s="676">
        <v>1613261</v>
      </c>
      <c r="AG142" s="676">
        <v>630555</v>
      </c>
      <c r="AH142" s="676">
        <v>45400</v>
      </c>
      <c r="AI142" s="676">
        <v>2500</v>
      </c>
      <c r="AJ142" s="676">
        <v>1255</v>
      </c>
      <c r="AK142" s="676">
        <v>1030921</v>
      </c>
      <c r="AL142" s="676">
        <v>24360</v>
      </c>
      <c r="AM142" s="676"/>
      <c r="AN142" s="676">
        <v>21812000</v>
      </c>
      <c r="AO142" s="676"/>
      <c r="AP142" s="676">
        <v>275822</v>
      </c>
      <c r="AQ142" s="676">
        <v>561510</v>
      </c>
      <c r="AR142" s="676">
        <v>227695</v>
      </c>
      <c r="AS142" s="676">
        <v>263352</v>
      </c>
      <c r="AT142" s="676">
        <v>141552.76</v>
      </c>
      <c r="AU142" s="676"/>
      <c r="AV142" s="676"/>
      <c r="AW142" s="676">
        <v>1265</v>
      </c>
      <c r="AX142" s="676">
        <v>6350</v>
      </c>
      <c r="AY142" s="676">
        <v>72184</v>
      </c>
      <c r="AZ142" s="676">
        <v>1200</v>
      </c>
      <c r="BA142" s="676">
        <v>25300</v>
      </c>
      <c r="BB142" s="676">
        <v>428577</v>
      </c>
      <c r="BC142" s="676">
        <v>277291</v>
      </c>
      <c r="BD142" s="676">
        <v>66532</v>
      </c>
      <c r="BE142" s="676">
        <v>825247.15</v>
      </c>
      <c r="BF142" s="676">
        <v>1224000</v>
      </c>
      <c r="BG142" s="676">
        <v>68950000</v>
      </c>
      <c r="BH142" s="676">
        <v>18318000</v>
      </c>
      <c r="BI142" s="676">
        <v>844023</v>
      </c>
      <c r="BJ142" s="676">
        <v>70754</v>
      </c>
      <c r="BK142" s="676">
        <v>9735</v>
      </c>
      <c r="BL142" s="676">
        <v>42353</v>
      </c>
      <c r="BM142" s="676">
        <v>932000</v>
      </c>
      <c r="BN142" s="676">
        <v>298230</v>
      </c>
      <c r="BO142" s="676"/>
      <c r="BP142" s="676">
        <v>127833</v>
      </c>
      <c r="BQ142" s="676"/>
      <c r="BR142" s="676">
        <v>168340</v>
      </c>
      <c r="BS142" s="676">
        <v>4376208</v>
      </c>
      <c r="BT142" s="676">
        <v>597197</v>
      </c>
      <c r="BU142" s="676">
        <v>4150</v>
      </c>
      <c r="BV142" s="676">
        <v>559349</v>
      </c>
      <c r="BW142" s="676">
        <v>740703</v>
      </c>
      <c r="BX142" s="676"/>
      <c r="BY142" s="676">
        <v>130730</v>
      </c>
      <c r="BZ142" s="676">
        <v>291000</v>
      </c>
      <c r="CA142" s="676">
        <v>81548.14</v>
      </c>
      <c r="CB142" s="676">
        <v>318413.42</v>
      </c>
      <c r="CC142" s="676"/>
      <c r="CD142" s="676">
        <v>7250</v>
      </c>
      <c r="CE142" s="676"/>
      <c r="CF142" s="676">
        <v>11929000</v>
      </c>
      <c r="CG142" s="676">
        <v>18959000</v>
      </c>
    </row>
    <row r="143" spans="1:85" x14ac:dyDescent="0.25">
      <c r="A143" s="320" t="s">
        <v>1199</v>
      </c>
      <c r="B143" s="320" t="s">
        <v>1200</v>
      </c>
      <c r="C143" s="320"/>
      <c r="D143" s="320" t="s">
        <v>1201</v>
      </c>
      <c r="E143" s="320">
        <v>2015</v>
      </c>
      <c r="F143" s="404"/>
      <c r="G143" s="676"/>
      <c r="H143" s="676"/>
      <c r="I143" s="676"/>
      <c r="J143" s="676"/>
      <c r="K143" s="676"/>
      <c r="L143" s="676">
        <v>142872</v>
      </c>
      <c r="M143" s="676"/>
      <c r="N143" s="676">
        <v>996</v>
      </c>
      <c r="O143" s="676"/>
      <c r="P143" s="676"/>
      <c r="Q143" s="676">
        <v>137</v>
      </c>
      <c r="R143" s="676">
        <v>685367</v>
      </c>
      <c r="S143" s="676">
        <v>19596</v>
      </c>
      <c r="T143" s="676">
        <v>189480</v>
      </c>
      <c r="U143" s="676">
        <v>80115000</v>
      </c>
      <c r="V143" s="676"/>
      <c r="W143" s="676"/>
      <c r="X143" s="676">
        <v>0</v>
      </c>
      <c r="Y143" s="676">
        <v>266</v>
      </c>
      <c r="Z143" s="676">
        <v>1399</v>
      </c>
      <c r="AA143" s="676"/>
      <c r="AB143" s="676"/>
      <c r="AC143" s="676">
        <v>0</v>
      </c>
      <c r="AD143" s="676">
        <v>640180</v>
      </c>
      <c r="AE143" s="676"/>
      <c r="AF143" s="676">
        <v>2204922</v>
      </c>
      <c r="AG143" s="676">
        <v>300000</v>
      </c>
      <c r="AH143" s="676"/>
      <c r="AI143" s="676">
        <v>568</v>
      </c>
      <c r="AJ143" s="676">
        <v>96780</v>
      </c>
      <c r="AK143" s="676">
        <v>2600429</v>
      </c>
      <c r="AL143" s="676">
        <v>5095551</v>
      </c>
      <c r="AM143" s="676">
        <v>702792</v>
      </c>
      <c r="AN143" s="676">
        <v>37192000</v>
      </c>
      <c r="AO143" s="676"/>
      <c r="AP143" s="676">
        <v>1766809</v>
      </c>
      <c r="AQ143" s="676">
        <v>0</v>
      </c>
      <c r="AR143" s="676"/>
      <c r="AS143" s="676"/>
      <c r="AT143" s="676">
        <v>0</v>
      </c>
      <c r="AU143" s="676"/>
      <c r="AV143" s="676"/>
      <c r="AW143" s="676"/>
      <c r="AX143" s="676">
        <v>185</v>
      </c>
      <c r="AY143" s="676">
        <v>3837289</v>
      </c>
      <c r="AZ143" s="676">
        <v>0</v>
      </c>
      <c r="BA143" s="676">
        <v>2674947</v>
      </c>
      <c r="BB143" s="676"/>
      <c r="BC143" s="676"/>
      <c r="BD143" s="676">
        <v>7469444</v>
      </c>
      <c r="BE143" s="676">
        <v>0</v>
      </c>
      <c r="BF143" s="676">
        <v>2400000</v>
      </c>
      <c r="BG143" s="676">
        <v>395302000</v>
      </c>
      <c r="BH143" s="676"/>
      <c r="BI143" s="676">
        <v>7759317</v>
      </c>
      <c r="BJ143" s="676"/>
      <c r="BK143" s="676"/>
      <c r="BL143" s="676">
        <v>1809</v>
      </c>
      <c r="BM143" s="676">
        <v>6138000</v>
      </c>
      <c r="BN143" s="676">
        <v>1244772</v>
      </c>
      <c r="BO143" s="676"/>
      <c r="BP143" s="676"/>
      <c r="BQ143" s="676"/>
      <c r="BR143" s="676"/>
      <c r="BS143" s="676"/>
      <c r="BT143" s="676"/>
      <c r="BU143" s="676">
        <v>2621410</v>
      </c>
      <c r="BV143" s="676"/>
      <c r="BW143" s="676"/>
      <c r="BX143" s="676">
        <v>3432473</v>
      </c>
      <c r="BY143" s="676"/>
      <c r="BZ143" s="676">
        <v>94680000</v>
      </c>
      <c r="CA143" s="676">
        <v>115392</v>
      </c>
      <c r="CB143" s="676">
        <v>895272.97</v>
      </c>
      <c r="CC143" s="676"/>
      <c r="CD143" s="676"/>
      <c r="CE143" s="676">
        <v>3000</v>
      </c>
      <c r="CF143" s="676">
        <v>52634000</v>
      </c>
      <c r="CG143" s="676">
        <v>72283000</v>
      </c>
    </row>
    <row r="144" spans="1:85" x14ac:dyDescent="0.25">
      <c r="A144" s="320" t="s">
        <v>1202</v>
      </c>
      <c r="B144" s="320" t="s">
        <v>1203</v>
      </c>
      <c r="C144" s="320"/>
      <c r="D144" s="320" t="s">
        <v>1204</v>
      </c>
      <c r="E144" s="320">
        <v>2015</v>
      </c>
      <c r="F144" s="404"/>
      <c r="G144" s="676"/>
      <c r="H144" s="676"/>
      <c r="I144" s="676"/>
      <c r="J144" s="676"/>
      <c r="K144" s="676"/>
      <c r="L144" s="676"/>
      <c r="M144" s="676"/>
      <c r="N144" s="676"/>
      <c r="O144" s="676"/>
      <c r="P144" s="676"/>
      <c r="Q144" s="676"/>
      <c r="R144" s="676">
        <v>423901</v>
      </c>
      <c r="S144" s="676"/>
      <c r="T144" s="676"/>
      <c r="U144" s="676"/>
      <c r="V144" s="676"/>
      <c r="W144" s="676"/>
      <c r="X144" s="676">
        <v>0</v>
      </c>
      <c r="Y144" s="676"/>
      <c r="Z144" s="676">
        <v>0</v>
      </c>
      <c r="AA144" s="676"/>
      <c r="AB144" s="676"/>
      <c r="AC144" s="676">
        <v>0</v>
      </c>
      <c r="AD144" s="676"/>
      <c r="AE144" s="676"/>
      <c r="AF144" s="676"/>
      <c r="AG144" s="676">
        <v>260876</v>
      </c>
      <c r="AH144" s="676"/>
      <c r="AI144" s="676"/>
      <c r="AJ144" s="676"/>
      <c r="AK144" s="676"/>
      <c r="AL144" s="676"/>
      <c r="AM144" s="676"/>
      <c r="AN144" s="676"/>
      <c r="AO144" s="676"/>
      <c r="AP144" s="676"/>
      <c r="AQ144" s="676">
        <v>0</v>
      </c>
      <c r="AR144" s="676"/>
      <c r="AS144" s="676"/>
      <c r="AT144" s="676">
        <v>0</v>
      </c>
      <c r="AU144" s="676"/>
      <c r="AV144" s="676"/>
      <c r="AW144" s="676"/>
      <c r="AX144" s="676"/>
      <c r="AY144" s="676"/>
      <c r="AZ144" s="676">
        <v>0</v>
      </c>
      <c r="BA144" s="676"/>
      <c r="BB144" s="676"/>
      <c r="BC144" s="676"/>
      <c r="BD144" s="676"/>
      <c r="BE144" s="676">
        <v>0</v>
      </c>
      <c r="BF144" s="676"/>
      <c r="BG144" s="676"/>
      <c r="BH144" s="676"/>
      <c r="BI144" s="676"/>
      <c r="BJ144" s="676"/>
      <c r="BK144" s="676"/>
      <c r="BL144" s="676"/>
      <c r="BM144" s="676"/>
      <c r="BN144" s="676">
        <v>0</v>
      </c>
      <c r="BO144" s="676"/>
      <c r="BP144" s="676"/>
      <c r="BQ144" s="676"/>
      <c r="BR144" s="676"/>
      <c r="BS144" s="676"/>
      <c r="BT144" s="676"/>
      <c r="BU144" s="676"/>
      <c r="BV144" s="676"/>
      <c r="BW144" s="676"/>
      <c r="BX144" s="676"/>
      <c r="BY144" s="676"/>
      <c r="BZ144" s="676"/>
      <c r="CA144" s="676"/>
      <c r="CB144" s="676">
        <v>0</v>
      </c>
      <c r="CC144" s="676">
        <v>4114000</v>
      </c>
      <c r="CD144" s="676"/>
      <c r="CE144" s="676"/>
      <c r="CF144" s="676"/>
      <c r="CG144" s="676"/>
    </row>
    <row r="145" spans="1:85" x14ac:dyDescent="0.25">
      <c r="A145" s="320" t="s">
        <v>1205</v>
      </c>
      <c r="B145" s="320" t="s">
        <v>1385</v>
      </c>
      <c r="C145" s="320" t="s">
        <v>1417</v>
      </c>
      <c r="D145" s="320" t="s">
        <v>1206</v>
      </c>
      <c r="E145" s="320">
        <v>2015</v>
      </c>
      <c r="F145" s="404">
        <v>402</v>
      </c>
      <c r="G145" s="676">
        <v>20765</v>
      </c>
      <c r="H145" s="676">
        <v>20424</v>
      </c>
      <c r="I145" s="676">
        <v>750</v>
      </c>
      <c r="J145" s="676">
        <v>50939</v>
      </c>
      <c r="K145" s="676">
        <v>6568</v>
      </c>
      <c r="L145" s="676">
        <v>1078</v>
      </c>
      <c r="M145" s="676">
        <v>20</v>
      </c>
      <c r="N145" s="676"/>
      <c r="O145" s="676"/>
      <c r="P145" s="676"/>
      <c r="Q145" s="676"/>
      <c r="R145" s="676">
        <v>220770</v>
      </c>
      <c r="S145" s="676">
        <v>1952744</v>
      </c>
      <c r="T145" s="676">
        <v>471738</v>
      </c>
      <c r="U145" s="676">
        <v>6819000</v>
      </c>
      <c r="V145" s="676">
        <v>101643</v>
      </c>
      <c r="W145" s="676">
        <v>32237</v>
      </c>
      <c r="X145" s="676">
        <v>3812678.94</v>
      </c>
      <c r="Y145" s="676"/>
      <c r="Z145" s="676">
        <v>92480351</v>
      </c>
      <c r="AA145" s="676"/>
      <c r="AB145" s="676">
        <v>28647993</v>
      </c>
      <c r="AC145" s="676">
        <v>4204.7</v>
      </c>
      <c r="AD145" s="676">
        <v>16118</v>
      </c>
      <c r="AE145" s="676">
        <v>144018</v>
      </c>
      <c r="AF145" s="676">
        <v>9445304</v>
      </c>
      <c r="AG145" s="676">
        <v>580983</v>
      </c>
      <c r="AH145" s="676">
        <v>4229376</v>
      </c>
      <c r="AI145" s="676">
        <v>932275</v>
      </c>
      <c r="AJ145" s="676">
        <v>5591031</v>
      </c>
      <c r="AK145" s="676">
        <v>101885</v>
      </c>
      <c r="AL145" s="676"/>
      <c r="AM145" s="676">
        <v>9146</v>
      </c>
      <c r="AN145" s="676">
        <v>3682220000</v>
      </c>
      <c r="AO145" s="676">
        <v>175329</v>
      </c>
      <c r="AP145" s="676">
        <v>2252426</v>
      </c>
      <c r="AQ145" s="676">
        <v>11030615</v>
      </c>
      <c r="AR145" s="676">
        <v>86997</v>
      </c>
      <c r="AS145" s="676">
        <v>79634</v>
      </c>
      <c r="AT145" s="676">
        <v>38364.47</v>
      </c>
      <c r="AU145" s="676">
        <v>302115</v>
      </c>
      <c r="AV145" s="676">
        <v>178211</v>
      </c>
      <c r="AW145" s="676">
        <v>441</v>
      </c>
      <c r="AX145" s="676">
        <v>368729</v>
      </c>
      <c r="AY145" s="676">
        <v>1476</v>
      </c>
      <c r="AZ145" s="676">
        <v>16</v>
      </c>
      <c r="BA145" s="676">
        <v>480786</v>
      </c>
      <c r="BB145" s="676">
        <v>5095</v>
      </c>
      <c r="BC145" s="676">
        <v>100</v>
      </c>
      <c r="BD145" s="676">
        <v>102856318</v>
      </c>
      <c r="BE145" s="676">
        <v>199.85</v>
      </c>
      <c r="BF145" s="676"/>
      <c r="BG145" s="676"/>
      <c r="BH145" s="676"/>
      <c r="BI145" s="676">
        <v>282219983</v>
      </c>
      <c r="BJ145" s="676"/>
      <c r="BK145" s="676">
        <v>6493</v>
      </c>
      <c r="BL145" s="676">
        <v>221798</v>
      </c>
      <c r="BM145" s="676">
        <v>1892000</v>
      </c>
      <c r="BN145" s="676">
        <v>1087538</v>
      </c>
      <c r="BO145" s="676">
        <v>23567</v>
      </c>
      <c r="BP145" s="676"/>
      <c r="BQ145" s="676">
        <v>81028</v>
      </c>
      <c r="BR145" s="676">
        <v>75</v>
      </c>
      <c r="BS145" s="676">
        <v>18204481</v>
      </c>
      <c r="BT145" s="676">
        <v>4459834</v>
      </c>
      <c r="BU145" s="676"/>
      <c r="BV145" s="676">
        <v>887</v>
      </c>
      <c r="BW145" s="676">
        <v>283898352</v>
      </c>
      <c r="BX145" s="676">
        <v>10060670</v>
      </c>
      <c r="BY145" s="676">
        <v>37457</v>
      </c>
      <c r="BZ145" s="676"/>
      <c r="CA145" s="676">
        <v>1238977.6200000001</v>
      </c>
      <c r="CB145" s="676">
        <v>46042.62</v>
      </c>
      <c r="CC145" s="676"/>
      <c r="CD145" s="676">
        <v>1142880</v>
      </c>
      <c r="CE145" s="676">
        <v>1565621000</v>
      </c>
      <c r="CF145" s="676"/>
      <c r="CG145" s="676">
        <v>28529000</v>
      </c>
    </row>
    <row r="146" spans="1:85" x14ac:dyDescent="0.25">
      <c r="A146" s="320" t="s">
        <v>1207</v>
      </c>
      <c r="B146" s="320" t="s">
        <v>1208</v>
      </c>
      <c r="C146" s="320"/>
      <c r="D146" s="320" t="s">
        <v>1209</v>
      </c>
      <c r="E146" s="320">
        <v>2015</v>
      </c>
      <c r="F146" s="404"/>
      <c r="G146" s="676"/>
      <c r="H146" s="676"/>
      <c r="I146" s="676"/>
      <c r="J146" s="676"/>
      <c r="K146" s="676"/>
      <c r="L146" s="676"/>
      <c r="M146" s="676"/>
      <c r="N146" s="676"/>
      <c r="O146" s="676"/>
      <c r="P146" s="676"/>
      <c r="Q146" s="676"/>
      <c r="R146" s="676"/>
      <c r="S146" s="676"/>
      <c r="T146" s="676"/>
      <c r="U146" s="676"/>
      <c r="V146" s="676"/>
      <c r="W146" s="676"/>
      <c r="X146" s="676">
        <v>0</v>
      </c>
      <c r="Y146" s="676"/>
      <c r="Z146" s="676">
        <v>0</v>
      </c>
      <c r="AA146" s="676"/>
      <c r="AB146" s="676"/>
      <c r="AC146" s="676">
        <v>0</v>
      </c>
      <c r="AD146" s="676"/>
      <c r="AE146" s="676"/>
      <c r="AF146" s="676"/>
      <c r="AG146" s="676"/>
      <c r="AH146" s="676"/>
      <c r="AI146" s="676"/>
      <c r="AJ146" s="676"/>
      <c r="AK146" s="676"/>
      <c r="AL146" s="676"/>
      <c r="AM146" s="676"/>
      <c r="AN146" s="676"/>
      <c r="AO146" s="676">
        <v>15145</v>
      </c>
      <c r="AP146" s="676"/>
      <c r="AQ146" s="676">
        <v>0</v>
      </c>
      <c r="AR146" s="676"/>
      <c r="AS146" s="676"/>
      <c r="AT146" s="676">
        <v>0</v>
      </c>
      <c r="AU146" s="676"/>
      <c r="AV146" s="676"/>
      <c r="AW146" s="676"/>
      <c r="AX146" s="676"/>
      <c r="AY146" s="676"/>
      <c r="AZ146" s="676">
        <v>0</v>
      </c>
      <c r="BA146" s="676"/>
      <c r="BB146" s="676"/>
      <c r="BC146" s="676"/>
      <c r="BD146" s="676"/>
      <c r="BE146" s="676">
        <v>0</v>
      </c>
      <c r="BF146" s="676"/>
      <c r="BG146" s="676"/>
      <c r="BH146" s="676"/>
      <c r="BI146" s="676"/>
      <c r="BJ146" s="676"/>
      <c r="BK146" s="676"/>
      <c r="BL146" s="676"/>
      <c r="BM146" s="676"/>
      <c r="BN146" s="676">
        <v>0</v>
      </c>
      <c r="BO146" s="676"/>
      <c r="BP146" s="676"/>
      <c r="BQ146" s="676"/>
      <c r="BR146" s="676"/>
      <c r="BS146" s="676">
        <v>87731</v>
      </c>
      <c r="BT146" s="676"/>
      <c r="BU146" s="676"/>
      <c r="BV146" s="676"/>
      <c r="BW146" s="676"/>
      <c r="BX146" s="676"/>
      <c r="BY146" s="676"/>
      <c r="BZ146" s="676"/>
      <c r="CA146" s="676"/>
      <c r="CB146" s="676">
        <v>0</v>
      </c>
      <c r="CC146" s="676"/>
      <c r="CD146" s="676"/>
      <c r="CE146" s="676">
        <v>1488842000</v>
      </c>
      <c r="CF146" s="676"/>
      <c r="CG146" s="676"/>
    </row>
    <row r="147" spans="1:85" x14ac:dyDescent="0.25">
      <c r="A147" s="320" t="s">
        <v>1210</v>
      </c>
      <c r="B147" s="320" t="s">
        <v>1211</v>
      </c>
      <c r="C147" s="320"/>
      <c r="D147" s="320" t="s">
        <v>1212</v>
      </c>
      <c r="E147" s="320">
        <v>2015</v>
      </c>
      <c r="F147" s="404">
        <v>402</v>
      </c>
      <c r="G147" s="676"/>
      <c r="H147" s="676"/>
      <c r="I147" s="676">
        <v>374</v>
      </c>
      <c r="J147" s="676"/>
      <c r="K147" s="676">
        <v>6470</v>
      </c>
      <c r="L147" s="676"/>
      <c r="M147" s="676">
        <v>20</v>
      </c>
      <c r="N147" s="676"/>
      <c r="O147" s="676"/>
      <c r="P147" s="676"/>
      <c r="Q147" s="676"/>
      <c r="R147" s="676">
        <v>7628</v>
      </c>
      <c r="S147" s="676">
        <v>1943492</v>
      </c>
      <c r="T147" s="676">
        <v>20129</v>
      </c>
      <c r="U147" s="676"/>
      <c r="V147" s="676"/>
      <c r="W147" s="676">
        <v>57</v>
      </c>
      <c r="X147" s="676">
        <v>0</v>
      </c>
      <c r="Y147" s="676"/>
      <c r="Z147" s="676">
        <v>396</v>
      </c>
      <c r="AA147" s="676"/>
      <c r="AB147" s="676">
        <v>7371</v>
      </c>
      <c r="AC147" s="676">
        <v>4158.04</v>
      </c>
      <c r="AD147" s="676"/>
      <c r="AE147" s="676"/>
      <c r="AF147" s="676">
        <v>89</v>
      </c>
      <c r="AG147" s="676"/>
      <c r="AH147" s="676"/>
      <c r="AI147" s="676"/>
      <c r="AJ147" s="676"/>
      <c r="AK147" s="676">
        <v>100</v>
      </c>
      <c r="AL147" s="676"/>
      <c r="AM147" s="676">
        <v>2550</v>
      </c>
      <c r="AN147" s="676"/>
      <c r="AO147" s="676"/>
      <c r="AP147" s="676">
        <v>353</v>
      </c>
      <c r="AQ147" s="676">
        <v>44</v>
      </c>
      <c r="AR147" s="676">
        <v>49485</v>
      </c>
      <c r="AS147" s="676">
        <v>48897</v>
      </c>
      <c r="AT147" s="676">
        <v>0</v>
      </c>
      <c r="AU147" s="676">
        <v>264464</v>
      </c>
      <c r="AV147" s="676">
        <v>544</v>
      </c>
      <c r="AW147" s="676"/>
      <c r="AX147" s="676">
        <v>368729</v>
      </c>
      <c r="AY147" s="676">
        <v>1476</v>
      </c>
      <c r="AZ147" s="676">
        <v>16</v>
      </c>
      <c r="BA147" s="676">
        <v>18521</v>
      </c>
      <c r="BB147" s="676">
        <v>5095</v>
      </c>
      <c r="BC147" s="676">
        <v>100</v>
      </c>
      <c r="BD147" s="676"/>
      <c r="BE147" s="676">
        <v>199.85</v>
      </c>
      <c r="BF147" s="676"/>
      <c r="BG147" s="676"/>
      <c r="BH147" s="676"/>
      <c r="BI147" s="676">
        <v>1765</v>
      </c>
      <c r="BJ147" s="676"/>
      <c r="BK147" s="676">
        <v>4</v>
      </c>
      <c r="BL147" s="676"/>
      <c r="BM147" s="676">
        <v>1892000</v>
      </c>
      <c r="BN147" s="676">
        <v>1600</v>
      </c>
      <c r="BO147" s="676">
        <v>74</v>
      </c>
      <c r="BP147" s="676"/>
      <c r="BQ147" s="676"/>
      <c r="BR147" s="676">
        <v>15</v>
      </c>
      <c r="BS147" s="676">
        <v>16785520</v>
      </c>
      <c r="BT147" s="676"/>
      <c r="BU147" s="676"/>
      <c r="BV147" s="676"/>
      <c r="BW147" s="676"/>
      <c r="BX147" s="676">
        <v>3441</v>
      </c>
      <c r="BY147" s="676"/>
      <c r="BZ147" s="676"/>
      <c r="CA147" s="676">
        <v>40896.160000000003</v>
      </c>
      <c r="CB147" s="676">
        <v>110.68</v>
      </c>
      <c r="CC147" s="676"/>
      <c r="CD147" s="676"/>
      <c r="CE147" s="676">
        <v>60876000</v>
      </c>
      <c r="CF147" s="676"/>
      <c r="CG147" s="676">
        <v>28529000</v>
      </c>
    </row>
    <row r="148" spans="1:85" x14ac:dyDescent="0.25">
      <c r="A148" s="320" t="s">
        <v>1213</v>
      </c>
      <c r="B148" s="320" t="s">
        <v>1214</v>
      </c>
      <c r="C148" s="320"/>
      <c r="D148" s="320" t="s">
        <v>1215</v>
      </c>
      <c r="E148" s="320">
        <v>2015</v>
      </c>
      <c r="F148" s="404"/>
      <c r="G148" s="676"/>
      <c r="H148" s="676"/>
      <c r="I148" s="676"/>
      <c r="J148" s="676"/>
      <c r="K148" s="676"/>
      <c r="L148" s="676">
        <v>111</v>
      </c>
      <c r="M148" s="676"/>
      <c r="N148" s="676"/>
      <c r="O148" s="676"/>
      <c r="P148" s="676"/>
      <c r="Q148" s="676"/>
      <c r="R148" s="676">
        <v>195117</v>
      </c>
      <c r="S148" s="676"/>
      <c r="T148" s="676"/>
      <c r="U148" s="676">
        <v>6819000</v>
      </c>
      <c r="V148" s="676"/>
      <c r="W148" s="676"/>
      <c r="X148" s="676">
        <v>3705278.94</v>
      </c>
      <c r="Y148" s="676"/>
      <c r="Z148" s="676">
        <v>85306417</v>
      </c>
      <c r="AA148" s="676"/>
      <c r="AB148" s="676">
        <v>27508373</v>
      </c>
      <c r="AC148" s="676">
        <v>0</v>
      </c>
      <c r="AD148" s="676">
        <v>14586</v>
      </c>
      <c r="AE148" s="676">
        <v>3930</v>
      </c>
      <c r="AF148" s="676">
        <v>8707479</v>
      </c>
      <c r="AG148" s="676">
        <v>580983</v>
      </c>
      <c r="AH148" s="676">
        <v>4229376</v>
      </c>
      <c r="AI148" s="676">
        <v>867094</v>
      </c>
      <c r="AJ148" s="676">
        <v>5253752</v>
      </c>
      <c r="AK148" s="676">
        <v>22051</v>
      </c>
      <c r="AL148" s="676"/>
      <c r="AM148" s="676">
        <v>5158</v>
      </c>
      <c r="AN148" s="676">
        <v>3635890000</v>
      </c>
      <c r="AO148" s="676">
        <v>160184</v>
      </c>
      <c r="AP148" s="676">
        <v>1761118</v>
      </c>
      <c r="AQ148" s="676">
        <v>10072525</v>
      </c>
      <c r="AR148" s="676">
        <v>23158</v>
      </c>
      <c r="AS148" s="676">
        <v>18462</v>
      </c>
      <c r="AT148" s="676">
        <v>38064.89</v>
      </c>
      <c r="AU148" s="676">
        <v>21725</v>
      </c>
      <c r="AV148" s="676"/>
      <c r="AW148" s="676"/>
      <c r="AX148" s="676"/>
      <c r="AY148" s="676"/>
      <c r="AZ148" s="676">
        <v>0</v>
      </c>
      <c r="BA148" s="676"/>
      <c r="BB148" s="676"/>
      <c r="BC148" s="676"/>
      <c r="BD148" s="676">
        <v>86784698</v>
      </c>
      <c r="BE148" s="676">
        <v>0</v>
      </c>
      <c r="BF148" s="676"/>
      <c r="BG148" s="676"/>
      <c r="BH148" s="676"/>
      <c r="BI148" s="676">
        <v>278793724</v>
      </c>
      <c r="BJ148" s="676"/>
      <c r="BK148" s="676">
        <v>3234</v>
      </c>
      <c r="BL148" s="676"/>
      <c r="BM148" s="676"/>
      <c r="BN148" s="676">
        <v>774793</v>
      </c>
      <c r="BO148" s="676">
        <v>23447</v>
      </c>
      <c r="BP148" s="676"/>
      <c r="BQ148" s="676">
        <v>81028</v>
      </c>
      <c r="BR148" s="676"/>
      <c r="BS148" s="676"/>
      <c r="BT148" s="676">
        <v>3853093</v>
      </c>
      <c r="BU148" s="676"/>
      <c r="BV148" s="676"/>
      <c r="BW148" s="676">
        <v>279996561</v>
      </c>
      <c r="BX148" s="676">
        <v>9863817</v>
      </c>
      <c r="BY148" s="676">
        <v>16803</v>
      </c>
      <c r="BZ148" s="676"/>
      <c r="CA148" s="676">
        <v>1198081.46</v>
      </c>
      <c r="CB148" s="676">
        <v>31156.01</v>
      </c>
      <c r="CC148" s="676"/>
      <c r="CD148" s="676"/>
      <c r="CE148" s="676">
        <v>15903000</v>
      </c>
      <c r="CF148" s="676"/>
      <c r="CG148" s="676"/>
    </row>
    <row r="149" spans="1:85" x14ac:dyDescent="0.25">
      <c r="A149" s="320" t="s">
        <v>1216</v>
      </c>
      <c r="B149" s="320" t="s">
        <v>1217</v>
      </c>
      <c r="C149" s="320"/>
      <c r="D149" s="320" t="s">
        <v>1218</v>
      </c>
      <c r="E149" s="320">
        <v>2015</v>
      </c>
      <c r="F149" s="404"/>
      <c r="G149" s="676">
        <v>20765</v>
      </c>
      <c r="H149" s="676">
        <v>20424</v>
      </c>
      <c r="I149" s="676">
        <v>376</v>
      </c>
      <c r="J149" s="676">
        <v>50939</v>
      </c>
      <c r="K149" s="676">
        <v>98</v>
      </c>
      <c r="L149" s="676">
        <v>967</v>
      </c>
      <c r="M149" s="676"/>
      <c r="N149" s="676"/>
      <c r="O149" s="676"/>
      <c r="P149" s="676"/>
      <c r="Q149" s="676"/>
      <c r="R149" s="676">
        <v>18025</v>
      </c>
      <c r="S149" s="676">
        <v>9252</v>
      </c>
      <c r="T149" s="676">
        <v>451609</v>
      </c>
      <c r="U149" s="676"/>
      <c r="V149" s="676">
        <v>101643</v>
      </c>
      <c r="W149" s="676">
        <v>32180</v>
      </c>
      <c r="X149" s="676">
        <v>107400</v>
      </c>
      <c r="Y149" s="676"/>
      <c r="Z149" s="676">
        <v>7173538</v>
      </c>
      <c r="AA149" s="676"/>
      <c r="AB149" s="676">
        <v>1132249</v>
      </c>
      <c r="AC149" s="676">
        <v>46.66</v>
      </c>
      <c r="AD149" s="676">
        <v>1532</v>
      </c>
      <c r="AE149" s="676">
        <v>140088</v>
      </c>
      <c r="AF149" s="676">
        <v>737736</v>
      </c>
      <c r="AG149" s="676"/>
      <c r="AH149" s="676"/>
      <c r="AI149" s="676">
        <v>65181</v>
      </c>
      <c r="AJ149" s="676">
        <v>337279</v>
      </c>
      <c r="AK149" s="676">
        <v>79734</v>
      </c>
      <c r="AL149" s="676"/>
      <c r="AM149" s="676">
        <v>1438</v>
      </c>
      <c r="AN149" s="676">
        <v>46330000</v>
      </c>
      <c r="AO149" s="676"/>
      <c r="AP149" s="676">
        <v>490955</v>
      </c>
      <c r="AQ149" s="676">
        <v>958046</v>
      </c>
      <c r="AR149" s="676">
        <v>14354</v>
      </c>
      <c r="AS149" s="676">
        <v>12275</v>
      </c>
      <c r="AT149" s="676">
        <v>299.58</v>
      </c>
      <c r="AU149" s="676">
        <v>15926</v>
      </c>
      <c r="AV149" s="676">
        <v>177667</v>
      </c>
      <c r="AW149" s="676">
        <v>441</v>
      </c>
      <c r="AX149" s="676"/>
      <c r="AY149" s="676"/>
      <c r="AZ149" s="676">
        <v>0</v>
      </c>
      <c r="BA149" s="676">
        <v>462265</v>
      </c>
      <c r="BB149" s="676"/>
      <c r="BC149" s="676"/>
      <c r="BD149" s="676">
        <v>16071620</v>
      </c>
      <c r="BE149" s="676">
        <v>0</v>
      </c>
      <c r="BF149" s="676"/>
      <c r="BG149" s="676"/>
      <c r="BH149" s="676"/>
      <c r="BI149" s="676">
        <v>3424494</v>
      </c>
      <c r="BJ149" s="676"/>
      <c r="BK149" s="676">
        <v>3255</v>
      </c>
      <c r="BL149" s="676">
        <v>221798</v>
      </c>
      <c r="BM149" s="676"/>
      <c r="BN149" s="676">
        <v>311145</v>
      </c>
      <c r="BO149" s="676">
        <v>46</v>
      </c>
      <c r="BP149" s="676"/>
      <c r="BQ149" s="676">
        <v>0</v>
      </c>
      <c r="BR149" s="676">
        <v>60</v>
      </c>
      <c r="BS149" s="676">
        <v>1331230</v>
      </c>
      <c r="BT149" s="676">
        <v>606741</v>
      </c>
      <c r="BU149" s="676"/>
      <c r="BV149" s="676">
        <v>887</v>
      </c>
      <c r="BW149" s="676">
        <v>3901791</v>
      </c>
      <c r="BX149" s="676">
        <v>193412</v>
      </c>
      <c r="BY149" s="676">
        <v>20654</v>
      </c>
      <c r="BZ149" s="676"/>
      <c r="CA149" s="676"/>
      <c r="CB149" s="676">
        <v>14775.93</v>
      </c>
      <c r="CC149" s="676"/>
      <c r="CD149" s="676">
        <v>1142880</v>
      </c>
      <c r="CE149" s="676"/>
      <c r="CF149" s="676"/>
      <c r="CG149" s="676"/>
    </row>
    <row r="150" spans="1:85" s="307" customFormat="1" x14ac:dyDescent="0.25">
      <c r="A150" s="320"/>
      <c r="B150" s="320"/>
      <c r="C150" s="320"/>
      <c r="D150" s="320"/>
      <c r="E150" s="320">
        <v>2015</v>
      </c>
      <c r="F150" s="404"/>
      <c r="G150" s="405"/>
      <c r="H150" s="405"/>
      <c r="I150" s="405"/>
      <c r="J150" s="405"/>
      <c r="K150" s="405"/>
      <c r="L150" s="405"/>
      <c r="M150" s="405"/>
      <c r="N150" s="405"/>
      <c r="O150" s="405"/>
      <c r="P150" s="405"/>
      <c r="Q150" s="405"/>
      <c r="R150" s="405"/>
      <c r="S150" s="405"/>
      <c r="T150" s="405"/>
      <c r="U150" s="405"/>
      <c r="V150" s="405"/>
      <c r="W150" s="405"/>
      <c r="X150" s="405"/>
      <c r="Y150" s="405"/>
      <c r="Z150" s="405"/>
      <c r="AA150" s="405"/>
      <c r="AB150" s="405"/>
      <c r="AC150" s="405"/>
      <c r="AD150" s="405"/>
      <c r="AE150" s="405"/>
      <c r="AF150" s="405"/>
      <c r="AG150" s="405"/>
      <c r="AH150" s="405"/>
      <c r="AI150" s="405"/>
      <c r="AJ150" s="405"/>
      <c r="AK150" s="405"/>
      <c r="AL150" s="405"/>
      <c r="AM150" s="405"/>
      <c r="AN150" s="405"/>
      <c r="AO150" s="405"/>
      <c r="AP150" s="405"/>
      <c r="AQ150" s="405"/>
      <c r="AR150" s="405"/>
      <c r="AS150" s="405"/>
      <c r="AT150" s="405"/>
      <c r="AU150" s="405"/>
      <c r="AV150" s="405"/>
      <c r="AW150" s="405"/>
      <c r="AX150" s="405"/>
      <c r="AY150" s="405"/>
      <c r="AZ150" s="405"/>
      <c r="BA150" s="405"/>
      <c r="BB150" s="405"/>
      <c r="BC150" s="405"/>
      <c r="BD150" s="405"/>
      <c r="BE150" s="405"/>
      <c r="BF150" s="405"/>
      <c r="BG150" s="405"/>
      <c r="BH150" s="405"/>
      <c r="BI150" s="405"/>
      <c r="BJ150" s="405"/>
      <c r="BK150" s="405"/>
      <c r="BL150" s="405"/>
      <c r="BM150" s="405"/>
      <c r="BN150" s="405"/>
      <c r="BO150" s="405"/>
      <c r="BP150" s="405"/>
      <c r="BQ150" s="405"/>
      <c r="BR150" s="405"/>
      <c r="BS150" s="405"/>
      <c r="BT150" s="405"/>
      <c r="BU150" s="405"/>
      <c r="BV150" s="405"/>
      <c r="BW150" s="405"/>
      <c r="BX150" s="405"/>
      <c r="BY150" s="405"/>
      <c r="BZ150" s="405"/>
      <c r="CA150" s="405"/>
      <c r="CB150" s="405"/>
      <c r="CC150" s="405"/>
      <c r="CD150" s="405"/>
      <c r="CE150" s="405"/>
      <c r="CF150" s="405"/>
      <c r="CG150" s="405"/>
    </row>
    <row r="151" spans="1:85" x14ac:dyDescent="0.25">
      <c r="A151" s="319" t="s">
        <v>642</v>
      </c>
      <c r="B151" s="319" t="s">
        <v>1219</v>
      </c>
      <c r="C151" s="319"/>
      <c r="D151" s="319" t="s">
        <v>865</v>
      </c>
      <c r="E151" s="447"/>
      <c r="F151" s="406">
        <v>2015</v>
      </c>
      <c r="G151" s="407">
        <v>2015</v>
      </c>
      <c r="H151" s="407">
        <v>2015</v>
      </c>
      <c r="I151" s="407">
        <v>2015</v>
      </c>
      <c r="J151" s="407">
        <v>2015</v>
      </c>
      <c r="K151" s="407">
        <v>2015</v>
      </c>
      <c r="L151" s="407">
        <v>2015</v>
      </c>
      <c r="M151" s="407">
        <v>2015</v>
      </c>
      <c r="N151" s="407">
        <v>2015</v>
      </c>
      <c r="O151" s="407">
        <v>2015</v>
      </c>
      <c r="P151" s="407">
        <v>2015</v>
      </c>
      <c r="Q151" s="407">
        <v>2015</v>
      </c>
      <c r="R151" s="407">
        <v>2015</v>
      </c>
      <c r="S151" s="407">
        <v>2015</v>
      </c>
      <c r="T151" s="407">
        <v>2015</v>
      </c>
      <c r="U151" s="407">
        <v>2015</v>
      </c>
      <c r="V151" s="407">
        <v>2015</v>
      </c>
      <c r="W151" s="407">
        <v>2015</v>
      </c>
      <c r="X151" s="407">
        <v>2015</v>
      </c>
      <c r="Y151" s="407">
        <v>2015</v>
      </c>
      <c r="Z151" s="407">
        <v>2015</v>
      </c>
      <c r="AA151" s="407">
        <v>2015</v>
      </c>
      <c r="AB151" s="407">
        <v>2015</v>
      </c>
      <c r="AC151" s="407">
        <v>2015</v>
      </c>
      <c r="AD151" s="407">
        <v>2015</v>
      </c>
      <c r="AE151" s="407">
        <v>2015</v>
      </c>
      <c r="AF151" s="407">
        <v>2015</v>
      </c>
      <c r="AG151" s="407">
        <v>2015</v>
      </c>
      <c r="AH151" s="407">
        <v>2015</v>
      </c>
      <c r="AI151" s="407">
        <v>2015</v>
      </c>
      <c r="AJ151" s="407">
        <v>2015</v>
      </c>
      <c r="AK151" s="407">
        <v>2015</v>
      </c>
      <c r="AL151" s="407">
        <v>2015</v>
      </c>
      <c r="AM151" s="407">
        <v>2015</v>
      </c>
      <c r="AN151" s="407">
        <v>2015</v>
      </c>
      <c r="AO151" s="407">
        <v>2015</v>
      </c>
      <c r="AP151" s="407">
        <v>2015</v>
      </c>
      <c r="AQ151" s="407">
        <v>2015</v>
      </c>
      <c r="AR151" s="407">
        <v>2015</v>
      </c>
      <c r="AS151" s="407">
        <v>2015</v>
      </c>
      <c r="AT151" s="407">
        <v>2015</v>
      </c>
      <c r="AU151" s="407">
        <v>2015</v>
      </c>
      <c r="AV151" s="407">
        <v>2015</v>
      </c>
      <c r="AW151" s="407">
        <v>2015</v>
      </c>
      <c r="AX151" s="407">
        <v>2015</v>
      </c>
      <c r="AY151" s="407">
        <v>2015</v>
      </c>
      <c r="AZ151" s="407">
        <v>2015</v>
      </c>
      <c r="BA151" s="407">
        <v>2015</v>
      </c>
      <c r="BB151" s="407">
        <v>2015</v>
      </c>
      <c r="BC151" s="407">
        <v>2015</v>
      </c>
      <c r="BD151" s="407">
        <v>2015</v>
      </c>
      <c r="BE151" s="407">
        <v>2015</v>
      </c>
      <c r="BF151" s="407">
        <v>2015</v>
      </c>
      <c r="BG151" s="407">
        <v>2015</v>
      </c>
      <c r="BH151" s="407">
        <v>2015</v>
      </c>
      <c r="BI151" s="407">
        <v>2015</v>
      </c>
      <c r="BJ151" s="407">
        <v>2015</v>
      </c>
      <c r="BK151" s="407">
        <v>2015</v>
      </c>
      <c r="BL151" s="407">
        <v>2015</v>
      </c>
      <c r="BM151" s="407">
        <v>2015</v>
      </c>
      <c r="BN151" s="407">
        <v>2015</v>
      </c>
      <c r="BO151" s="407">
        <v>2015</v>
      </c>
      <c r="BP151" s="407">
        <v>2015</v>
      </c>
      <c r="BQ151" s="407">
        <v>2015</v>
      </c>
      <c r="BR151" s="407">
        <v>2015</v>
      </c>
      <c r="BS151" s="407">
        <v>2015</v>
      </c>
      <c r="BT151" s="407">
        <v>2015</v>
      </c>
      <c r="BU151" s="407">
        <v>2015</v>
      </c>
      <c r="BV151" s="407">
        <v>2015</v>
      </c>
      <c r="BW151" s="407">
        <v>2015</v>
      </c>
      <c r="BX151" s="407">
        <v>2015</v>
      </c>
      <c r="BY151" s="407">
        <v>2015</v>
      </c>
      <c r="BZ151" s="407">
        <v>2015</v>
      </c>
      <c r="CA151" s="407">
        <v>2015</v>
      </c>
      <c r="CB151" s="407">
        <v>2015</v>
      </c>
      <c r="CC151" s="407">
        <v>2015</v>
      </c>
      <c r="CD151" s="407">
        <v>2015</v>
      </c>
      <c r="CE151" s="407">
        <v>2015</v>
      </c>
      <c r="CF151" s="407">
        <v>2015</v>
      </c>
      <c r="CG151" s="407">
        <v>2015</v>
      </c>
    </row>
    <row r="152" spans="1:85" x14ac:dyDescent="0.25">
      <c r="A152" s="320" t="s">
        <v>1220</v>
      </c>
      <c r="B152" s="320" t="s">
        <v>1221</v>
      </c>
      <c r="C152" s="320"/>
      <c r="D152" s="320" t="s">
        <v>429</v>
      </c>
      <c r="E152" s="320">
        <v>2015</v>
      </c>
      <c r="F152" s="404">
        <v>1166381</v>
      </c>
      <c r="G152" s="676">
        <v>5983439</v>
      </c>
      <c r="H152" s="676">
        <v>21896712</v>
      </c>
      <c r="I152" s="676">
        <v>19098748</v>
      </c>
      <c r="J152" s="676">
        <v>9266186</v>
      </c>
      <c r="K152" s="676">
        <v>11193017</v>
      </c>
      <c r="L152" s="676">
        <v>5353480</v>
      </c>
      <c r="M152" s="676">
        <v>152093008</v>
      </c>
      <c r="N152" s="676">
        <v>250929966</v>
      </c>
      <c r="O152" s="676">
        <v>103196652</v>
      </c>
      <c r="P152" s="676">
        <v>20570257</v>
      </c>
      <c r="Q152" s="676">
        <v>518705</v>
      </c>
      <c r="R152" s="676">
        <v>40201837</v>
      </c>
      <c r="S152" s="676">
        <v>208387722</v>
      </c>
      <c r="T152" s="676">
        <v>13528732</v>
      </c>
      <c r="U152" s="676">
        <v>776369000</v>
      </c>
      <c r="V152" s="676">
        <v>18268853</v>
      </c>
      <c r="W152" s="676">
        <v>6359315</v>
      </c>
      <c r="X152" s="676">
        <v>948210.2</v>
      </c>
      <c r="Y152" s="676">
        <v>348976131</v>
      </c>
      <c r="Z152" s="676">
        <v>43669345</v>
      </c>
      <c r="AA152" s="676">
        <v>6223497</v>
      </c>
      <c r="AB152" s="676">
        <v>214991984</v>
      </c>
      <c r="AC152" s="676">
        <v>4622327.8099999996</v>
      </c>
      <c r="AD152" s="676">
        <v>9928948</v>
      </c>
      <c r="AE152" s="676">
        <v>8192772</v>
      </c>
      <c r="AF152" s="676">
        <v>20412111</v>
      </c>
      <c r="AG152" s="676">
        <v>504343</v>
      </c>
      <c r="AH152" s="676">
        <v>1606180</v>
      </c>
      <c r="AI152" s="676">
        <v>1604721</v>
      </c>
      <c r="AJ152" s="676">
        <v>918055</v>
      </c>
      <c r="AK152" s="676">
        <v>64996896</v>
      </c>
      <c r="AL152" s="676">
        <v>111373107</v>
      </c>
      <c r="AM152" s="676">
        <v>25620080</v>
      </c>
      <c r="AN152" s="676">
        <v>316430000</v>
      </c>
      <c r="AO152" s="676">
        <v>77631739</v>
      </c>
      <c r="AP152" s="676">
        <v>30361147</v>
      </c>
      <c r="AQ152" s="676">
        <v>37990293</v>
      </c>
      <c r="AR152" s="676">
        <v>14282307</v>
      </c>
      <c r="AS152" s="676">
        <v>19441789</v>
      </c>
      <c r="AT152" s="676">
        <v>12479791.15</v>
      </c>
      <c r="AU152" s="676">
        <v>15527448</v>
      </c>
      <c r="AV152" s="676">
        <v>16995451</v>
      </c>
      <c r="AW152" s="676">
        <v>7444864</v>
      </c>
      <c r="AX152" s="676">
        <v>108387870</v>
      </c>
      <c r="AY152" s="676">
        <v>45101216</v>
      </c>
      <c r="AZ152" s="676">
        <v>1805484</v>
      </c>
      <c r="BA152" s="676">
        <v>17687648</v>
      </c>
      <c r="BB152" s="676">
        <v>34795027</v>
      </c>
      <c r="BC152" s="676">
        <v>26671501</v>
      </c>
      <c r="BD152" s="676">
        <v>400779036</v>
      </c>
      <c r="BE152" s="676">
        <v>11015453.76</v>
      </c>
      <c r="BF152" s="676">
        <v>306355000</v>
      </c>
      <c r="BG152" s="676">
        <v>2137644000</v>
      </c>
      <c r="BH152" s="676">
        <v>1332501000</v>
      </c>
      <c r="BI152" s="676">
        <v>71404083</v>
      </c>
      <c r="BJ152" s="676">
        <v>42402371</v>
      </c>
      <c r="BK152" s="676">
        <v>2896048</v>
      </c>
      <c r="BL152" s="676">
        <v>4105752</v>
      </c>
      <c r="BM152" s="676">
        <v>682282000</v>
      </c>
      <c r="BN152" s="676">
        <v>43826191</v>
      </c>
      <c r="BO152" s="676">
        <v>3653916</v>
      </c>
      <c r="BP152" s="676">
        <v>5257985</v>
      </c>
      <c r="BQ152" s="676">
        <v>1958584</v>
      </c>
      <c r="BR152" s="676">
        <v>2781355</v>
      </c>
      <c r="BS152" s="676">
        <v>423911848</v>
      </c>
      <c r="BT152" s="676">
        <v>55741972</v>
      </c>
      <c r="BU152" s="676">
        <v>46548313</v>
      </c>
      <c r="BV152" s="676">
        <v>2627406</v>
      </c>
      <c r="BW152" s="676">
        <v>85118039</v>
      </c>
      <c r="BX152" s="676">
        <v>15844453</v>
      </c>
      <c r="BY152" s="676">
        <v>13011886</v>
      </c>
      <c r="BZ152" s="676">
        <v>25033000</v>
      </c>
      <c r="CA152" s="676">
        <v>19169426.859999999</v>
      </c>
      <c r="CB152" s="676">
        <v>57181330.490000002</v>
      </c>
      <c r="CC152" s="676">
        <v>42822000</v>
      </c>
      <c r="CD152" s="676">
        <v>791682</v>
      </c>
      <c r="CE152" s="676">
        <v>165245000</v>
      </c>
      <c r="CF152" s="676">
        <v>268810000</v>
      </c>
      <c r="CG152" s="676">
        <v>316109000</v>
      </c>
    </row>
    <row r="153" spans="1:85" x14ac:dyDescent="0.25">
      <c r="A153" s="320" t="s">
        <v>1222</v>
      </c>
      <c r="B153" s="320" t="s">
        <v>1418</v>
      </c>
      <c r="C153" s="320" t="s">
        <v>1419</v>
      </c>
      <c r="D153" s="320" t="s">
        <v>705</v>
      </c>
      <c r="E153" s="320">
        <v>2015</v>
      </c>
      <c r="F153" s="404">
        <v>1263881</v>
      </c>
      <c r="G153" s="676">
        <v>6023042</v>
      </c>
      <c r="H153" s="676">
        <v>21895995</v>
      </c>
      <c r="I153" s="676">
        <v>19771957</v>
      </c>
      <c r="J153" s="676">
        <v>9266053</v>
      </c>
      <c r="K153" s="676">
        <v>11216400</v>
      </c>
      <c r="L153" s="676">
        <v>5397291</v>
      </c>
      <c r="M153" s="676">
        <v>153401068</v>
      </c>
      <c r="N153" s="676">
        <v>251248451</v>
      </c>
      <c r="O153" s="676">
        <v>103838753</v>
      </c>
      <c r="P153" s="676">
        <v>21211996</v>
      </c>
      <c r="Q153" s="676">
        <v>880907</v>
      </c>
      <c r="R153" s="676">
        <v>40250284</v>
      </c>
      <c r="S153" s="676">
        <v>222795687</v>
      </c>
      <c r="T153" s="676">
        <v>24232254</v>
      </c>
      <c r="U153" s="676">
        <v>782717000</v>
      </c>
      <c r="V153" s="676">
        <v>18361591</v>
      </c>
      <c r="W153" s="676">
        <v>8649775</v>
      </c>
      <c r="X153" s="676">
        <v>3061386.23</v>
      </c>
      <c r="Y153" s="676">
        <v>348976297</v>
      </c>
      <c r="Z153" s="676">
        <v>198378861</v>
      </c>
      <c r="AA153" s="676">
        <v>7086227</v>
      </c>
      <c r="AB153" s="676">
        <v>223761276</v>
      </c>
      <c r="AC153" s="676">
        <v>4657644.47</v>
      </c>
      <c r="AD153" s="676">
        <v>12538124</v>
      </c>
      <c r="AE153" s="676">
        <v>9625512</v>
      </c>
      <c r="AF153" s="676">
        <v>24730435</v>
      </c>
      <c r="AG153" s="676">
        <v>783110</v>
      </c>
      <c r="AH153" s="676">
        <v>2643027</v>
      </c>
      <c r="AI153" s="676">
        <v>2143522</v>
      </c>
      <c r="AJ153" s="676">
        <v>918087</v>
      </c>
      <c r="AK153" s="676">
        <v>65650490</v>
      </c>
      <c r="AL153" s="676">
        <v>111550521</v>
      </c>
      <c r="AM153" s="676">
        <v>29345641</v>
      </c>
      <c r="AN153" s="676">
        <v>316430000</v>
      </c>
      <c r="AO153" s="676">
        <v>78560477</v>
      </c>
      <c r="AP153" s="676">
        <v>31590634</v>
      </c>
      <c r="AQ153" s="676">
        <v>39157554</v>
      </c>
      <c r="AR153" s="676">
        <v>15381429</v>
      </c>
      <c r="AS153" s="676">
        <v>20005428</v>
      </c>
      <c r="AT153" s="676">
        <v>16298849.789999999</v>
      </c>
      <c r="AU153" s="676">
        <v>15835740</v>
      </c>
      <c r="AV153" s="676">
        <v>17192315</v>
      </c>
      <c r="AW153" s="676">
        <v>7545914</v>
      </c>
      <c r="AX153" s="676">
        <v>107823571</v>
      </c>
      <c r="AY153" s="676">
        <v>45122190</v>
      </c>
      <c r="AZ153" s="676">
        <v>1803728</v>
      </c>
      <c r="BA153" s="676">
        <v>17569623</v>
      </c>
      <c r="BB153" s="676">
        <v>35527458</v>
      </c>
      <c r="BC153" s="676">
        <v>27718670</v>
      </c>
      <c r="BD153" s="676">
        <v>400779036</v>
      </c>
      <c r="BE153" s="676">
        <v>11008262.76</v>
      </c>
      <c r="BF153" s="676">
        <v>306355000</v>
      </c>
      <c r="BG153" s="676">
        <v>2680478000</v>
      </c>
      <c r="BH153" s="676">
        <v>1359814000</v>
      </c>
      <c r="BI153" s="676">
        <v>111151427</v>
      </c>
      <c r="BJ153" s="676">
        <v>42623514</v>
      </c>
      <c r="BK153" s="676">
        <v>2899954</v>
      </c>
      <c r="BL153" s="676">
        <v>4112689</v>
      </c>
      <c r="BM153" s="676">
        <v>689665000</v>
      </c>
      <c r="BN153" s="676">
        <v>44371496</v>
      </c>
      <c r="BO153" s="676">
        <v>3661209</v>
      </c>
      <c r="BP153" s="676">
        <v>5300807</v>
      </c>
      <c r="BQ153" s="676">
        <v>2196572</v>
      </c>
      <c r="BR153" s="676">
        <v>2763554</v>
      </c>
      <c r="BS153" s="676">
        <v>423873871</v>
      </c>
      <c r="BT153" s="676">
        <v>55742308</v>
      </c>
      <c r="BU153" s="676">
        <v>46596624</v>
      </c>
      <c r="BV153" s="676">
        <v>2675737</v>
      </c>
      <c r="BW153" s="676">
        <v>91939481</v>
      </c>
      <c r="BX153" s="676">
        <v>19502705</v>
      </c>
      <c r="BY153" s="676">
        <v>13617235</v>
      </c>
      <c r="BZ153" s="676">
        <v>25622000</v>
      </c>
      <c r="CA153" s="676">
        <v>19610408.870000001</v>
      </c>
      <c r="CB153" s="676">
        <v>57525490.530000001</v>
      </c>
      <c r="CC153" s="676">
        <v>48478000</v>
      </c>
      <c r="CD153" s="676">
        <v>1904028</v>
      </c>
      <c r="CE153" s="676">
        <v>471461000</v>
      </c>
      <c r="CF153" s="676">
        <v>284281000</v>
      </c>
      <c r="CG153" s="676">
        <v>358110000</v>
      </c>
    </row>
    <row r="154" spans="1:85" x14ac:dyDescent="0.25">
      <c r="A154" s="320" t="s">
        <v>1223</v>
      </c>
      <c r="B154" s="320" t="s">
        <v>1224</v>
      </c>
      <c r="C154" s="320"/>
      <c r="D154" s="320" t="s">
        <v>707</v>
      </c>
      <c r="E154" s="320">
        <v>2015</v>
      </c>
      <c r="F154" s="404"/>
      <c r="G154" s="676"/>
      <c r="H154" s="676"/>
      <c r="I154" s="676">
        <v>142389</v>
      </c>
      <c r="J154" s="676">
        <v>3303279</v>
      </c>
      <c r="K154" s="676">
        <v>1700830</v>
      </c>
      <c r="L154" s="676">
        <v>67513</v>
      </c>
      <c r="M154" s="676">
        <v>6788</v>
      </c>
      <c r="N154" s="676">
        <v>124365525</v>
      </c>
      <c r="O154" s="676"/>
      <c r="P154" s="676">
        <v>23907</v>
      </c>
      <c r="Q154" s="676">
        <v>320</v>
      </c>
      <c r="R154" s="676">
        <v>973975</v>
      </c>
      <c r="S154" s="676"/>
      <c r="T154" s="676"/>
      <c r="U154" s="676"/>
      <c r="V154" s="676">
        <v>28033</v>
      </c>
      <c r="W154" s="676">
        <v>240146</v>
      </c>
      <c r="X154" s="676">
        <v>0</v>
      </c>
      <c r="Y154" s="676">
        <v>465708</v>
      </c>
      <c r="Z154" s="676">
        <v>0</v>
      </c>
      <c r="AA154" s="676"/>
      <c r="AB154" s="676">
        <v>41537</v>
      </c>
      <c r="AC154" s="676"/>
      <c r="AD154" s="676">
        <v>1836</v>
      </c>
      <c r="AE154" s="676">
        <v>1865592</v>
      </c>
      <c r="AF154" s="676">
        <v>30673</v>
      </c>
      <c r="AG154" s="676">
        <v>234754</v>
      </c>
      <c r="AH154" s="676">
        <v>781188</v>
      </c>
      <c r="AI154" s="676">
        <v>787915</v>
      </c>
      <c r="AJ154" s="676">
        <v>50749</v>
      </c>
      <c r="AK154" s="676">
        <v>697</v>
      </c>
      <c r="AL154" s="676">
        <v>75265025</v>
      </c>
      <c r="AM154" s="676">
        <v>2919330</v>
      </c>
      <c r="AN154" s="676"/>
      <c r="AO154" s="676"/>
      <c r="AP154" s="676">
        <v>249197</v>
      </c>
      <c r="AQ154" s="676">
        <v>2856111</v>
      </c>
      <c r="AR154" s="676"/>
      <c r="AS154" s="676"/>
      <c r="AT154" s="676">
        <v>74945.37</v>
      </c>
      <c r="AU154" s="676">
        <v>1148</v>
      </c>
      <c r="AV154" s="676"/>
      <c r="AW154" s="676">
        <v>6290597</v>
      </c>
      <c r="AX154" s="676">
        <v>69041303</v>
      </c>
      <c r="AY154" s="676">
        <v>350</v>
      </c>
      <c r="AZ154" s="676">
        <v>0</v>
      </c>
      <c r="BA154" s="676">
        <v>456</v>
      </c>
      <c r="BB154" s="676"/>
      <c r="BC154" s="676">
        <v>1552471</v>
      </c>
      <c r="BD154" s="676"/>
      <c r="BE154" s="676">
        <v>0</v>
      </c>
      <c r="BF154" s="676">
        <v>14451000</v>
      </c>
      <c r="BG154" s="676">
        <v>2134010000</v>
      </c>
      <c r="BH154" s="676">
        <v>1332501000</v>
      </c>
      <c r="BI154" s="676">
        <v>15792</v>
      </c>
      <c r="BJ154" s="676"/>
      <c r="BK154" s="676">
        <v>139322</v>
      </c>
      <c r="BL154" s="676"/>
      <c r="BM154" s="676"/>
      <c r="BN154" s="676">
        <v>891722</v>
      </c>
      <c r="BO154" s="676"/>
      <c r="BP154" s="676"/>
      <c r="BQ154" s="676"/>
      <c r="BR154" s="676">
        <v>4499</v>
      </c>
      <c r="BS154" s="676"/>
      <c r="BT154" s="676">
        <v>20906</v>
      </c>
      <c r="BU154" s="676">
        <v>39767202</v>
      </c>
      <c r="BV154" s="676"/>
      <c r="BW154" s="676">
        <v>10237953</v>
      </c>
      <c r="BX154" s="676">
        <v>159622</v>
      </c>
      <c r="BY154" s="676">
        <v>1220513</v>
      </c>
      <c r="BZ154" s="676"/>
      <c r="CA154" s="676">
        <v>4906202.13</v>
      </c>
      <c r="CB154" s="676">
        <v>1108679.95</v>
      </c>
      <c r="CC154" s="676"/>
      <c r="CD154" s="676"/>
      <c r="CE154" s="676"/>
      <c r="CF154" s="676"/>
      <c r="CG154" s="676"/>
    </row>
    <row r="155" spans="1:85" x14ac:dyDescent="0.25">
      <c r="A155" s="320" t="s">
        <v>1225</v>
      </c>
      <c r="B155" s="320" t="s">
        <v>1226</v>
      </c>
      <c r="C155" s="320"/>
      <c r="D155" s="320" t="s">
        <v>1227</v>
      </c>
      <c r="E155" s="320">
        <v>2015</v>
      </c>
      <c r="F155" s="404"/>
      <c r="G155" s="676"/>
      <c r="H155" s="676"/>
      <c r="I155" s="676"/>
      <c r="J155" s="676"/>
      <c r="K155" s="676"/>
      <c r="L155" s="676">
        <v>968265</v>
      </c>
      <c r="M155" s="676"/>
      <c r="N155" s="676"/>
      <c r="O155" s="676"/>
      <c r="P155" s="676"/>
      <c r="Q155" s="676"/>
      <c r="R155" s="676">
        <v>196243</v>
      </c>
      <c r="S155" s="676"/>
      <c r="T155" s="676"/>
      <c r="U155" s="676"/>
      <c r="V155" s="676"/>
      <c r="W155" s="676"/>
      <c r="X155" s="676">
        <v>0</v>
      </c>
      <c r="Y155" s="676">
        <v>347622370</v>
      </c>
      <c r="Z155" s="676">
        <v>37154</v>
      </c>
      <c r="AA155" s="676">
        <v>5390525</v>
      </c>
      <c r="AB155" s="676">
        <v>203768317</v>
      </c>
      <c r="AC155" s="676">
        <v>176.38</v>
      </c>
      <c r="AD155" s="676">
        <v>290384</v>
      </c>
      <c r="AE155" s="676">
        <v>3120</v>
      </c>
      <c r="AF155" s="676"/>
      <c r="AG155" s="676"/>
      <c r="AH155" s="676"/>
      <c r="AI155" s="676"/>
      <c r="AJ155" s="676"/>
      <c r="AK155" s="676">
        <v>11865</v>
      </c>
      <c r="AL155" s="676"/>
      <c r="AM155" s="676">
        <v>22489581</v>
      </c>
      <c r="AN155" s="676"/>
      <c r="AO155" s="676"/>
      <c r="AP155" s="676"/>
      <c r="AQ155" s="676">
        <v>0</v>
      </c>
      <c r="AR155" s="676"/>
      <c r="AS155" s="676"/>
      <c r="AT155" s="676">
        <v>0</v>
      </c>
      <c r="AU155" s="676">
        <v>48499</v>
      </c>
      <c r="AV155" s="676"/>
      <c r="AW155" s="676">
        <v>503556</v>
      </c>
      <c r="AX155" s="676"/>
      <c r="AY155" s="676"/>
      <c r="AZ155" s="676">
        <v>0</v>
      </c>
      <c r="BA155" s="676"/>
      <c r="BB155" s="676"/>
      <c r="BC155" s="676"/>
      <c r="BD155" s="676"/>
      <c r="BE155" s="676">
        <v>0</v>
      </c>
      <c r="BF155" s="676"/>
      <c r="BG155" s="676"/>
      <c r="BH155" s="676"/>
      <c r="BI155" s="676">
        <v>55824188</v>
      </c>
      <c r="BJ155" s="676">
        <v>40452091</v>
      </c>
      <c r="BK155" s="676"/>
      <c r="BL155" s="676"/>
      <c r="BM155" s="676"/>
      <c r="BN155" s="676">
        <v>0</v>
      </c>
      <c r="BO155" s="676"/>
      <c r="BP155" s="676"/>
      <c r="BQ155" s="676"/>
      <c r="BR155" s="676"/>
      <c r="BS155" s="676"/>
      <c r="BT155" s="676"/>
      <c r="BU155" s="676"/>
      <c r="BV155" s="676"/>
      <c r="BW155" s="676">
        <v>68487003</v>
      </c>
      <c r="BX155" s="676">
        <v>14870048</v>
      </c>
      <c r="BY155" s="676"/>
      <c r="BZ155" s="676"/>
      <c r="CA155" s="676"/>
      <c r="CB155" s="676">
        <v>0</v>
      </c>
      <c r="CC155" s="676"/>
      <c r="CD155" s="676"/>
      <c r="CE155" s="676"/>
      <c r="CF155" s="676"/>
      <c r="CG155" s="676"/>
    </row>
    <row r="156" spans="1:85" x14ac:dyDescent="0.25">
      <c r="A156" s="320" t="s">
        <v>1228</v>
      </c>
      <c r="B156" s="320" t="s">
        <v>1229</v>
      </c>
      <c r="C156" s="320"/>
      <c r="D156" s="320" t="s">
        <v>709</v>
      </c>
      <c r="E156" s="320">
        <v>2015</v>
      </c>
      <c r="F156" s="404">
        <v>1166299</v>
      </c>
      <c r="G156" s="676">
        <v>5983439</v>
      </c>
      <c r="H156" s="676">
        <v>10108983</v>
      </c>
      <c r="I156" s="676">
        <v>8111075</v>
      </c>
      <c r="J156" s="676">
        <v>5364445</v>
      </c>
      <c r="K156" s="676">
        <v>9492187</v>
      </c>
      <c r="L156" s="676">
        <v>4317701</v>
      </c>
      <c r="M156" s="676">
        <v>152086220</v>
      </c>
      <c r="N156" s="676">
        <v>126564441</v>
      </c>
      <c r="O156" s="676">
        <v>90183357</v>
      </c>
      <c r="P156" s="676">
        <v>20546350</v>
      </c>
      <c r="Q156" s="676">
        <v>518385</v>
      </c>
      <c r="R156" s="676">
        <v>39025972</v>
      </c>
      <c r="S156" s="676">
        <v>206533079</v>
      </c>
      <c r="T156" s="676">
        <v>13528732</v>
      </c>
      <c r="U156" s="676">
        <v>776369000</v>
      </c>
      <c r="V156" s="676">
        <v>18240820</v>
      </c>
      <c r="W156" s="676">
        <v>6119169</v>
      </c>
      <c r="X156" s="676">
        <v>442130.91</v>
      </c>
      <c r="Y156" s="676">
        <v>466972</v>
      </c>
      <c r="Z156" s="676">
        <v>43632191</v>
      </c>
      <c r="AA156" s="676">
        <v>132674</v>
      </c>
      <c r="AB156" s="676">
        <v>11182130</v>
      </c>
      <c r="AC156" s="676">
        <v>4622151.43</v>
      </c>
      <c r="AD156" s="676">
        <v>9636728</v>
      </c>
      <c r="AE156" s="676">
        <v>6324060</v>
      </c>
      <c r="AF156" s="676">
        <v>20334551</v>
      </c>
      <c r="AG156" s="676">
        <v>269129</v>
      </c>
      <c r="AH156" s="676">
        <v>824992</v>
      </c>
      <c r="AI156" s="676">
        <v>815903</v>
      </c>
      <c r="AJ156" s="676">
        <v>177358</v>
      </c>
      <c r="AK156" s="676">
        <v>64984334</v>
      </c>
      <c r="AL156" s="676">
        <v>36069798</v>
      </c>
      <c r="AM156" s="676">
        <v>211169</v>
      </c>
      <c r="AN156" s="676">
        <v>244159000</v>
      </c>
      <c r="AO156" s="676">
        <v>77631739</v>
      </c>
      <c r="AP156" s="676">
        <v>29171632</v>
      </c>
      <c r="AQ156" s="676">
        <v>35134182</v>
      </c>
      <c r="AR156" s="676">
        <v>14282307</v>
      </c>
      <c r="AS156" s="676">
        <v>19441789</v>
      </c>
      <c r="AT156" s="676">
        <v>12404845.779999999</v>
      </c>
      <c r="AU156" s="676">
        <v>15477801</v>
      </c>
      <c r="AV156" s="676">
        <v>16136581</v>
      </c>
      <c r="AW156" s="676">
        <v>650711</v>
      </c>
      <c r="AX156" s="676">
        <v>38752276</v>
      </c>
      <c r="AY156" s="676">
        <v>45100866</v>
      </c>
      <c r="AZ156" s="676">
        <v>32061</v>
      </c>
      <c r="BA156" s="676">
        <v>8687082</v>
      </c>
      <c r="BB156" s="676">
        <v>34795027</v>
      </c>
      <c r="BC156" s="676">
        <v>11623056</v>
      </c>
      <c r="BD156" s="676">
        <v>393328322</v>
      </c>
      <c r="BE156" s="676">
        <v>44843.95</v>
      </c>
      <c r="BF156" s="676">
        <v>277679000</v>
      </c>
      <c r="BG156" s="676">
        <v>3634000</v>
      </c>
      <c r="BH156" s="676"/>
      <c r="BI156" s="676">
        <v>15352422</v>
      </c>
      <c r="BJ156" s="676">
        <v>493937</v>
      </c>
      <c r="BK156" s="676">
        <v>2756726</v>
      </c>
      <c r="BL156" s="676">
        <v>4105752</v>
      </c>
      <c r="BM156" s="676">
        <v>682282000</v>
      </c>
      <c r="BN156" s="676">
        <v>42903819</v>
      </c>
      <c r="BO156" s="676">
        <v>3653916</v>
      </c>
      <c r="BP156" s="676">
        <v>5257985</v>
      </c>
      <c r="BQ156" s="676">
        <v>1621692</v>
      </c>
      <c r="BR156" s="676">
        <v>2776856</v>
      </c>
      <c r="BS156" s="676">
        <v>423687349</v>
      </c>
      <c r="BT156" s="676">
        <v>53663260</v>
      </c>
      <c r="BU156" s="676">
        <v>6781111</v>
      </c>
      <c r="BV156" s="676">
        <v>2627406</v>
      </c>
      <c r="BW156" s="676">
        <v>6132391</v>
      </c>
      <c r="BX156" s="676">
        <v>814783</v>
      </c>
      <c r="BY156" s="676">
        <v>11791373</v>
      </c>
      <c r="BZ156" s="676">
        <v>25033000</v>
      </c>
      <c r="CA156" s="676">
        <v>14263224.73</v>
      </c>
      <c r="CB156" s="676">
        <v>55686322.969999999</v>
      </c>
      <c r="CC156" s="676">
        <v>42822000</v>
      </c>
      <c r="CD156" s="676">
        <v>791682</v>
      </c>
      <c r="CE156" s="676">
        <v>165245000</v>
      </c>
      <c r="CF156" s="676">
        <v>268810000</v>
      </c>
      <c r="CG156" s="676">
        <v>316109000</v>
      </c>
    </row>
    <row r="157" spans="1:85" x14ac:dyDescent="0.25">
      <c r="A157" s="320" t="s">
        <v>1230</v>
      </c>
      <c r="B157" s="320" t="s">
        <v>1231</v>
      </c>
      <c r="C157" s="320"/>
      <c r="D157" s="320" t="s">
        <v>712</v>
      </c>
      <c r="E157" s="320">
        <v>2015</v>
      </c>
      <c r="F157" s="404">
        <v>0</v>
      </c>
      <c r="G157" s="676">
        <v>9010</v>
      </c>
      <c r="H157" s="676"/>
      <c r="I157" s="676"/>
      <c r="J157" s="676"/>
      <c r="K157" s="676">
        <v>6209</v>
      </c>
      <c r="L157" s="676"/>
      <c r="M157" s="676">
        <v>1290304</v>
      </c>
      <c r="N157" s="676"/>
      <c r="O157" s="676"/>
      <c r="P157" s="676"/>
      <c r="Q157" s="676"/>
      <c r="R157" s="676">
        <v>-8292</v>
      </c>
      <c r="S157" s="676"/>
      <c r="T157" s="676"/>
      <c r="U157" s="676"/>
      <c r="V157" s="676"/>
      <c r="W157" s="676"/>
      <c r="X157" s="676">
        <v>0</v>
      </c>
      <c r="Y157" s="676"/>
      <c r="Z157" s="676">
        <v>0</v>
      </c>
      <c r="AA157" s="676">
        <v>-59305</v>
      </c>
      <c r="AB157" s="676">
        <v>-3422965</v>
      </c>
      <c r="AC157" s="676">
        <v>82.21</v>
      </c>
      <c r="AD157" s="676">
        <v>973064</v>
      </c>
      <c r="AE157" s="676"/>
      <c r="AF157" s="676"/>
      <c r="AG157" s="676"/>
      <c r="AH157" s="676"/>
      <c r="AI157" s="676"/>
      <c r="AJ157" s="676"/>
      <c r="AK157" s="676">
        <v>414</v>
      </c>
      <c r="AL157" s="676"/>
      <c r="AM157" s="676">
        <v>-363476</v>
      </c>
      <c r="AN157" s="676"/>
      <c r="AO157" s="676"/>
      <c r="AP157" s="676"/>
      <c r="AQ157" s="676">
        <v>0</v>
      </c>
      <c r="AR157" s="676"/>
      <c r="AS157" s="676"/>
      <c r="AT157" s="676">
        <v>0</v>
      </c>
      <c r="AU157" s="676"/>
      <c r="AV157" s="676"/>
      <c r="AW157" s="676">
        <v>223</v>
      </c>
      <c r="AX157" s="676"/>
      <c r="AY157" s="676"/>
      <c r="AZ157" s="676">
        <v>0</v>
      </c>
      <c r="BA157" s="676"/>
      <c r="BB157" s="676"/>
      <c r="BC157" s="676"/>
      <c r="BD157" s="676"/>
      <c r="BE157" s="676">
        <v>0</v>
      </c>
      <c r="BF157" s="676"/>
      <c r="BG157" s="676"/>
      <c r="BH157" s="676"/>
      <c r="BI157" s="676">
        <v>-143142</v>
      </c>
      <c r="BJ157" s="676"/>
      <c r="BK157" s="676"/>
      <c r="BL157" s="676"/>
      <c r="BM157" s="676"/>
      <c r="BN157" s="676">
        <v>0</v>
      </c>
      <c r="BO157" s="676"/>
      <c r="BP157" s="676"/>
      <c r="BQ157" s="676"/>
      <c r="BR157" s="676">
        <v>-20348</v>
      </c>
      <c r="BS157" s="676"/>
      <c r="BT157" s="676"/>
      <c r="BU157" s="676"/>
      <c r="BV157" s="676"/>
      <c r="BW157" s="676"/>
      <c r="BX157" s="676">
        <v>173560</v>
      </c>
      <c r="BY157" s="676"/>
      <c r="BZ157" s="676"/>
      <c r="CA157" s="676"/>
      <c r="CB157" s="676">
        <v>-5394.64</v>
      </c>
      <c r="CC157" s="676"/>
      <c r="CD157" s="676"/>
      <c r="CE157" s="676"/>
      <c r="CF157" s="676"/>
      <c r="CG157" s="676"/>
    </row>
    <row r="158" spans="1:85" x14ac:dyDescent="0.25">
      <c r="A158" s="320" t="s">
        <v>1232</v>
      </c>
      <c r="B158" s="320" t="s">
        <v>1233</v>
      </c>
      <c r="C158" s="320"/>
      <c r="D158" s="320" t="s">
        <v>714</v>
      </c>
      <c r="E158" s="320">
        <v>2015</v>
      </c>
      <c r="F158" s="404"/>
      <c r="G158" s="676"/>
      <c r="H158" s="676"/>
      <c r="I158" s="676">
        <v>8412</v>
      </c>
      <c r="J158" s="676"/>
      <c r="K158" s="676">
        <v>1113</v>
      </c>
      <c r="L158" s="676"/>
      <c r="M158" s="676"/>
      <c r="N158" s="676"/>
      <c r="O158" s="676">
        <v>13013295</v>
      </c>
      <c r="P158" s="676"/>
      <c r="Q158" s="676"/>
      <c r="R158" s="676">
        <v>13939</v>
      </c>
      <c r="S158" s="676"/>
      <c r="T158" s="676">
        <v>700</v>
      </c>
      <c r="U158" s="676">
        <v>2332000</v>
      </c>
      <c r="V158" s="676"/>
      <c r="W158" s="676">
        <v>58217</v>
      </c>
      <c r="X158" s="676">
        <v>0</v>
      </c>
      <c r="Y158" s="676"/>
      <c r="Z158" s="676">
        <v>2282827</v>
      </c>
      <c r="AA158" s="676">
        <v>569359</v>
      </c>
      <c r="AB158" s="676">
        <v>5794068</v>
      </c>
      <c r="AC158" s="676">
        <v>33325.199999999997</v>
      </c>
      <c r="AD158" s="676">
        <v>547884</v>
      </c>
      <c r="AE158" s="676"/>
      <c r="AF158" s="676">
        <v>5264</v>
      </c>
      <c r="AG158" s="676"/>
      <c r="AH158" s="676"/>
      <c r="AI158" s="676"/>
      <c r="AJ158" s="676"/>
      <c r="AK158" s="676">
        <v>2307</v>
      </c>
      <c r="AL158" s="676"/>
      <c r="AM158" s="676">
        <v>1695388</v>
      </c>
      <c r="AN158" s="676"/>
      <c r="AO158" s="676"/>
      <c r="AP158" s="676">
        <v>489223</v>
      </c>
      <c r="AQ158" s="676">
        <v>15076</v>
      </c>
      <c r="AR158" s="676">
        <v>339743</v>
      </c>
      <c r="AS158" s="676">
        <v>388606</v>
      </c>
      <c r="AT158" s="676">
        <v>192213.67</v>
      </c>
      <c r="AU158" s="676">
        <v>12170</v>
      </c>
      <c r="AV158" s="676"/>
      <c r="AW158" s="676">
        <v>99391</v>
      </c>
      <c r="AX158" s="676"/>
      <c r="AY158" s="676"/>
      <c r="AZ158" s="676">
        <v>7801</v>
      </c>
      <c r="BA158" s="676"/>
      <c r="BB158" s="676"/>
      <c r="BC158" s="676">
        <v>84</v>
      </c>
      <c r="BD158" s="676">
        <v>794027</v>
      </c>
      <c r="BE158" s="676">
        <v>0</v>
      </c>
      <c r="BF158" s="676">
        <v>1447000</v>
      </c>
      <c r="BG158" s="676"/>
      <c r="BH158" s="676">
        <v>126000</v>
      </c>
      <c r="BI158" s="676">
        <v>7174158</v>
      </c>
      <c r="BJ158" s="676"/>
      <c r="BK158" s="676"/>
      <c r="BL158" s="676"/>
      <c r="BM158" s="676"/>
      <c r="BN158" s="676">
        <v>214</v>
      </c>
      <c r="BO158" s="676">
        <v>191</v>
      </c>
      <c r="BP158" s="676"/>
      <c r="BQ158" s="676"/>
      <c r="BR158" s="676"/>
      <c r="BS158" s="676"/>
      <c r="BT158" s="676">
        <v>31586</v>
      </c>
      <c r="BU158" s="676"/>
      <c r="BV158" s="676"/>
      <c r="BW158" s="676">
        <v>1256951</v>
      </c>
      <c r="BX158" s="676">
        <v>925039</v>
      </c>
      <c r="BY158" s="676">
        <v>286124</v>
      </c>
      <c r="BZ158" s="676">
        <v>218000</v>
      </c>
      <c r="CA158" s="676"/>
      <c r="CB158" s="676">
        <v>5439.44</v>
      </c>
      <c r="CC158" s="676"/>
      <c r="CD158" s="676"/>
      <c r="CE158" s="676"/>
      <c r="CF158" s="676"/>
      <c r="CG158" s="676"/>
    </row>
    <row r="159" spans="1:85" x14ac:dyDescent="0.25">
      <c r="A159" s="320" t="s">
        <v>1234</v>
      </c>
      <c r="B159" s="320" t="s">
        <v>1235</v>
      </c>
      <c r="C159" s="320"/>
      <c r="D159" s="320" t="s">
        <v>716</v>
      </c>
      <c r="E159" s="320">
        <v>2015</v>
      </c>
      <c r="F159" s="404">
        <v>0</v>
      </c>
      <c r="G159" s="676">
        <v>2148</v>
      </c>
      <c r="H159" s="676">
        <v>26709</v>
      </c>
      <c r="I159" s="676">
        <v>664757</v>
      </c>
      <c r="J159" s="676">
        <v>340984</v>
      </c>
      <c r="K159" s="676">
        <v>6021</v>
      </c>
      <c r="L159" s="676"/>
      <c r="M159" s="676">
        <v>4880</v>
      </c>
      <c r="N159" s="676">
        <v>568</v>
      </c>
      <c r="O159" s="676">
        <v>15496</v>
      </c>
      <c r="P159" s="676">
        <v>75673</v>
      </c>
      <c r="Q159" s="676">
        <v>203</v>
      </c>
      <c r="R159" s="676">
        <v>21677</v>
      </c>
      <c r="S159" s="676">
        <v>588670</v>
      </c>
      <c r="T159" s="676">
        <v>107521</v>
      </c>
      <c r="U159" s="676"/>
      <c r="V159" s="676">
        <v>20958</v>
      </c>
      <c r="W159" s="676">
        <v>2134632</v>
      </c>
      <c r="X159" s="676">
        <v>506032.33</v>
      </c>
      <c r="Y159" s="676"/>
      <c r="Z159" s="676">
        <v>1046252</v>
      </c>
      <c r="AA159" s="676">
        <v>83243</v>
      </c>
      <c r="AB159" s="676">
        <v>3029784</v>
      </c>
      <c r="AC159" s="676">
        <v>254.87</v>
      </c>
      <c r="AD159" s="676">
        <v>520333</v>
      </c>
      <c r="AE159" s="676">
        <v>3322</v>
      </c>
      <c r="AF159" s="676">
        <v>53495</v>
      </c>
      <c r="AG159" s="676">
        <v>451</v>
      </c>
      <c r="AH159" s="676">
        <v>8</v>
      </c>
      <c r="AI159" s="676">
        <v>900</v>
      </c>
      <c r="AJ159" s="676"/>
      <c r="AK159" s="676">
        <v>19860</v>
      </c>
      <c r="AL159" s="676">
        <v>7833</v>
      </c>
      <c r="AM159" s="676">
        <v>129991</v>
      </c>
      <c r="AN159" s="676"/>
      <c r="AO159" s="676"/>
      <c r="AP159" s="676">
        <v>238248</v>
      </c>
      <c r="AQ159" s="676">
        <v>34542</v>
      </c>
      <c r="AR159" s="676">
        <v>7643</v>
      </c>
      <c r="AS159" s="676">
        <v>60549</v>
      </c>
      <c r="AT159" s="676">
        <v>3603555.2</v>
      </c>
      <c r="AU159" s="676">
        <v>26782</v>
      </c>
      <c r="AV159" s="676">
        <v>605734</v>
      </c>
      <c r="AW159" s="676"/>
      <c r="AX159" s="676"/>
      <c r="AY159" s="676">
        <v>8</v>
      </c>
      <c r="AZ159" s="676">
        <v>98084</v>
      </c>
      <c r="BA159" s="676">
        <v>283221</v>
      </c>
      <c r="BB159" s="676">
        <v>30543</v>
      </c>
      <c r="BC159" s="676">
        <v>3090</v>
      </c>
      <c r="BD159" s="676"/>
      <c r="BE159" s="676">
        <v>277.45</v>
      </c>
      <c r="BF159" s="676"/>
      <c r="BG159" s="676"/>
      <c r="BH159" s="676"/>
      <c r="BI159" s="676">
        <v>1004718</v>
      </c>
      <c r="BJ159" s="676">
        <v>1317</v>
      </c>
      <c r="BK159" s="676"/>
      <c r="BL159" s="676">
        <v>401</v>
      </c>
      <c r="BM159" s="676"/>
      <c r="BN159" s="676">
        <v>65</v>
      </c>
      <c r="BO159" s="676">
        <v>1710</v>
      </c>
      <c r="BP159" s="676">
        <v>87</v>
      </c>
      <c r="BQ159" s="676">
        <v>367188</v>
      </c>
      <c r="BR159" s="676"/>
      <c r="BS159" s="676">
        <v>2217</v>
      </c>
      <c r="BT159" s="676">
        <v>872503</v>
      </c>
      <c r="BU159" s="676">
        <v>13333</v>
      </c>
      <c r="BV159" s="676"/>
      <c r="BW159" s="676">
        <v>326434</v>
      </c>
      <c r="BX159" s="676">
        <v>524208</v>
      </c>
      <c r="BY159" s="676">
        <v>223140</v>
      </c>
      <c r="BZ159" s="676"/>
      <c r="CA159" s="676"/>
      <c r="CB159" s="676">
        <v>0</v>
      </c>
      <c r="CC159" s="676">
        <v>374000</v>
      </c>
      <c r="CD159" s="676">
        <v>20135</v>
      </c>
      <c r="CE159" s="676">
        <v>11279000</v>
      </c>
      <c r="CF159" s="676"/>
      <c r="CG159" s="676">
        <v>382000</v>
      </c>
    </row>
    <row r="160" spans="1:85" x14ac:dyDescent="0.25">
      <c r="A160" s="320" t="s">
        <v>1236</v>
      </c>
      <c r="B160" s="320" t="s">
        <v>1237</v>
      </c>
      <c r="C160" s="320"/>
      <c r="D160" s="320" t="s">
        <v>718</v>
      </c>
      <c r="E160" s="320">
        <v>2015</v>
      </c>
      <c r="F160" s="404">
        <v>97582</v>
      </c>
      <c r="G160" s="676">
        <v>28445</v>
      </c>
      <c r="H160" s="676">
        <v>11760303</v>
      </c>
      <c r="I160" s="676">
        <v>10845324</v>
      </c>
      <c r="J160" s="676">
        <v>257345</v>
      </c>
      <c r="K160" s="676">
        <v>10040</v>
      </c>
      <c r="L160" s="676">
        <v>43812</v>
      </c>
      <c r="M160" s="676">
        <v>12876</v>
      </c>
      <c r="N160" s="676">
        <v>317917</v>
      </c>
      <c r="O160" s="676">
        <v>626605</v>
      </c>
      <c r="P160" s="676">
        <v>566066</v>
      </c>
      <c r="Q160" s="676">
        <v>361999</v>
      </c>
      <c r="R160" s="676">
        <v>26770</v>
      </c>
      <c r="S160" s="676">
        <v>15673938</v>
      </c>
      <c r="T160" s="676">
        <v>10595301</v>
      </c>
      <c r="U160" s="676">
        <v>4016000</v>
      </c>
      <c r="V160" s="676">
        <v>71780</v>
      </c>
      <c r="W160" s="676">
        <v>97611</v>
      </c>
      <c r="X160" s="676">
        <v>2113222.9900000002</v>
      </c>
      <c r="Y160" s="676">
        <v>421247</v>
      </c>
      <c r="Z160" s="676">
        <v>151380437</v>
      </c>
      <c r="AA160" s="676">
        <v>969731</v>
      </c>
      <c r="AB160" s="676">
        <v>3368405</v>
      </c>
      <c r="AC160" s="676">
        <v>1654.38</v>
      </c>
      <c r="AD160" s="676">
        <v>567895</v>
      </c>
      <c r="AE160" s="676">
        <v>1429418</v>
      </c>
      <c r="AF160" s="676">
        <v>4306452</v>
      </c>
      <c r="AG160" s="676">
        <v>278776</v>
      </c>
      <c r="AH160" s="676">
        <v>1036839</v>
      </c>
      <c r="AI160" s="676">
        <v>538804</v>
      </c>
      <c r="AJ160" s="676">
        <v>689980</v>
      </c>
      <c r="AK160" s="676">
        <v>631013</v>
      </c>
      <c r="AL160" s="676">
        <v>207865</v>
      </c>
      <c r="AM160" s="676">
        <v>2263658</v>
      </c>
      <c r="AN160" s="676">
        <v>72271000</v>
      </c>
      <c r="AO160" s="676">
        <v>928738</v>
      </c>
      <c r="AP160" s="676">
        <v>1442334</v>
      </c>
      <c r="AQ160" s="676">
        <v>1117643</v>
      </c>
      <c r="AR160" s="676">
        <v>751736</v>
      </c>
      <c r="AS160" s="676">
        <v>114484</v>
      </c>
      <c r="AT160" s="676">
        <v>23289.77</v>
      </c>
      <c r="AU160" s="676">
        <v>269340</v>
      </c>
      <c r="AV160" s="676">
        <v>450000</v>
      </c>
      <c r="AW160" s="676">
        <v>1436</v>
      </c>
      <c r="AX160" s="676">
        <v>29992</v>
      </c>
      <c r="AY160" s="676">
        <v>20966</v>
      </c>
      <c r="AZ160" s="676">
        <v>1665782</v>
      </c>
      <c r="BA160" s="676">
        <v>8598864</v>
      </c>
      <c r="BB160" s="676">
        <v>701888</v>
      </c>
      <c r="BC160" s="676">
        <v>14539969</v>
      </c>
      <c r="BD160" s="676">
        <v>6656687</v>
      </c>
      <c r="BE160" s="676">
        <v>10963141.359999999</v>
      </c>
      <c r="BF160" s="676">
        <v>12778000</v>
      </c>
      <c r="BG160" s="676">
        <v>542834000</v>
      </c>
      <c r="BH160" s="676">
        <v>27187000</v>
      </c>
      <c r="BI160" s="676">
        <v>31923291</v>
      </c>
      <c r="BJ160" s="676">
        <v>1676169</v>
      </c>
      <c r="BK160" s="676">
        <v>3906</v>
      </c>
      <c r="BL160" s="676">
        <v>6536</v>
      </c>
      <c r="BM160" s="676">
        <v>7383000</v>
      </c>
      <c r="BN160" s="676">
        <v>575676</v>
      </c>
      <c r="BO160" s="676">
        <v>5392</v>
      </c>
      <c r="BP160" s="676">
        <v>42735</v>
      </c>
      <c r="BQ160" s="676">
        <v>207692</v>
      </c>
      <c r="BR160" s="676">
        <v>2547</v>
      </c>
      <c r="BS160" s="676">
        <v>184305</v>
      </c>
      <c r="BT160" s="676">
        <v>1154053</v>
      </c>
      <c r="BU160" s="676">
        <v>34978</v>
      </c>
      <c r="BV160" s="676">
        <v>48331</v>
      </c>
      <c r="BW160" s="676">
        <v>5498749</v>
      </c>
      <c r="BX160" s="676">
        <v>2035445</v>
      </c>
      <c r="BY160" s="676">
        <v>96085</v>
      </c>
      <c r="BZ160" s="676">
        <v>371000</v>
      </c>
      <c r="CA160" s="676">
        <v>440982.01</v>
      </c>
      <c r="CB160" s="676">
        <v>730442.81</v>
      </c>
      <c r="CC160" s="676">
        <v>5282000</v>
      </c>
      <c r="CD160" s="676">
        <v>1092211</v>
      </c>
      <c r="CE160" s="676">
        <v>294937000</v>
      </c>
      <c r="CF160" s="676">
        <v>15471000</v>
      </c>
      <c r="CG160" s="676">
        <v>41619000</v>
      </c>
    </row>
    <row r="161" spans="1:85" x14ac:dyDescent="0.25">
      <c r="A161" s="320" t="s">
        <v>1222</v>
      </c>
      <c r="B161" s="320" t="s">
        <v>1420</v>
      </c>
      <c r="C161" s="320" t="s">
        <v>1421</v>
      </c>
      <c r="D161" s="320" t="s">
        <v>720</v>
      </c>
      <c r="E161" s="320">
        <v>2015</v>
      </c>
      <c r="F161" s="404">
        <v>1262168</v>
      </c>
      <c r="G161" s="676">
        <v>5976326</v>
      </c>
      <c r="H161" s="676">
        <v>21617535</v>
      </c>
      <c r="I161" s="676">
        <v>18858372</v>
      </c>
      <c r="J161" s="676">
        <v>7642363</v>
      </c>
      <c r="K161" s="676">
        <v>11207125</v>
      </c>
      <c r="L161" s="676">
        <v>5281238</v>
      </c>
      <c r="M161" s="676">
        <v>142132866</v>
      </c>
      <c r="N161" s="676">
        <v>249691330</v>
      </c>
      <c r="O161" s="676">
        <v>103123962</v>
      </c>
      <c r="P161" s="676">
        <v>18966594</v>
      </c>
      <c r="Q161" s="676">
        <v>2388605</v>
      </c>
      <c r="R161" s="676">
        <v>37608855</v>
      </c>
      <c r="S161" s="676">
        <v>220576670</v>
      </c>
      <c r="T161" s="676">
        <v>22914804</v>
      </c>
      <c r="U161" s="676">
        <v>193048000</v>
      </c>
      <c r="V161" s="676">
        <v>15453097</v>
      </c>
      <c r="W161" s="676">
        <v>8386315</v>
      </c>
      <c r="X161" s="676">
        <v>9076794.9800000004</v>
      </c>
      <c r="Y161" s="676">
        <v>341498104</v>
      </c>
      <c r="Z161" s="676">
        <v>175947254</v>
      </c>
      <c r="AA161" s="676">
        <v>6969822</v>
      </c>
      <c r="AB161" s="676">
        <v>213430283</v>
      </c>
      <c r="AC161" s="676">
        <v>5164009.8</v>
      </c>
      <c r="AD161" s="676">
        <v>13714026</v>
      </c>
      <c r="AE161" s="676">
        <v>7081841</v>
      </c>
      <c r="AF161" s="676">
        <v>29393096</v>
      </c>
      <c r="AG161" s="676">
        <v>1172618</v>
      </c>
      <c r="AH161" s="676">
        <v>2723514</v>
      </c>
      <c r="AI161" s="676">
        <v>2017821</v>
      </c>
      <c r="AJ161" s="676">
        <v>1046291</v>
      </c>
      <c r="AK161" s="676">
        <v>62701979</v>
      </c>
      <c r="AL161" s="676">
        <v>109290982</v>
      </c>
      <c r="AM161" s="676">
        <v>27968415</v>
      </c>
      <c r="AN161" s="676">
        <v>282270000</v>
      </c>
      <c r="AO161" s="676">
        <v>78559980</v>
      </c>
      <c r="AP161" s="676">
        <v>28608042</v>
      </c>
      <c r="AQ161" s="676">
        <v>37823244</v>
      </c>
      <c r="AR161" s="676">
        <v>15420857</v>
      </c>
      <c r="AS161" s="676">
        <v>19613165</v>
      </c>
      <c r="AT161" s="676">
        <v>22911366.850000001</v>
      </c>
      <c r="AU161" s="676">
        <v>15740143</v>
      </c>
      <c r="AV161" s="676">
        <v>16939231</v>
      </c>
      <c r="AW161" s="676">
        <v>7509611</v>
      </c>
      <c r="AX161" s="676">
        <v>96465363</v>
      </c>
      <c r="AY161" s="676">
        <v>42270787</v>
      </c>
      <c r="AZ161" s="676">
        <v>1777882</v>
      </c>
      <c r="BA161" s="676">
        <v>16409909</v>
      </c>
      <c r="BB161" s="676">
        <v>33115142</v>
      </c>
      <c r="BC161" s="676">
        <v>26834493</v>
      </c>
      <c r="BD161" s="676">
        <v>300875978</v>
      </c>
      <c r="BE161" s="676">
        <v>8552485.1600000001</v>
      </c>
      <c r="BF161" s="676">
        <v>299367000</v>
      </c>
      <c r="BG161" s="676">
        <v>2480370000</v>
      </c>
      <c r="BH161" s="676">
        <v>1444363000</v>
      </c>
      <c r="BI161" s="676">
        <v>115477900</v>
      </c>
      <c r="BJ161" s="676">
        <v>38748811</v>
      </c>
      <c r="BK161" s="676">
        <v>2893270</v>
      </c>
      <c r="BL161" s="676">
        <v>3829639</v>
      </c>
      <c r="BM161" s="676">
        <v>662716000</v>
      </c>
      <c r="BN161" s="676">
        <v>43271103</v>
      </c>
      <c r="BO161" s="676">
        <v>3353443</v>
      </c>
      <c r="BP161" s="676">
        <v>5151673</v>
      </c>
      <c r="BQ161" s="676">
        <v>1982798</v>
      </c>
      <c r="BR161" s="676">
        <v>2606353</v>
      </c>
      <c r="BS161" s="676">
        <v>413926366</v>
      </c>
      <c r="BT161" s="676">
        <v>45863684</v>
      </c>
      <c r="BU161" s="676">
        <v>45780422</v>
      </c>
      <c r="BV161" s="676">
        <v>1634507</v>
      </c>
      <c r="BW161" s="676">
        <v>85966478</v>
      </c>
      <c r="BX161" s="676">
        <v>18845583</v>
      </c>
      <c r="BY161" s="676">
        <v>13251148</v>
      </c>
      <c r="BZ161" s="676">
        <v>23320000</v>
      </c>
      <c r="CA161" s="676">
        <v>18306846.300000001</v>
      </c>
      <c r="CB161" s="676">
        <v>56106180.880000003</v>
      </c>
      <c r="CC161" s="676">
        <v>40696000</v>
      </c>
      <c r="CD161" s="676">
        <v>1886692</v>
      </c>
      <c r="CE161" s="676">
        <v>442653000</v>
      </c>
      <c r="CF161" s="676">
        <v>277929000</v>
      </c>
      <c r="CG161" s="676">
        <v>362009000</v>
      </c>
    </row>
    <row r="162" spans="1:85" x14ac:dyDescent="0.25">
      <c r="A162" s="320" t="s">
        <v>1238</v>
      </c>
      <c r="B162" s="320" t="s">
        <v>1239</v>
      </c>
      <c r="C162" s="320"/>
      <c r="D162" s="320" t="s">
        <v>435</v>
      </c>
      <c r="E162" s="320">
        <v>2015</v>
      </c>
      <c r="F162" s="404">
        <v>0</v>
      </c>
      <c r="G162" s="676"/>
      <c r="H162" s="676"/>
      <c r="I162" s="676">
        <v>139383</v>
      </c>
      <c r="J162" s="676">
        <v>3126135</v>
      </c>
      <c r="K162" s="676">
        <v>1496718</v>
      </c>
      <c r="L162" s="676">
        <v>64329</v>
      </c>
      <c r="M162" s="676">
        <v>6736</v>
      </c>
      <c r="N162" s="676">
        <v>114868732</v>
      </c>
      <c r="O162" s="676"/>
      <c r="P162" s="676">
        <v>20321</v>
      </c>
      <c r="Q162" s="676">
        <v>141</v>
      </c>
      <c r="R162" s="676">
        <v>794582</v>
      </c>
      <c r="S162" s="676"/>
      <c r="T162" s="676"/>
      <c r="U162" s="676"/>
      <c r="V162" s="676">
        <v>28819</v>
      </c>
      <c r="W162" s="676">
        <v>138161</v>
      </c>
      <c r="X162" s="676">
        <v>0</v>
      </c>
      <c r="Y162" s="676">
        <v>395694</v>
      </c>
      <c r="Z162" s="676">
        <v>0</v>
      </c>
      <c r="AA162" s="676"/>
      <c r="AB162" s="676">
        <v>23231</v>
      </c>
      <c r="AC162" s="676"/>
      <c r="AD162" s="676">
        <v>1231</v>
      </c>
      <c r="AE162" s="676">
        <v>1519538</v>
      </c>
      <c r="AF162" s="676">
        <v>5409</v>
      </c>
      <c r="AG162" s="676">
        <v>165219</v>
      </c>
      <c r="AH162" s="676">
        <v>490226</v>
      </c>
      <c r="AI162" s="676">
        <v>433002</v>
      </c>
      <c r="AJ162" s="676">
        <v>36171</v>
      </c>
      <c r="AK162" s="676">
        <v>501</v>
      </c>
      <c r="AL162" s="676">
        <v>71241576</v>
      </c>
      <c r="AM162" s="676">
        <v>2408543</v>
      </c>
      <c r="AN162" s="676"/>
      <c r="AO162" s="676"/>
      <c r="AP162" s="676">
        <v>157068</v>
      </c>
      <c r="AQ162" s="676">
        <v>2441149</v>
      </c>
      <c r="AR162" s="676"/>
      <c r="AS162" s="676"/>
      <c r="AT162" s="676">
        <v>50330.37</v>
      </c>
      <c r="AU162" s="676">
        <v>1148</v>
      </c>
      <c r="AV162" s="676"/>
      <c r="AW162" s="676">
        <v>6236336</v>
      </c>
      <c r="AX162" s="676">
        <v>64194519</v>
      </c>
      <c r="AY162" s="676"/>
      <c r="AZ162" s="676">
        <v>0</v>
      </c>
      <c r="BA162" s="676">
        <v>348</v>
      </c>
      <c r="BB162" s="676"/>
      <c r="BC162" s="676">
        <v>1481793</v>
      </c>
      <c r="BD162" s="676"/>
      <c r="BE162" s="676">
        <v>0</v>
      </c>
      <c r="BF162" s="676">
        <v>11104000</v>
      </c>
      <c r="BG162" s="676">
        <v>1285385000</v>
      </c>
      <c r="BH162" s="676">
        <v>1271975000</v>
      </c>
      <c r="BI162" s="676">
        <v>8813</v>
      </c>
      <c r="BJ162" s="676"/>
      <c r="BK162" s="676">
        <v>66136</v>
      </c>
      <c r="BL162" s="676"/>
      <c r="BM162" s="676"/>
      <c r="BN162" s="676">
        <v>779529</v>
      </c>
      <c r="BO162" s="676"/>
      <c r="BP162" s="676"/>
      <c r="BQ162" s="676"/>
      <c r="BR162" s="676">
        <v>3136</v>
      </c>
      <c r="BS162" s="676"/>
      <c r="BT162" s="676">
        <v>11938</v>
      </c>
      <c r="BU162" s="676">
        <v>37229841</v>
      </c>
      <c r="BV162" s="676"/>
      <c r="BW162" s="676">
        <v>8561761</v>
      </c>
      <c r="BX162" s="676">
        <v>151681</v>
      </c>
      <c r="BY162" s="676">
        <v>1073751</v>
      </c>
      <c r="BZ162" s="676"/>
      <c r="CA162" s="676">
        <v>4639170.45</v>
      </c>
      <c r="CB162" s="676">
        <v>1020308.94</v>
      </c>
      <c r="CC162" s="676"/>
      <c r="CD162" s="676"/>
      <c r="CE162" s="676"/>
      <c r="CF162" s="676"/>
      <c r="CG162" s="676"/>
    </row>
    <row r="163" spans="1:85" x14ac:dyDescent="0.25">
      <c r="A163" s="320" t="s">
        <v>1108</v>
      </c>
      <c r="B163" s="320" t="s">
        <v>1240</v>
      </c>
      <c r="C163" s="320"/>
      <c r="D163" s="320" t="s">
        <v>723</v>
      </c>
      <c r="E163" s="320">
        <v>2015</v>
      </c>
      <c r="F163" s="404">
        <v>177235</v>
      </c>
      <c r="G163" s="676">
        <v>925002</v>
      </c>
      <c r="H163" s="676">
        <v>4292130</v>
      </c>
      <c r="I163" s="676">
        <v>4200741</v>
      </c>
      <c r="J163" s="676">
        <v>1795746</v>
      </c>
      <c r="K163" s="676">
        <v>3361840</v>
      </c>
      <c r="L163" s="676">
        <v>1234066</v>
      </c>
      <c r="M163" s="676">
        <v>98899</v>
      </c>
      <c r="N163" s="676">
        <v>68040</v>
      </c>
      <c r="O163" s="676">
        <v>583996</v>
      </c>
      <c r="P163" s="676">
        <v>774289</v>
      </c>
      <c r="Q163" s="676">
        <v>76580</v>
      </c>
      <c r="R163" s="676">
        <v>794375</v>
      </c>
      <c r="S163" s="676">
        <v>197540562</v>
      </c>
      <c r="T163" s="676">
        <v>4861145</v>
      </c>
      <c r="U163" s="676">
        <v>32373000</v>
      </c>
      <c r="V163" s="676">
        <v>185377</v>
      </c>
      <c r="W163" s="676">
        <v>2087236</v>
      </c>
      <c r="X163" s="676">
        <v>101877.46</v>
      </c>
      <c r="Y163" s="676">
        <v>335397062</v>
      </c>
      <c r="Z163" s="676">
        <v>8105386</v>
      </c>
      <c r="AA163" s="676">
        <v>1722177</v>
      </c>
      <c r="AB163" s="676">
        <v>20616809</v>
      </c>
      <c r="AC163" s="676">
        <v>975963.78</v>
      </c>
      <c r="AD163" s="676">
        <v>3849162</v>
      </c>
      <c r="AE163" s="676">
        <v>691598</v>
      </c>
      <c r="AF163" s="676">
        <v>2712368</v>
      </c>
      <c r="AG163" s="676">
        <v>71318</v>
      </c>
      <c r="AH163" s="676">
        <v>192558</v>
      </c>
      <c r="AI163" s="676">
        <v>79612</v>
      </c>
      <c r="AJ163" s="676">
        <v>58187</v>
      </c>
      <c r="AK163" s="676">
        <v>1691318</v>
      </c>
      <c r="AL163" s="676">
        <v>179439</v>
      </c>
      <c r="AM163" s="676">
        <v>16555108</v>
      </c>
      <c r="AN163" s="676">
        <v>147589000</v>
      </c>
      <c r="AO163" s="676">
        <v>50436262</v>
      </c>
      <c r="AP163" s="676">
        <v>5895528</v>
      </c>
      <c r="AQ163" s="676">
        <v>9130275</v>
      </c>
      <c r="AR163" s="676">
        <v>4062404</v>
      </c>
      <c r="AS163" s="676">
        <v>3701467</v>
      </c>
      <c r="AT163" s="676">
        <v>5776967.7999999998</v>
      </c>
      <c r="AU163" s="676">
        <v>3964487</v>
      </c>
      <c r="AV163" s="676">
        <v>464327</v>
      </c>
      <c r="AW163" s="676">
        <v>540057</v>
      </c>
      <c r="AX163" s="676">
        <v>89968</v>
      </c>
      <c r="AY163" s="676">
        <v>664425</v>
      </c>
      <c r="AZ163" s="676">
        <v>158179</v>
      </c>
      <c r="BA163" s="676">
        <v>3293473</v>
      </c>
      <c r="BB163" s="676">
        <v>950395</v>
      </c>
      <c r="BC163" s="676">
        <v>4738058</v>
      </c>
      <c r="BD163" s="676">
        <v>211873818</v>
      </c>
      <c r="BE163" s="676">
        <v>120890.07</v>
      </c>
      <c r="BF163" s="676">
        <v>15360000</v>
      </c>
      <c r="BG163" s="676">
        <v>196603000</v>
      </c>
      <c r="BH163" s="676"/>
      <c r="BI163" s="676">
        <v>12266564</v>
      </c>
      <c r="BJ163" s="676">
        <v>24723045</v>
      </c>
      <c r="BK163" s="676">
        <v>773856</v>
      </c>
      <c r="BL163" s="676">
        <v>368112</v>
      </c>
      <c r="BM163" s="676">
        <v>561000</v>
      </c>
      <c r="BN163" s="676">
        <v>28769393</v>
      </c>
      <c r="BO163" s="676">
        <v>638887</v>
      </c>
      <c r="BP163" s="676">
        <v>92842</v>
      </c>
      <c r="BQ163" s="676">
        <v>213120</v>
      </c>
      <c r="BR163" s="676">
        <v>190326</v>
      </c>
      <c r="BS163" s="676">
        <v>1312246</v>
      </c>
      <c r="BT163" s="676">
        <v>5558816</v>
      </c>
      <c r="BU163" s="676">
        <v>27601</v>
      </c>
      <c r="BV163" s="676">
        <v>52722</v>
      </c>
      <c r="BW163" s="676">
        <v>856069</v>
      </c>
      <c r="BX163" s="676">
        <v>1628192</v>
      </c>
      <c r="BY163" s="676">
        <v>2719343</v>
      </c>
      <c r="BZ163" s="676">
        <v>910000</v>
      </c>
      <c r="CA163" s="676">
        <v>4255190.3499999996</v>
      </c>
      <c r="CB163" s="676">
        <v>35927972.280000001</v>
      </c>
      <c r="CC163" s="676">
        <v>3389000</v>
      </c>
      <c r="CD163" s="676">
        <v>93215</v>
      </c>
      <c r="CE163" s="676">
        <v>107599000</v>
      </c>
      <c r="CF163" s="676">
        <v>143093000</v>
      </c>
      <c r="CG163" s="676">
        <v>66064000</v>
      </c>
    </row>
    <row r="164" spans="1:85" x14ac:dyDescent="0.25">
      <c r="A164" s="320" t="s">
        <v>1205</v>
      </c>
      <c r="B164" s="320" t="s">
        <v>1241</v>
      </c>
      <c r="C164" s="320"/>
      <c r="D164" s="320" t="s">
        <v>725</v>
      </c>
      <c r="E164" s="320">
        <v>2015</v>
      </c>
      <c r="F164" s="404"/>
      <c r="G164" s="676">
        <v>-1697</v>
      </c>
      <c r="H164" s="676"/>
      <c r="I164" s="676">
        <v>-1083</v>
      </c>
      <c r="J164" s="676">
        <v>1942</v>
      </c>
      <c r="K164" s="676"/>
      <c r="L164" s="676"/>
      <c r="M164" s="676"/>
      <c r="N164" s="676"/>
      <c r="O164" s="676"/>
      <c r="P164" s="676"/>
      <c r="Q164" s="676"/>
      <c r="R164" s="676"/>
      <c r="S164" s="676"/>
      <c r="T164" s="676"/>
      <c r="U164" s="676"/>
      <c r="V164" s="676"/>
      <c r="W164" s="676"/>
      <c r="X164" s="676">
        <v>0</v>
      </c>
      <c r="Y164" s="676"/>
      <c r="Z164" s="676">
        <v>-48670</v>
      </c>
      <c r="AA164" s="676"/>
      <c r="AB164" s="676"/>
      <c r="AC164" s="676">
        <v>9238.11</v>
      </c>
      <c r="AD164" s="676">
        <v>269288</v>
      </c>
      <c r="AE164" s="676"/>
      <c r="AF164" s="676"/>
      <c r="AG164" s="676"/>
      <c r="AH164" s="676"/>
      <c r="AI164" s="676">
        <v>-1913</v>
      </c>
      <c r="AJ164" s="676"/>
      <c r="AK164" s="676">
        <v>2458</v>
      </c>
      <c r="AL164" s="676"/>
      <c r="AM164" s="676">
        <v>911568</v>
      </c>
      <c r="AN164" s="676"/>
      <c r="AO164" s="676"/>
      <c r="AP164" s="676"/>
      <c r="AQ164" s="676">
        <v>1529</v>
      </c>
      <c r="AR164" s="676"/>
      <c r="AS164" s="676">
        <v>34127</v>
      </c>
      <c r="AT164" s="676">
        <v>0</v>
      </c>
      <c r="AU164" s="676"/>
      <c r="AV164" s="676">
        <v>763</v>
      </c>
      <c r="AW164" s="676"/>
      <c r="AX164" s="676"/>
      <c r="AY164" s="676"/>
      <c r="AZ164" s="676">
        <v>0</v>
      </c>
      <c r="BA164" s="676"/>
      <c r="BB164" s="676">
        <v>17012</v>
      </c>
      <c r="BC164" s="676"/>
      <c r="BD164" s="676"/>
      <c r="BE164" s="676">
        <v>0</v>
      </c>
      <c r="BF164" s="676"/>
      <c r="BG164" s="676"/>
      <c r="BH164" s="676"/>
      <c r="BI164" s="676">
        <v>5651</v>
      </c>
      <c r="BJ164" s="676">
        <v>-1063</v>
      </c>
      <c r="BK164" s="676">
        <v>-887</v>
      </c>
      <c r="BL164" s="676"/>
      <c r="BM164" s="676"/>
      <c r="BN164" s="676">
        <v>-16</v>
      </c>
      <c r="BO164" s="676"/>
      <c r="BP164" s="676"/>
      <c r="BQ164" s="676"/>
      <c r="BR164" s="676"/>
      <c r="BS164" s="676">
        <v>229246</v>
      </c>
      <c r="BT164" s="676">
        <v>81008</v>
      </c>
      <c r="BU164" s="676"/>
      <c r="BV164" s="676"/>
      <c r="BW164" s="676"/>
      <c r="BX164" s="676">
        <v>-7</v>
      </c>
      <c r="BY164" s="676"/>
      <c r="BZ164" s="676"/>
      <c r="CA164" s="676"/>
      <c r="CB164" s="676">
        <v>-1758.9</v>
      </c>
      <c r="CC164" s="676"/>
      <c r="CD164" s="676"/>
      <c r="CE164" s="676"/>
      <c r="CF164" s="676"/>
      <c r="CG164" s="676"/>
    </row>
    <row r="165" spans="1:85" x14ac:dyDescent="0.25">
      <c r="A165" s="320" t="s">
        <v>1242</v>
      </c>
      <c r="B165" s="320" t="s">
        <v>1243</v>
      </c>
      <c r="C165" s="320"/>
      <c r="D165" s="320" t="s">
        <v>727</v>
      </c>
      <c r="E165" s="320">
        <v>2015</v>
      </c>
      <c r="F165" s="404">
        <v>241760</v>
      </c>
      <c r="G165" s="676">
        <v>1377727</v>
      </c>
      <c r="H165" s="676">
        <v>7064040</v>
      </c>
      <c r="I165" s="676">
        <v>4913823</v>
      </c>
      <c r="J165" s="676">
        <v>725028</v>
      </c>
      <c r="K165" s="676">
        <v>2911083</v>
      </c>
      <c r="L165" s="676">
        <v>1221462</v>
      </c>
      <c r="M165" s="676">
        <v>139572329</v>
      </c>
      <c r="N165" s="676">
        <v>132885707</v>
      </c>
      <c r="O165" s="676">
        <v>94373373</v>
      </c>
      <c r="P165" s="676">
        <v>14275674</v>
      </c>
      <c r="Q165" s="676">
        <v>710712</v>
      </c>
      <c r="R165" s="676">
        <v>27925246</v>
      </c>
      <c r="S165" s="676">
        <v>5232907</v>
      </c>
      <c r="T165" s="676">
        <v>6107138</v>
      </c>
      <c r="U165" s="676">
        <v>24310000</v>
      </c>
      <c r="V165" s="676">
        <v>13860594</v>
      </c>
      <c r="W165" s="676">
        <v>884054</v>
      </c>
      <c r="X165" s="676">
        <v>960175.92</v>
      </c>
      <c r="Y165" s="676">
        <v>4780397</v>
      </c>
      <c r="Z165" s="676">
        <v>36875981</v>
      </c>
      <c r="AA165" s="676">
        <v>1379475</v>
      </c>
      <c r="AB165" s="676">
        <v>99147350</v>
      </c>
      <c r="AC165" s="676">
        <v>281074.09999999998</v>
      </c>
      <c r="AD165" s="676">
        <v>2526685</v>
      </c>
      <c r="AE165" s="676">
        <v>1056785</v>
      </c>
      <c r="AF165" s="676">
        <v>4043553</v>
      </c>
      <c r="AG165" s="676">
        <v>127620</v>
      </c>
      <c r="AH165" s="676">
        <v>248897</v>
      </c>
      <c r="AI165" s="676">
        <v>467214</v>
      </c>
      <c r="AJ165" s="676">
        <v>204456</v>
      </c>
      <c r="AK165" s="676">
        <v>8924162</v>
      </c>
      <c r="AL165" s="676">
        <v>36010356</v>
      </c>
      <c r="AM165" s="676">
        <v>3040333</v>
      </c>
      <c r="AN165" s="676"/>
      <c r="AO165" s="676">
        <v>1816721</v>
      </c>
      <c r="AP165" s="676">
        <v>3956035</v>
      </c>
      <c r="AQ165" s="676">
        <v>3153211</v>
      </c>
      <c r="AR165" s="676">
        <v>786912</v>
      </c>
      <c r="AS165" s="676">
        <v>5501180</v>
      </c>
      <c r="AT165" s="676">
        <v>1295042.19</v>
      </c>
      <c r="AU165" s="676">
        <v>1836010</v>
      </c>
      <c r="AV165" s="676">
        <v>12742175</v>
      </c>
      <c r="AW165" s="676">
        <v>226073</v>
      </c>
      <c r="AX165" s="676">
        <v>30454123</v>
      </c>
      <c r="AY165" s="676">
        <v>39442603</v>
      </c>
      <c r="AZ165" s="676">
        <v>184360</v>
      </c>
      <c r="BA165" s="676">
        <v>4540914</v>
      </c>
      <c r="BB165" s="676">
        <v>25673319</v>
      </c>
      <c r="BC165" s="676">
        <v>6219228</v>
      </c>
      <c r="BD165" s="676"/>
      <c r="BE165" s="676">
        <v>393732.96</v>
      </c>
      <c r="BF165" s="676">
        <v>71592000</v>
      </c>
      <c r="BG165" s="676">
        <v>158328000</v>
      </c>
      <c r="BH165" s="676">
        <v>120637000</v>
      </c>
      <c r="BI165" s="676">
        <v>16311578</v>
      </c>
      <c r="BJ165" s="676">
        <v>2332837</v>
      </c>
      <c r="BK165" s="676">
        <v>183882</v>
      </c>
      <c r="BL165" s="676">
        <v>1101823</v>
      </c>
      <c r="BM165" s="676">
        <v>636221000</v>
      </c>
      <c r="BN165" s="676">
        <v>1322971</v>
      </c>
      <c r="BO165" s="676">
        <v>212459</v>
      </c>
      <c r="BP165" s="676">
        <v>1053661</v>
      </c>
      <c r="BQ165" s="676">
        <v>570438</v>
      </c>
      <c r="BR165" s="676">
        <v>394796</v>
      </c>
      <c r="BS165" s="676">
        <v>48147619</v>
      </c>
      <c r="BT165" s="676">
        <v>10896274</v>
      </c>
      <c r="BU165" s="676">
        <v>7788022</v>
      </c>
      <c r="BV165" s="676">
        <v>426017</v>
      </c>
      <c r="BW165" s="676">
        <v>31443397</v>
      </c>
      <c r="BX165" s="676">
        <v>10348912</v>
      </c>
      <c r="BY165" s="676">
        <v>1118175</v>
      </c>
      <c r="BZ165" s="676">
        <v>10016000</v>
      </c>
      <c r="CA165" s="676">
        <v>655236.27</v>
      </c>
      <c r="CB165" s="676">
        <v>1581675.73</v>
      </c>
      <c r="CC165" s="676"/>
      <c r="CD165" s="676">
        <v>305124</v>
      </c>
      <c r="CE165" s="676">
        <v>36582000</v>
      </c>
      <c r="CF165" s="676"/>
      <c r="CG165" s="676">
        <v>111660000</v>
      </c>
    </row>
    <row r="166" spans="1:85" x14ac:dyDescent="0.25">
      <c r="A166" s="320" t="s">
        <v>1244</v>
      </c>
      <c r="B166" s="320" t="s">
        <v>1422</v>
      </c>
      <c r="C166" s="320" t="s">
        <v>1423</v>
      </c>
      <c r="D166" s="320" t="s">
        <v>729</v>
      </c>
      <c r="E166" s="320">
        <v>2015</v>
      </c>
      <c r="F166" s="404">
        <v>680437</v>
      </c>
      <c r="G166" s="676">
        <v>2601198</v>
      </c>
      <c r="H166" s="676">
        <v>7742937</v>
      </c>
      <c r="I166" s="676">
        <v>5996566</v>
      </c>
      <c r="J166" s="676">
        <v>1256422</v>
      </c>
      <c r="K166" s="676">
        <v>3048857</v>
      </c>
      <c r="L166" s="676">
        <v>2236754</v>
      </c>
      <c r="M166" s="676">
        <v>2090590</v>
      </c>
      <c r="N166" s="676">
        <v>1656024</v>
      </c>
      <c r="O166" s="676">
        <v>6990809</v>
      </c>
      <c r="P166" s="676">
        <v>3048683</v>
      </c>
      <c r="Q166" s="676">
        <v>483553</v>
      </c>
      <c r="R166" s="676">
        <v>2727080</v>
      </c>
      <c r="S166" s="676">
        <v>1169807</v>
      </c>
      <c r="T166" s="676">
        <v>6360829</v>
      </c>
      <c r="U166" s="676">
        <v>32282000</v>
      </c>
      <c r="V166" s="676">
        <v>1140847</v>
      </c>
      <c r="W166" s="676">
        <v>3152094</v>
      </c>
      <c r="X166" s="676">
        <v>1200542.76</v>
      </c>
      <c r="Y166" s="676">
        <v>211944</v>
      </c>
      <c r="Z166" s="676">
        <v>24358202</v>
      </c>
      <c r="AA166" s="676">
        <v>2883357</v>
      </c>
      <c r="AB166" s="676">
        <v>68115035</v>
      </c>
      <c r="AC166" s="676">
        <v>3412435.48</v>
      </c>
      <c r="AD166" s="676">
        <v>4395004</v>
      </c>
      <c r="AE166" s="676">
        <v>2805330</v>
      </c>
      <c r="AF166" s="676">
        <v>9106855</v>
      </c>
      <c r="AG166" s="676">
        <v>463721</v>
      </c>
      <c r="AH166" s="676">
        <v>1091073</v>
      </c>
      <c r="AI166" s="676">
        <v>812338</v>
      </c>
      <c r="AJ166" s="676">
        <v>335749</v>
      </c>
      <c r="AK166" s="676">
        <v>36997625</v>
      </c>
      <c r="AL166" s="676">
        <v>1208171</v>
      </c>
      <c r="AM166" s="676">
        <v>3099985</v>
      </c>
      <c r="AN166" s="676">
        <v>31957000</v>
      </c>
      <c r="AO166" s="676">
        <v>23299039</v>
      </c>
      <c r="AP166" s="676">
        <v>17402256</v>
      </c>
      <c r="AQ166" s="676">
        <v>19781518</v>
      </c>
      <c r="AR166" s="676">
        <v>9982112</v>
      </c>
      <c r="AS166" s="676">
        <v>9922796</v>
      </c>
      <c r="AT166" s="676">
        <v>8796465.3399999999</v>
      </c>
      <c r="AU166" s="676">
        <v>9750231</v>
      </c>
      <c r="AV166" s="676">
        <v>2781885</v>
      </c>
      <c r="AW166" s="676">
        <v>393699</v>
      </c>
      <c r="AX166" s="676">
        <v>1125017</v>
      </c>
      <c r="AY166" s="676">
        <v>1508185</v>
      </c>
      <c r="AZ166" s="676">
        <v>686166</v>
      </c>
      <c r="BA166" s="676">
        <v>5506213</v>
      </c>
      <c r="BB166" s="676">
        <v>5083474</v>
      </c>
      <c r="BC166" s="676">
        <v>9763225</v>
      </c>
      <c r="BD166" s="676">
        <v>23790246</v>
      </c>
      <c r="BE166" s="676">
        <v>6066058.3099999996</v>
      </c>
      <c r="BF166" s="676">
        <v>166845000</v>
      </c>
      <c r="BG166" s="676">
        <v>126171000</v>
      </c>
      <c r="BH166" s="676">
        <v>27169000</v>
      </c>
      <c r="BI166" s="676">
        <v>47851444</v>
      </c>
      <c r="BJ166" s="676">
        <v>1669420</v>
      </c>
      <c r="BK166" s="676">
        <v>1365521</v>
      </c>
      <c r="BL166" s="676">
        <v>946485</v>
      </c>
      <c r="BM166" s="676">
        <v>11237000</v>
      </c>
      <c r="BN166" s="676">
        <v>9676876</v>
      </c>
      <c r="BO166" s="676">
        <v>2358612</v>
      </c>
      <c r="BP166" s="676">
        <v>3845646</v>
      </c>
      <c r="BQ166" s="676">
        <v>690008</v>
      </c>
      <c r="BR166" s="676">
        <v>1781359</v>
      </c>
      <c r="BS166" s="676">
        <v>3923259</v>
      </c>
      <c r="BT166" s="676">
        <v>9516113</v>
      </c>
      <c r="BU166" s="676">
        <v>644465</v>
      </c>
      <c r="BV166" s="676">
        <v>704438</v>
      </c>
      <c r="BW166" s="676">
        <v>10768407</v>
      </c>
      <c r="BX166" s="676">
        <v>4311804</v>
      </c>
      <c r="BY166" s="676">
        <v>7500222</v>
      </c>
      <c r="BZ166" s="676">
        <v>9332000</v>
      </c>
      <c r="CA166" s="676">
        <v>7462124.7400000002</v>
      </c>
      <c r="CB166" s="676">
        <v>15012084.449999999</v>
      </c>
      <c r="CC166" s="676">
        <v>12453000</v>
      </c>
      <c r="CD166" s="676">
        <v>413263</v>
      </c>
      <c r="CE166" s="676">
        <v>219738000</v>
      </c>
      <c r="CF166" s="676">
        <v>88978000</v>
      </c>
      <c r="CG166" s="676">
        <v>97636000</v>
      </c>
    </row>
    <row r="167" spans="1:85" x14ac:dyDescent="0.25">
      <c r="A167" s="320" t="s">
        <v>1245</v>
      </c>
      <c r="B167" s="320" t="s">
        <v>1246</v>
      </c>
      <c r="C167" s="320"/>
      <c r="D167" s="320" t="s">
        <v>731</v>
      </c>
      <c r="E167" s="320">
        <v>2015</v>
      </c>
      <c r="F167" s="404">
        <v>490912</v>
      </c>
      <c r="G167" s="676">
        <v>1841563</v>
      </c>
      <c r="H167" s="676">
        <v>5410074</v>
      </c>
      <c r="I167" s="676">
        <v>4293988</v>
      </c>
      <c r="J167" s="676">
        <v>864909</v>
      </c>
      <c r="K167" s="676">
        <v>2095055</v>
      </c>
      <c r="L167" s="676">
        <v>1515353</v>
      </c>
      <c r="M167" s="676">
        <v>1526469</v>
      </c>
      <c r="N167" s="676">
        <v>1259222</v>
      </c>
      <c r="O167" s="676">
        <v>5009329</v>
      </c>
      <c r="P167" s="676">
        <v>2200807</v>
      </c>
      <c r="Q167" s="676">
        <v>203159</v>
      </c>
      <c r="R167" s="676">
        <v>1992054</v>
      </c>
      <c r="S167" s="676">
        <v>885079</v>
      </c>
      <c r="T167" s="676">
        <v>4515705</v>
      </c>
      <c r="U167" s="676">
        <v>22608000</v>
      </c>
      <c r="V167" s="676">
        <v>834775</v>
      </c>
      <c r="W167" s="676">
        <v>2177446</v>
      </c>
      <c r="X167" s="676">
        <v>816751.96</v>
      </c>
      <c r="Y167" s="676">
        <v>211944</v>
      </c>
      <c r="Z167" s="676">
        <v>16764528</v>
      </c>
      <c r="AA167" s="676">
        <v>2010911</v>
      </c>
      <c r="AB167" s="676">
        <v>46639670</v>
      </c>
      <c r="AC167" s="676">
        <v>2389501.08</v>
      </c>
      <c r="AD167" s="676">
        <v>3104661</v>
      </c>
      <c r="AE167" s="676">
        <v>1786642</v>
      </c>
      <c r="AF167" s="676">
        <v>6318102</v>
      </c>
      <c r="AG167" s="676">
        <v>279748</v>
      </c>
      <c r="AH167" s="676">
        <v>737619</v>
      </c>
      <c r="AI167" s="676">
        <v>545374</v>
      </c>
      <c r="AJ167" s="676">
        <v>226725</v>
      </c>
      <c r="AK167" s="676">
        <v>26681525</v>
      </c>
      <c r="AL167" s="676">
        <v>874342</v>
      </c>
      <c r="AM167" s="676">
        <v>2172596</v>
      </c>
      <c r="AN167" s="676">
        <v>22426000</v>
      </c>
      <c r="AO167" s="676">
        <v>16926699</v>
      </c>
      <c r="AP167" s="676">
        <v>12691067</v>
      </c>
      <c r="AQ167" s="676">
        <v>13948932</v>
      </c>
      <c r="AR167" s="676">
        <v>7247473</v>
      </c>
      <c r="AS167" s="676">
        <v>7192494</v>
      </c>
      <c r="AT167" s="676">
        <v>6194861.4500000002</v>
      </c>
      <c r="AU167" s="676">
        <v>7142597</v>
      </c>
      <c r="AV167" s="676">
        <v>1875703</v>
      </c>
      <c r="AW167" s="676">
        <v>246285</v>
      </c>
      <c r="AX167" s="676">
        <v>839064</v>
      </c>
      <c r="AY167" s="676">
        <v>1131785</v>
      </c>
      <c r="AZ167" s="676">
        <v>451365</v>
      </c>
      <c r="BA167" s="676">
        <v>3924720</v>
      </c>
      <c r="BB167" s="676">
        <v>3800161</v>
      </c>
      <c r="BC167" s="676">
        <v>6770620</v>
      </c>
      <c r="BD167" s="676">
        <v>17643980</v>
      </c>
      <c r="BE167" s="676">
        <v>4101545.76</v>
      </c>
      <c r="BF167" s="676">
        <v>113979000</v>
      </c>
      <c r="BG167" s="676">
        <v>78301000</v>
      </c>
      <c r="BH167" s="676">
        <v>20678000</v>
      </c>
      <c r="BI167" s="676">
        <v>32922447</v>
      </c>
      <c r="BJ167" s="676">
        <v>1215875</v>
      </c>
      <c r="BK167" s="676">
        <v>938970</v>
      </c>
      <c r="BL167" s="676">
        <v>623429</v>
      </c>
      <c r="BM167" s="676">
        <v>8597000</v>
      </c>
      <c r="BN167" s="676">
        <v>6774756</v>
      </c>
      <c r="BO167" s="676">
        <v>1628024</v>
      </c>
      <c r="BP167" s="676">
        <v>2631659</v>
      </c>
      <c r="BQ167" s="676">
        <v>454035</v>
      </c>
      <c r="BR167" s="676">
        <v>1241844</v>
      </c>
      <c r="BS167" s="676">
        <v>2581143</v>
      </c>
      <c r="BT167" s="676">
        <v>6493356</v>
      </c>
      <c r="BU167" s="676">
        <v>414370</v>
      </c>
      <c r="BV167" s="676">
        <v>440020</v>
      </c>
      <c r="BW167" s="676">
        <v>7169834</v>
      </c>
      <c r="BX167" s="676">
        <v>2922659</v>
      </c>
      <c r="BY167" s="676">
        <v>5476345</v>
      </c>
      <c r="BZ167" s="676">
        <v>6949000</v>
      </c>
      <c r="CA167" s="676">
        <v>5183509.38</v>
      </c>
      <c r="CB167" s="676">
        <v>10400592.85</v>
      </c>
      <c r="CC167" s="676">
        <v>7964000</v>
      </c>
      <c r="CD167" s="676">
        <v>298667</v>
      </c>
      <c r="CE167" s="676">
        <v>150066000</v>
      </c>
      <c r="CF167" s="676">
        <v>61540000</v>
      </c>
      <c r="CG167" s="676">
        <v>68981000</v>
      </c>
    </row>
    <row r="168" spans="1:85" x14ac:dyDescent="0.25">
      <c r="A168" s="320" t="s">
        <v>1247</v>
      </c>
      <c r="B168" s="320" t="s">
        <v>1248</v>
      </c>
      <c r="C168" s="320"/>
      <c r="D168" s="320" t="s">
        <v>733</v>
      </c>
      <c r="E168" s="320">
        <v>2015</v>
      </c>
      <c r="F168" s="404"/>
      <c r="G168" s="676"/>
      <c r="H168" s="676">
        <v>15600</v>
      </c>
      <c r="I168" s="676">
        <v>47633</v>
      </c>
      <c r="J168" s="676"/>
      <c r="K168" s="676">
        <v>47375</v>
      </c>
      <c r="L168" s="676">
        <v>107914</v>
      </c>
      <c r="M168" s="676">
        <v>141432</v>
      </c>
      <c r="N168" s="676">
        <v>61841</v>
      </c>
      <c r="O168" s="676"/>
      <c r="P168" s="676"/>
      <c r="Q168" s="676">
        <v>155746</v>
      </c>
      <c r="R168" s="676"/>
      <c r="S168" s="676"/>
      <c r="T168" s="676">
        <v>23280</v>
      </c>
      <c r="U168" s="676"/>
      <c r="V168" s="676"/>
      <c r="W168" s="676">
        <v>50010</v>
      </c>
      <c r="X168" s="676">
        <v>33426.32</v>
      </c>
      <c r="Y168" s="676"/>
      <c r="Z168" s="676">
        <v>249171</v>
      </c>
      <c r="AA168" s="676">
        <v>38224</v>
      </c>
      <c r="AB168" s="676">
        <v>24000</v>
      </c>
      <c r="AC168" s="676">
        <v>102535.22</v>
      </c>
      <c r="AD168" s="676">
        <v>12477</v>
      </c>
      <c r="AE168" s="676">
        <v>80861</v>
      </c>
      <c r="AF168" s="676">
        <v>199209</v>
      </c>
      <c r="AG168" s="676">
        <v>58418</v>
      </c>
      <c r="AH168" s="676">
        <v>22597</v>
      </c>
      <c r="AI168" s="676">
        <v>28960</v>
      </c>
      <c r="AJ168" s="676">
        <v>14564</v>
      </c>
      <c r="AK168" s="676">
        <v>122015</v>
      </c>
      <c r="AL168" s="676">
        <v>34800</v>
      </c>
      <c r="AM168" s="676">
        <v>22320</v>
      </c>
      <c r="AN168" s="676"/>
      <c r="AO168" s="676"/>
      <c r="AP168" s="676">
        <v>100</v>
      </c>
      <c r="AQ168" s="676">
        <v>135766</v>
      </c>
      <c r="AR168" s="676">
        <v>44925</v>
      </c>
      <c r="AS168" s="676"/>
      <c r="AT168" s="676">
        <v>2933.28</v>
      </c>
      <c r="AU168" s="676"/>
      <c r="AV168" s="676"/>
      <c r="AW168" s="676">
        <v>32400</v>
      </c>
      <c r="AX168" s="676"/>
      <c r="AY168" s="676"/>
      <c r="AZ168" s="676">
        <v>8542</v>
      </c>
      <c r="BA168" s="676">
        <v>47517</v>
      </c>
      <c r="BB168" s="676"/>
      <c r="BC168" s="676">
        <v>43259</v>
      </c>
      <c r="BD168" s="676"/>
      <c r="BE168" s="676">
        <v>279831.59999999998</v>
      </c>
      <c r="BF168" s="676">
        <v>175000</v>
      </c>
      <c r="BG168" s="676"/>
      <c r="BH168" s="676"/>
      <c r="BI168" s="676">
        <v>37080</v>
      </c>
      <c r="BJ168" s="676">
        <v>49200</v>
      </c>
      <c r="BK168" s="676">
        <v>35040</v>
      </c>
      <c r="BL168" s="676">
        <v>46894</v>
      </c>
      <c r="BM168" s="676"/>
      <c r="BN168" s="676">
        <v>127589</v>
      </c>
      <c r="BO168" s="676">
        <v>35040</v>
      </c>
      <c r="BP168" s="676">
        <v>112768</v>
      </c>
      <c r="BQ168" s="676">
        <v>21020</v>
      </c>
      <c r="BR168" s="676">
        <v>3237</v>
      </c>
      <c r="BS168" s="676">
        <v>112957</v>
      </c>
      <c r="BT168" s="676">
        <v>230825</v>
      </c>
      <c r="BU168" s="676">
        <v>82900</v>
      </c>
      <c r="BV168" s="676">
        <v>68315</v>
      </c>
      <c r="BW168" s="676"/>
      <c r="BX168" s="676">
        <v>3000</v>
      </c>
      <c r="BY168" s="676">
        <v>3480</v>
      </c>
      <c r="BZ168" s="676"/>
      <c r="CA168" s="676">
        <v>144391.72</v>
      </c>
      <c r="CB168" s="676">
        <v>186900.5</v>
      </c>
      <c r="CC168" s="676"/>
      <c r="CD168" s="676">
        <v>3520</v>
      </c>
      <c r="CE168" s="676"/>
      <c r="CF168" s="676"/>
      <c r="CG168" s="676"/>
    </row>
    <row r="169" spans="1:85" x14ac:dyDescent="0.25">
      <c r="A169" s="320" t="s">
        <v>1249</v>
      </c>
      <c r="B169" s="320" t="s">
        <v>1250</v>
      </c>
      <c r="C169" s="320"/>
      <c r="D169" s="320" t="s">
        <v>452</v>
      </c>
      <c r="E169" s="320">
        <v>2015</v>
      </c>
      <c r="F169" s="404">
        <v>164622</v>
      </c>
      <c r="G169" s="676">
        <v>688474</v>
      </c>
      <c r="H169" s="676">
        <v>1939582</v>
      </c>
      <c r="I169" s="676">
        <v>1541621</v>
      </c>
      <c r="J169" s="676">
        <v>316640</v>
      </c>
      <c r="K169" s="676">
        <v>754816</v>
      </c>
      <c r="L169" s="676">
        <v>556154</v>
      </c>
      <c r="M169" s="676">
        <v>388319</v>
      </c>
      <c r="N169" s="676">
        <v>302272</v>
      </c>
      <c r="O169" s="676">
        <v>1768178</v>
      </c>
      <c r="P169" s="676">
        <v>760135</v>
      </c>
      <c r="Q169" s="676">
        <v>119924</v>
      </c>
      <c r="R169" s="676">
        <v>613231</v>
      </c>
      <c r="S169" s="676">
        <v>264197</v>
      </c>
      <c r="T169" s="676">
        <v>1622580</v>
      </c>
      <c r="U169" s="676">
        <v>7623000</v>
      </c>
      <c r="V169" s="676">
        <v>271189</v>
      </c>
      <c r="W169" s="676">
        <v>809992</v>
      </c>
      <c r="X169" s="676">
        <v>309513</v>
      </c>
      <c r="Y169" s="676"/>
      <c r="Z169" s="676">
        <v>6722275</v>
      </c>
      <c r="AA169" s="676">
        <v>743805</v>
      </c>
      <c r="AB169" s="676">
        <v>17599263</v>
      </c>
      <c r="AC169" s="676">
        <v>846187.14</v>
      </c>
      <c r="AD169" s="676">
        <v>1116216</v>
      </c>
      <c r="AE169" s="676">
        <v>689371</v>
      </c>
      <c r="AF169" s="676">
        <v>2250079</v>
      </c>
      <c r="AG169" s="676">
        <v>99512</v>
      </c>
      <c r="AH169" s="676">
        <v>267327</v>
      </c>
      <c r="AI169" s="676">
        <v>207524</v>
      </c>
      <c r="AJ169" s="676">
        <v>84375</v>
      </c>
      <c r="AK169" s="676">
        <v>8368561</v>
      </c>
      <c r="AL169" s="676">
        <v>281642</v>
      </c>
      <c r="AM169" s="676">
        <v>768152</v>
      </c>
      <c r="AN169" s="676">
        <v>9531000</v>
      </c>
      <c r="AO169" s="676">
        <v>5908072</v>
      </c>
      <c r="AP169" s="676">
        <v>4386070</v>
      </c>
      <c r="AQ169" s="676">
        <v>5077224</v>
      </c>
      <c r="AR169" s="676">
        <v>2490928</v>
      </c>
      <c r="AS169" s="676">
        <v>2522560</v>
      </c>
      <c r="AT169" s="676">
        <v>2192797.16</v>
      </c>
      <c r="AU169" s="676">
        <v>2446689</v>
      </c>
      <c r="AV169" s="676">
        <v>719975</v>
      </c>
      <c r="AW169" s="676">
        <v>98132</v>
      </c>
      <c r="AX169" s="676">
        <v>267150</v>
      </c>
      <c r="AY169" s="676">
        <v>346392</v>
      </c>
      <c r="AZ169" s="676">
        <v>190235</v>
      </c>
      <c r="BA169" s="676">
        <v>1365481</v>
      </c>
      <c r="BB169" s="676">
        <v>1238444</v>
      </c>
      <c r="BC169" s="676">
        <v>2467341</v>
      </c>
      <c r="BD169" s="676">
        <v>5359268</v>
      </c>
      <c r="BE169" s="676">
        <v>1529083.65</v>
      </c>
      <c r="BF169" s="676">
        <v>40275000</v>
      </c>
      <c r="BG169" s="676">
        <v>36377000</v>
      </c>
      <c r="BH169" s="676">
        <v>6491000</v>
      </c>
      <c r="BI169" s="676">
        <v>12582576</v>
      </c>
      <c r="BJ169" s="676">
        <v>375776</v>
      </c>
      <c r="BK169" s="676">
        <v>348857</v>
      </c>
      <c r="BL169" s="676">
        <v>243994</v>
      </c>
      <c r="BM169" s="676">
        <v>2485000</v>
      </c>
      <c r="BN169" s="676">
        <v>2480104</v>
      </c>
      <c r="BO169" s="676">
        <v>642697</v>
      </c>
      <c r="BP169" s="676">
        <v>973680</v>
      </c>
      <c r="BQ169" s="676">
        <v>176237</v>
      </c>
      <c r="BR169" s="676">
        <v>446056</v>
      </c>
      <c r="BS169" s="676">
        <v>1104564</v>
      </c>
      <c r="BT169" s="676">
        <v>2372516</v>
      </c>
      <c r="BU169" s="676">
        <v>136729</v>
      </c>
      <c r="BV169" s="676">
        <v>183081</v>
      </c>
      <c r="BW169" s="676">
        <v>3008309</v>
      </c>
      <c r="BX169" s="676">
        <v>1135664</v>
      </c>
      <c r="BY169" s="676">
        <v>1884121</v>
      </c>
      <c r="BZ169" s="676">
        <v>2118000</v>
      </c>
      <c r="CA169" s="676">
        <v>1949295.58</v>
      </c>
      <c r="CB169" s="676">
        <v>3828089.51</v>
      </c>
      <c r="CC169" s="676">
        <v>1340000</v>
      </c>
      <c r="CD169" s="676">
        <v>99159</v>
      </c>
      <c r="CE169" s="676">
        <v>56993000</v>
      </c>
      <c r="CF169" s="676">
        <v>25794000</v>
      </c>
      <c r="CG169" s="676">
        <v>28655000</v>
      </c>
    </row>
    <row r="170" spans="1:85" x14ac:dyDescent="0.25">
      <c r="A170" s="320" t="s">
        <v>1251</v>
      </c>
      <c r="B170" s="320" t="s">
        <v>1252</v>
      </c>
      <c r="C170" s="320"/>
      <c r="D170" s="320" t="s">
        <v>736</v>
      </c>
      <c r="E170" s="320">
        <v>2015</v>
      </c>
      <c r="F170" s="404">
        <v>24903</v>
      </c>
      <c r="G170" s="676">
        <v>71161</v>
      </c>
      <c r="H170" s="676">
        <v>377681</v>
      </c>
      <c r="I170" s="676">
        <v>113324</v>
      </c>
      <c r="J170" s="676">
        <v>74873</v>
      </c>
      <c r="K170" s="676">
        <v>151611</v>
      </c>
      <c r="L170" s="676">
        <v>57333</v>
      </c>
      <c r="M170" s="676">
        <v>34370</v>
      </c>
      <c r="N170" s="676">
        <v>32689</v>
      </c>
      <c r="O170" s="676">
        <v>213302</v>
      </c>
      <c r="P170" s="676">
        <v>87741</v>
      </c>
      <c r="Q170" s="676">
        <v>4724</v>
      </c>
      <c r="R170" s="676">
        <v>121795</v>
      </c>
      <c r="S170" s="676">
        <v>20531</v>
      </c>
      <c r="T170" s="676">
        <v>199264</v>
      </c>
      <c r="U170" s="676">
        <v>2051000</v>
      </c>
      <c r="V170" s="676">
        <v>34883</v>
      </c>
      <c r="W170" s="676">
        <v>114646</v>
      </c>
      <c r="X170" s="676">
        <v>40851.480000000003</v>
      </c>
      <c r="Y170" s="676"/>
      <c r="Z170" s="676">
        <v>622228</v>
      </c>
      <c r="AA170" s="676">
        <v>90417</v>
      </c>
      <c r="AB170" s="676">
        <v>3852102</v>
      </c>
      <c r="AC170" s="676">
        <v>74212.039999999994</v>
      </c>
      <c r="AD170" s="676">
        <v>161650</v>
      </c>
      <c r="AE170" s="676">
        <v>248456</v>
      </c>
      <c r="AF170" s="676">
        <v>339465</v>
      </c>
      <c r="AG170" s="676">
        <v>26043</v>
      </c>
      <c r="AH170" s="676">
        <v>63530</v>
      </c>
      <c r="AI170" s="676">
        <v>30480</v>
      </c>
      <c r="AJ170" s="676">
        <v>10085</v>
      </c>
      <c r="AK170" s="676">
        <v>1825524</v>
      </c>
      <c r="AL170" s="676">
        <v>17387</v>
      </c>
      <c r="AM170" s="676">
        <v>136917</v>
      </c>
      <c r="AN170" s="676"/>
      <c r="AO170" s="676">
        <v>464268</v>
      </c>
      <c r="AP170" s="676">
        <v>325019</v>
      </c>
      <c r="AQ170" s="676">
        <v>619596</v>
      </c>
      <c r="AR170" s="676">
        <v>198786</v>
      </c>
      <c r="AS170" s="676">
        <v>207742</v>
      </c>
      <c r="AT170" s="676">
        <v>405873.45</v>
      </c>
      <c r="AU170" s="676">
        <v>160945</v>
      </c>
      <c r="AV170" s="676">
        <v>186207</v>
      </c>
      <c r="AW170" s="676">
        <v>16882</v>
      </c>
      <c r="AX170" s="676">
        <v>18803</v>
      </c>
      <c r="AY170" s="676">
        <v>30008</v>
      </c>
      <c r="AZ170" s="676">
        <v>36024</v>
      </c>
      <c r="BA170" s="676">
        <v>168495</v>
      </c>
      <c r="BB170" s="676">
        <v>44869</v>
      </c>
      <c r="BC170" s="676">
        <v>482005</v>
      </c>
      <c r="BD170" s="676">
        <v>787000</v>
      </c>
      <c r="BE170" s="676">
        <v>155597.29999999999</v>
      </c>
      <c r="BF170" s="676">
        <v>12416000</v>
      </c>
      <c r="BG170" s="676">
        <v>11493000</v>
      </c>
      <c r="BH170" s="676"/>
      <c r="BI170" s="676">
        <v>2309341</v>
      </c>
      <c r="BJ170" s="676">
        <v>28569</v>
      </c>
      <c r="BK170" s="676">
        <v>42654</v>
      </c>
      <c r="BL170" s="676">
        <v>32168</v>
      </c>
      <c r="BM170" s="676">
        <v>155000</v>
      </c>
      <c r="BN170" s="676">
        <v>294427</v>
      </c>
      <c r="BO170" s="676">
        <v>52851</v>
      </c>
      <c r="BP170" s="676">
        <v>127539</v>
      </c>
      <c r="BQ170" s="676">
        <v>38716</v>
      </c>
      <c r="BR170" s="676">
        <v>90222</v>
      </c>
      <c r="BS170" s="676">
        <v>124595</v>
      </c>
      <c r="BT170" s="676">
        <v>419416</v>
      </c>
      <c r="BU170" s="676">
        <v>10466</v>
      </c>
      <c r="BV170" s="676">
        <v>13022</v>
      </c>
      <c r="BW170" s="676">
        <v>590264</v>
      </c>
      <c r="BX170" s="676">
        <v>250481</v>
      </c>
      <c r="BY170" s="676">
        <v>136276</v>
      </c>
      <c r="BZ170" s="676">
        <v>265000</v>
      </c>
      <c r="CA170" s="676">
        <v>184928.06</v>
      </c>
      <c r="CB170" s="676">
        <v>596501.59</v>
      </c>
      <c r="CC170" s="676">
        <v>3149000</v>
      </c>
      <c r="CD170" s="676">
        <v>11917</v>
      </c>
      <c r="CE170" s="676">
        <v>12679000</v>
      </c>
      <c r="CF170" s="676">
        <v>1644000</v>
      </c>
      <c r="CG170" s="676"/>
    </row>
    <row r="171" spans="1:85" x14ac:dyDescent="0.25">
      <c r="A171" s="320" t="s">
        <v>1253</v>
      </c>
      <c r="B171" s="320" t="s">
        <v>1254</v>
      </c>
      <c r="C171" s="320"/>
      <c r="D171" s="320" t="s">
        <v>738</v>
      </c>
      <c r="E171" s="320">
        <v>2015</v>
      </c>
      <c r="F171" s="404">
        <v>39662</v>
      </c>
      <c r="G171" s="676">
        <v>273375</v>
      </c>
      <c r="H171" s="676">
        <v>30270</v>
      </c>
      <c r="I171" s="676">
        <v>297436</v>
      </c>
      <c r="J171" s="676">
        <v>19548</v>
      </c>
      <c r="K171" s="676">
        <v>81362</v>
      </c>
      <c r="L171" s="676">
        <v>77544</v>
      </c>
      <c r="M171" s="676">
        <v>2956</v>
      </c>
      <c r="N171" s="676">
        <v>17463</v>
      </c>
      <c r="O171" s="676">
        <v>11435</v>
      </c>
      <c r="P171" s="676">
        <v>14905</v>
      </c>
      <c r="Q171" s="676">
        <v>49468</v>
      </c>
      <c r="R171" s="676">
        <v>186550</v>
      </c>
      <c r="S171" s="676">
        <v>74958</v>
      </c>
      <c r="T171" s="676">
        <v>155391</v>
      </c>
      <c r="U171" s="676"/>
      <c r="V171" s="676">
        <v>3514</v>
      </c>
      <c r="W171" s="676">
        <v>88395</v>
      </c>
      <c r="X171" s="676">
        <v>32325.9</v>
      </c>
      <c r="Y171" s="676">
        <v>215153</v>
      </c>
      <c r="Z171" s="676">
        <v>2687478</v>
      </c>
      <c r="AA171" s="676">
        <v>108416</v>
      </c>
      <c r="AB171" s="676">
        <v>6534450</v>
      </c>
      <c r="AC171" s="676">
        <v>30482.95</v>
      </c>
      <c r="AD171" s="676">
        <v>363399</v>
      </c>
      <c r="AE171" s="676">
        <v>108477</v>
      </c>
      <c r="AF171" s="676">
        <v>574034</v>
      </c>
      <c r="AG171" s="676">
        <v>87188</v>
      </c>
      <c r="AH171" s="676">
        <v>73650</v>
      </c>
      <c r="AI171" s="676">
        <v>25611</v>
      </c>
      <c r="AJ171" s="676">
        <v>6412</v>
      </c>
      <c r="AK171" s="676">
        <v>99874</v>
      </c>
      <c r="AL171" s="676">
        <v>10811</v>
      </c>
      <c r="AM171" s="676">
        <v>28443</v>
      </c>
      <c r="AN171" s="676"/>
      <c r="AO171" s="676">
        <v>55115</v>
      </c>
      <c r="AP171" s="676">
        <v>3790</v>
      </c>
      <c r="AQ171" s="676">
        <v>16470</v>
      </c>
      <c r="AR171" s="676">
        <v>16245</v>
      </c>
      <c r="AS171" s="676">
        <v>17617</v>
      </c>
      <c r="AT171" s="676">
        <v>113864.04</v>
      </c>
      <c r="AU171" s="676">
        <v>18589</v>
      </c>
      <c r="AV171" s="676">
        <v>40858</v>
      </c>
      <c r="AW171" s="676">
        <v>25328</v>
      </c>
      <c r="AX171" s="676">
        <v>375637</v>
      </c>
      <c r="AY171" s="676">
        <v>616</v>
      </c>
      <c r="AZ171" s="676">
        <v>55711</v>
      </c>
      <c r="BA171" s="676">
        <v>10073</v>
      </c>
      <c r="BB171" s="676">
        <v>57905</v>
      </c>
      <c r="BC171" s="676">
        <v>71965</v>
      </c>
      <c r="BD171" s="676"/>
      <c r="BE171" s="676">
        <v>39722.449999999997</v>
      </c>
      <c r="BF171" s="676"/>
      <c r="BG171" s="676"/>
      <c r="BH171" s="676"/>
      <c r="BI171" s="676">
        <v>914809</v>
      </c>
      <c r="BJ171" s="676">
        <v>76513</v>
      </c>
      <c r="BK171" s="676">
        <v>34824</v>
      </c>
      <c r="BL171" s="676">
        <v>97700</v>
      </c>
      <c r="BM171" s="676"/>
      <c r="BN171" s="676">
        <v>36502</v>
      </c>
      <c r="BO171" s="676">
        <v>18260</v>
      </c>
      <c r="BP171" s="676">
        <v>16028</v>
      </c>
      <c r="BQ171" s="676">
        <v>62238</v>
      </c>
      <c r="BR171" s="676">
        <v>31910</v>
      </c>
      <c r="BS171" s="676">
        <v>35837499</v>
      </c>
      <c r="BT171" s="676">
        <v>478098</v>
      </c>
      <c r="BU171" s="676">
        <v>1372</v>
      </c>
      <c r="BV171" s="676">
        <v>59745</v>
      </c>
      <c r="BW171" s="676">
        <v>281985</v>
      </c>
      <c r="BX171" s="676">
        <v>118919</v>
      </c>
      <c r="BY171" s="676">
        <v>3721</v>
      </c>
      <c r="BZ171" s="676"/>
      <c r="CA171" s="676">
        <v>10863.04</v>
      </c>
      <c r="CB171" s="676">
        <v>24036.31</v>
      </c>
      <c r="CC171" s="676">
        <v>217000</v>
      </c>
      <c r="CD171" s="676">
        <v>21893</v>
      </c>
      <c r="CE171" s="676"/>
      <c r="CF171" s="676"/>
      <c r="CG171" s="676"/>
    </row>
    <row r="172" spans="1:85" x14ac:dyDescent="0.25">
      <c r="A172" s="320" t="s">
        <v>1255</v>
      </c>
      <c r="B172" s="320" t="s">
        <v>1256</v>
      </c>
      <c r="C172" s="320"/>
      <c r="D172" s="320" t="s">
        <v>740</v>
      </c>
      <c r="E172" s="320">
        <v>2015</v>
      </c>
      <c r="F172" s="404">
        <v>106346</v>
      </c>
      <c r="G172" s="676">
        <v>733412</v>
      </c>
      <c r="H172" s="676">
        <v>1776067</v>
      </c>
      <c r="I172" s="676">
        <v>2531858</v>
      </c>
      <c r="J172" s="676">
        <v>219645</v>
      </c>
      <c r="K172" s="676">
        <v>287911</v>
      </c>
      <c r="L172" s="676">
        <v>403881</v>
      </c>
      <c r="M172" s="676">
        <v>270924</v>
      </c>
      <c r="N172" s="676">
        <v>3621</v>
      </c>
      <c r="O172" s="676">
        <v>362521</v>
      </c>
      <c r="P172" s="676">
        <v>588669</v>
      </c>
      <c r="Q172" s="676">
        <v>1059197</v>
      </c>
      <c r="R172" s="676">
        <v>2952557</v>
      </c>
      <c r="S172" s="676">
        <v>141258</v>
      </c>
      <c r="T172" s="676">
        <v>4582453</v>
      </c>
      <c r="U172" s="676">
        <v>97952000</v>
      </c>
      <c r="V172" s="676">
        <v>147951</v>
      </c>
      <c r="W172" s="676">
        <v>264063</v>
      </c>
      <c r="X172" s="676">
        <v>6592466.6900000004</v>
      </c>
      <c r="Y172" s="676">
        <v>9072</v>
      </c>
      <c r="Z172" s="676">
        <v>14341655</v>
      </c>
      <c r="AA172" s="676">
        <v>636833</v>
      </c>
      <c r="AB172" s="676">
        <v>13405872</v>
      </c>
      <c r="AC172" s="676">
        <v>308245.43</v>
      </c>
      <c r="AD172" s="676">
        <v>859986</v>
      </c>
      <c r="AE172" s="676">
        <v>809469</v>
      </c>
      <c r="AF172" s="676">
        <v>12559410</v>
      </c>
      <c r="AG172" s="676">
        <v>225193</v>
      </c>
      <c r="AH172" s="676">
        <v>566572</v>
      </c>
      <c r="AI172" s="676">
        <v>178821</v>
      </c>
      <c r="AJ172" s="676">
        <v>378694</v>
      </c>
      <c r="AK172" s="676">
        <v>7706308</v>
      </c>
      <c r="AL172" s="676">
        <v>229646</v>
      </c>
      <c r="AM172" s="676">
        <v>1318995</v>
      </c>
      <c r="AN172" s="676">
        <v>96625000</v>
      </c>
      <c r="AO172" s="676">
        <v>2922945</v>
      </c>
      <c r="AP172" s="676">
        <v>614243</v>
      </c>
      <c r="AQ172" s="676">
        <v>3149484</v>
      </c>
      <c r="AR172" s="676">
        <v>240495</v>
      </c>
      <c r="AS172" s="676">
        <v>144866</v>
      </c>
      <c r="AT172" s="676">
        <v>2101496.52</v>
      </c>
      <c r="AU172" s="676">
        <v>78668</v>
      </c>
      <c r="AV172" s="676">
        <v>716211</v>
      </c>
      <c r="AW172" s="676">
        <v>78153</v>
      </c>
      <c r="AX172" s="676">
        <v>197017</v>
      </c>
      <c r="AY172" s="676">
        <v>142808</v>
      </c>
      <c r="AZ172" s="676">
        <v>62463</v>
      </c>
      <c r="BA172" s="676">
        <v>2945222</v>
      </c>
      <c r="BB172" s="676">
        <v>990774</v>
      </c>
      <c r="BC172" s="676">
        <v>3815120</v>
      </c>
      <c r="BD172" s="676">
        <v>61681103</v>
      </c>
      <c r="BE172" s="676">
        <v>173042.78</v>
      </c>
      <c r="BF172" s="676">
        <v>26359000</v>
      </c>
      <c r="BG172" s="676">
        <v>216114000</v>
      </c>
      <c r="BH172" s="676">
        <v>9007000</v>
      </c>
      <c r="BI172" s="676">
        <v>21311993</v>
      </c>
      <c r="BJ172" s="676">
        <v>6879669</v>
      </c>
      <c r="BK172" s="676">
        <v>282073</v>
      </c>
      <c r="BL172" s="676">
        <v>1144989</v>
      </c>
      <c r="BM172" s="676">
        <v>3905000</v>
      </c>
      <c r="BN172" s="676">
        <v>2601996</v>
      </c>
      <c r="BO172" s="676">
        <v>115921</v>
      </c>
      <c r="BP172" s="676">
        <v>107119</v>
      </c>
      <c r="BQ172" s="676">
        <v>276587</v>
      </c>
      <c r="BR172" s="676">
        <v>191998</v>
      </c>
      <c r="BS172" s="676">
        <v>586267</v>
      </c>
      <c r="BT172" s="676">
        <v>17098254</v>
      </c>
      <c r="BU172" s="676">
        <v>60455</v>
      </c>
      <c r="BV172" s="676">
        <v>152932</v>
      </c>
      <c r="BW172" s="676">
        <v>28858575</v>
      </c>
      <c r="BX172" s="676">
        <v>1430118</v>
      </c>
      <c r="BY172" s="676">
        <v>371282</v>
      </c>
      <c r="BZ172" s="676">
        <v>2551000</v>
      </c>
      <c r="CA172" s="676">
        <v>1254792.6499999999</v>
      </c>
      <c r="CB172" s="676">
        <v>2320152.96</v>
      </c>
      <c r="CC172" s="676">
        <v>3670000</v>
      </c>
      <c r="CD172" s="676">
        <v>79624</v>
      </c>
      <c r="CE172" s="676">
        <v>88348000</v>
      </c>
      <c r="CF172" s="676">
        <v>40894000</v>
      </c>
      <c r="CG172" s="676">
        <v>86649000</v>
      </c>
    </row>
    <row r="173" spans="1:85" x14ac:dyDescent="0.25">
      <c r="A173" s="320" t="s">
        <v>1257</v>
      </c>
      <c r="B173" s="320" t="s">
        <v>1258</v>
      </c>
      <c r="C173" s="320"/>
      <c r="D173" s="320" t="s">
        <v>742</v>
      </c>
      <c r="E173" s="320">
        <v>2015</v>
      </c>
      <c r="F173" s="404">
        <v>106346</v>
      </c>
      <c r="G173" s="676">
        <v>657665</v>
      </c>
      <c r="H173" s="676">
        <v>1776067</v>
      </c>
      <c r="I173" s="676">
        <v>2533606</v>
      </c>
      <c r="J173" s="676">
        <v>219645</v>
      </c>
      <c r="K173" s="676">
        <v>287911</v>
      </c>
      <c r="L173" s="676">
        <v>1364472</v>
      </c>
      <c r="M173" s="676">
        <v>270924</v>
      </c>
      <c r="N173" s="676">
        <v>3621</v>
      </c>
      <c r="O173" s="676">
        <v>362521</v>
      </c>
      <c r="P173" s="676">
        <v>588669</v>
      </c>
      <c r="Q173" s="676">
        <v>1059197</v>
      </c>
      <c r="R173" s="676">
        <v>2952557</v>
      </c>
      <c r="S173" s="676">
        <v>141258</v>
      </c>
      <c r="T173" s="676">
        <v>4582453</v>
      </c>
      <c r="U173" s="676"/>
      <c r="V173" s="676">
        <v>147951</v>
      </c>
      <c r="W173" s="676">
        <v>264063</v>
      </c>
      <c r="X173" s="676">
        <v>6592466.6900000004</v>
      </c>
      <c r="Y173" s="676">
        <v>9072</v>
      </c>
      <c r="Z173" s="676">
        <v>20029423</v>
      </c>
      <c r="AA173" s="676">
        <v>636833</v>
      </c>
      <c r="AB173" s="676">
        <v>14681730</v>
      </c>
      <c r="AC173" s="676">
        <v>308245.43</v>
      </c>
      <c r="AD173" s="676">
        <v>1120521</v>
      </c>
      <c r="AE173" s="676">
        <v>1898515</v>
      </c>
      <c r="AF173" s="676">
        <v>12862842</v>
      </c>
      <c r="AG173" s="676">
        <v>225193</v>
      </c>
      <c r="AH173" s="676">
        <v>566572</v>
      </c>
      <c r="AI173" s="676">
        <v>178821</v>
      </c>
      <c r="AJ173" s="676">
        <v>378694</v>
      </c>
      <c r="AK173" s="676">
        <v>7706308</v>
      </c>
      <c r="AL173" s="676">
        <v>229646</v>
      </c>
      <c r="AM173" s="676">
        <v>1318995</v>
      </c>
      <c r="AN173" s="676">
        <v>96625000</v>
      </c>
      <c r="AO173" s="676">
        <v>2922945</v>
      </c>
      <c r="AP173" s="676">
        <v>614243</v>
      </c>
      <c r="AQ173" s="676">
        <v>3149484</v>
      </c>
      <c r="AR173" s="676">
        <v>240495</v>
      </c>
      <c r="AS173" s="676">
        <v>142618</v>
      </c>
      <c r="AT173" s="676">
        <v>2101496.52</v>
      </c>
      <c r="AU173" s="676">
        <v>78668</v>
      </c>
      <c r="AV173" s="676">
        <v>716211</v>
      </c>
      <c r="AW173" s="676">
        <v>78153</v>
      </c>
      <c r="AX173" s="676">
        <v>197017</v>
      </c>
      <c r="AY173" s="676">
        <v>142808</v>
      </c>
      <c r="AZ173" s="676">
        <v>62463</v>
      </c>
      <c r="BA173" s="676">
        <v>2945222</v>
      </c>
      <c r="BB173" s="676">
        <v>990774</v>
      </c>
      <c r="BC173" s="676">
        <v>3814220</v>
      </c>
      <c r="BD173" s="676"/>
      <c r="BE173" s="676">
        <v>173042.78</v>
      </c>
      <c r="BF173" s="676"/>
      <c r="BG173" s="676">
        <v>216114000</v>
      </c>
      <c r="BH173" s="676"/>
      <c r="BI173" s="676">
        <v>21311027</v>
      </c>
      <c r="BJ173" s="676">
        <v>6879669</v>
      </c>
      <c r="BK173" s="676">
        <v>282073</v>
      </c>
      <c r="BL173" s="676">
        <v>1144989</v>
      </c>
      <c r="BM173" s="676"/>
      <c r="BN173" s="676">
        <v>2601996</v>
      </c>
      <c r="BO173" s="676">
        <v>115921</v>
      </c>
      <c r="BP173" s="676">
        <v>107119</v>
      </c>
      <c r="BQ173" s="676">
        <v>276587</v>
      </c>
      <c r="BR173" s="676">
        <v>191998</v>
      </c>
      <c r="BS173" s="676">
        <v>586267</v>
      </c>
      <c r="BT173" s="676">
        <v>15826323</v>
      </c>
      <c r="BU173" s="676">
        <v>60455</v>
      </c>
      <c r="BV173" s="676">
        <v>152932</v>
      </c>
      <c r="BW173" s="676">
        <v>28858575</v>
      </c>
      <c r="BX173" s="676">
        <v>1569652</v>
      </c>
      <c r="BY173" s="676">
        <v>371282</v>
      </c>
      <c r="BZ173" s="676"/>
      <c r="CA173" s="676">
        <v>1254792.6499999999</v>
      </c>
      <c r="CB173" s="676">
        <v>2322684.96</v>
      </c>
      <c r="CC173" s="676">
        <v>3670000</v>
      </c>
      <c r="CD173" s="676">
        <v>79624</v>
      </c>
      <c r="CE173" s="676">
        <v>88348000</v>
      </c>
      <c r="CF173" s="676"/>
      <c r="CG173" s="676"/>
    </row>
    <row r="174" spans="1:85" x14ac:dyDescent="0.25">
      <c r="A174" s="320" t="s">
        <v>1259</v>
      </c>
      <c r="B174" s="320" t="s">
        <v>1260</v>
      </c>
      <c r="C174" s="320"/>
      <c r="D174" s="320" t="s">
        <v>744</v>
      </c>
      <c r="E174" s="320">
        <v>2015</v>
      </c>
      <c r="F174" s="404"/>
      <c r="G174" s="676">
        <v>75747</v>
      </c>
      <c r="H174" s="676"/>
      <c r="I174" s="676">
        <v>-1748</v>
      </c>
      <c r="J174" s="676"/>
      <c r="K174" s="676"/>
      <c r="L174" s="676">
        <v>-960591</v>
      </c>
      <c r="M174" s="676"/>
      <c r="N174" s="676"/>
      <c r="O174" s="676"/>
      <c r="P174" s="676"/>
      <c r="Q174" s="676"/>
      <c r="R174" s="676"/>
      <c r="S174" s="676"/>
      <c r="T174" s="676"/>
      <c r="U174" s="676"/>
      <c r="V174" s="676"/>
      <c r="W174" s="676"/>
      <c r="X174" s="676">
        <v>0</v>
      </c>
      <c r="Y174" s="676"/>
      <c r="Z174" s="676">
        <v>-5687768</v>
      </c>
      <c r="AA174" s="676"/>
      <c r="AB174" s="676">
        <v>-1275858</v>
      </c>
      <c r="AC174" s="676"/>
      <c r="AD174" s="676">
        <v>-260535</v>
      </c>
      <c r="AE174" s="676">
        <v>-1089046</v>
      </c>
      <c r="AF174" s="676">
        <v>-303432</v>
      </c>
      <c r="AG174" s="676"/>
      <c r="AH174" s="676"/>
      <c r="AI174" s="676"/>
      <c r="AJ174" s="676"/>
      <c r="AK174" s="676"/>
      <c r="AL174" s="676"/>
      <c r="AM174" s="676"/>
      <c r="AN174" s="676"/>
      <c r="AO174" s="676"/>
      <c r="AP174" s="676"/>
      <c r="AQ174" s="676">
        <v>0</v>
      </c>
      <c r="AR174" s="676"/>
      <c r="AS174" s="676">
        <v>2248</v>
      </c>
      <c r="AT174" s="676">
        <v>0</v>
      </c>
      <c r="AU174" s="676"/>
      <c r="AV174" s="676"/>
      <c r="AW174" s="676"/>
      <c r="AX174" s="676"/>
      <c r="AY174" s="676"/>
      <c r="AZ174" s="676">
        <v>0</v>
      </c>
      <c r="BA174" s="676"/>
      <c r="BB174" s="676"/>
      <c r="BC174" s="676">
        <v>900</v>
      </c>
      <c r="BD174" s="676"/>
      <c r="BE174" s="676">
        <v>0</v>
      </c>
      <c r="BF174" s="676"/>
      <c r="BG174" s="676"/>
      <c r="BH174" s="676"/>
      <c r="BI174" s="676">
        <v>966</v>
      </c>
      <c r="BJ174" s="676"/>
      <c r="BK174" s="676"/>
      <c r="BL174" s="676"/>
      <c r="BM174" s="676"/>
      <c r="BN174" s="676">
        <v>0</v>
      </c>
      <c r="BO174" s="676"/>
      <c r="BP174" s="676"/>
      <c r="BQ174" s="676"/>
      <c r="BR174" s="676"/>
      <c r="BS174" s="676"/>
      <c r="BT174" s="676">
        <v>1271931</v>
      </c>
      <c r="BU174" s="676"/>
      <c r="BV174" s="676"/>
      <c r="BW174" s="676"/>
      <c r="BX174" s="676">
        <v>-139534</v>
      </c>
      <c r="BY174" s="676"/>
      <c r="BZ174" s="676"/>
      <c r="CA174" s="676"/>
      <c r="CB174" s="676">
        <v>-2532</v>
      </c>
      <c r="CC174" s="676"/>
      <c r="CD174" s="676"/>
      <c r="CE174" s="676"/>
      <c r="CF174" s="676"/>
      <c r="CG174" s="676"/>
    </row>
    <row r="175" spans="1:85" x14ac:dyDescent="0.25">
      <c r="A175" s="320" t="s">
        <v>1261</v>
      </c>
      <c r="B175" s="320" t="s">
        <v>1262</v>
      </c>
      <c r="C175" s="320"/>
      <c r="D175" s="320" t="s">
        <v>746</v>
      </c>
      <c r="E175" s="320">
        <v>2015</v>
      </c>
      <c r="F175" s="404"/>
      <c r="G175" s="676">
        <v>4693</v>
      </c>
      <c r="H175" s="676">
        <v>3985</v>
      </c>
      <c r="I175" s="676">
        <v>487262</v>
      </c>
      <c r="J175" s="676">
        <v>340389</v>
      </c>
      <c r="K175" s="676"/>
      <c r="L175" s="676"/>
      <c r="M175" s="676">
        <v>329</v>
      </c>
      <c r="N175" s="676"/>
      <c r="O175" s="676">
        <v>7170</v>
      </c>
      <c r="P175" s="676">
        <v>19916</v>
      </c>
      <c r="Q175" s="676"/>
      <c r="R175" s="676">
        <v>355</v>
      </c>
      <c r="S175" s="676">
        <v>643586</v>
      </c>
      <c r="T175" s="676">
        <v>15160</v>
      </c>
      <c r="U175" s="676"/>
      <c r="V175" s="676">
        <v>7835</v>
      </c>
      <c r="W175" s="676">
        <v>1547193</v>
      </c>
      <c r="X175" s="676">
        <v>93001.33</v>
      </c>
      <c r="Y175" s="676"/>
      <c r="Z175" s="676">
        <v>69310</v>
      </c>
      <c r="AA175" s="676">
        <v>60732</v>
      </c>
      <c r="AB175" s="676">
        <v>580780</v>
      </c>
      <c r="AC175" s="676">
        <v>509.79</v>
      </c>
      <c r="AD175" s="676">
        <v>845898</v>
      </c>
      <c r="AE175" s="676">
        <v>3172</v>
      </c>
      <c r="AF175" s="676">
        <v>44547</v>
      </c>
      <c r="AG175" s="676"/>
      <c r="AH175" s="676"/>
      <c r="AI175" s="676"/>
      <c r="AJ175" s="676"/>
      <c r="AK175" s="676"/>
      <c r="AL175" s="676"/>
      <c r="AM175" s="676">
        <v>100896</v>
      </c>
      <c r="AN175" s="676"/>
      <c r="AO175" s="676"/>
      <c r="AP175" s="676">
        <v>205827</v>
      </c>
      <c r="AQ175" s="676">
        <v>26107</v>
      </c>
      <c r="AR175" s="676">
        <v>7683</v>
      </c>
      <c r="AS175" s="676">
        <v>78717</v>
      </c>
      <c r="AT175" s="676">
        <v>4674583.58</v>
      </c>
      <c r="AU175" s="676">
        <v>26782</v>
      </c>
      <c r="AV175" s="676">
        <v>158719</v>
      </c>
      <c r="AW175" s="676"/>
      <c r="AX175" s="676"/>
      <c r="AY175" s="676">
        <v>1207</v>
      </c>
      <c r="AZ175" s="676">
        <v>17652</v>
      </c>
      <c r="BA175" s="676">
        <v>240</v>
      </c>
      <c r="BB175" s="676">
        <v>13591</v>
      </c>
      <c r="BC175" s="676"/>
      <c r="BD175" s="676"/>
      <c r="BE175" s="676">
        <v>0</v>
      </c>
      <c r="BF175" s="676"/>
      <c r="BG175" s="676">
        <v>450867000</v>
      </c>
      <c r="BH175" s="676"/>
      <c r="BI175" s="676">
        <v>174003</v>
      </c>
      <c r="BJ175" s="676">
        <v>1193</v>
      </c>
      <c r="BK175" s="676"/>
      <c r="BL175" s="676">
        <v>213</v>
      </c>
      <c r="BM175" s="676"/>
      <c r="BN175" s="676">
        <v>0</v>
      </c>
      <c r="BO175" s="676"/>
      <c r="BP175" s="676"/>
      <c r="BQ175" s="676">
        <v>97281</v>
      </c>
      <c r="BR175" s="676"/>
      <c r="BS175" s="676"/>
      <c r="BT175" s="676">
        <v>505957</v>
      </c>
      <c r="BU175" s="676"/>
      <c r="BV175" s="676"/>
      <c r="BW175" s="676">
        <v>188619</v>
      </c>
      <c r="BX175" s="676">
        <v>122941</v>
      </c>
      <c r="BY175" s="676">
        <v>219408</v>
      </c>
      <c r="BZ175" s="676"/>
      <c r="CA175" s="676"/>
      <c r="CB175" s="676">
        <v>0</v>
      </c>
      <c r="CC175" s="676"/>
      <c r="CD175" s="676">
        <v>18478</v>
      </c>
      <c r="CE175" s="676"/>
      <c r="CF175" s="676"/>
      <c r="CG175" s="676"/>
    </row>
    <row r="176" spans="1:85" x14ac:dyDescent="0.25">
      <c r="A176" s="320" t="s">
        <v>1223</v>
      </c>
      <c r="B176" s="320" t="s">
        <v>1263</v>
      </c>
      <c r="C176" s="320"/>
      <c r="D176" s="320" t="s">
        <v>748</v>
      </c>
      <c r="E176" s="320">
        <v>2015</v>
      </c>
      <c r="F176" s="404">
        <v>2850</v>
      </c>
      <c r="G176" s="676">
        <v>24347</v>
      </c>
      <c r="H176" s="676">
        <v>-23728</v>
      </c>
      <c r="I176" s="676">
        <v>5139</v>
      </c>
      <c r="J176" s="676">
        <v>22345</v>
      </c>
      <c r="K176" s="676">
        <v>-546</v>
      </c>
      <c r="L176" s="676">
        <v>7821</v>
      </c>
      <c r="M176" s="676">
        <v>-284</v>
      </c>
      <c r="N176" s="676">
        <v>168095</v>
      </c>
      <c r="O176" s="676">
        <v>-210138</v>
      </c>
      <c r="P176" s="676">
        <v>80094</v>
      </c>
      <c r="Q176" s="676">
        <v>-1480</v>
      </c>
      <c r="R176" s="676">
        <v>2150404</v>
      </c>
      <c r="S176" s="676">
        <v>50377</v>
      </c>
      <c r="T176" s="676">
        <v>-6916</v>
      </c>
      <c r="U176" s="676">
        <v>3602000</v>
      </c>
      <c r="V176" s="676">
        <v>11832</v>
      </c>
      <c r="W176" s="676">
        <v>-288</v>
      </c>
      <c r="X176" s="676">
        <v>-58.52</v>
      </c>
      <c r="Y176" s="676">
        <v>319936</v>
      </c>
      <c r="Z176" s="676">
        <v>3636</v>
      </c>
      <c r="AA176" s="676">
        <v>138922</v>
      </c>
      <c r="AB176" s="676">
        <v>-78635</v>
      </c>
      <c r="AC176" s="676">
        <v>298.42</v>
      </c>
      <c r="AD176" s="676">
        <v>468</v>
      </c>
      <c r="AE176" s="676">
        <v>2244</v>
      </c>
      <c r="AF176" s="676">
        <v>74612</v>
      </c>
      <c r="AG176" s="676">
        <v>10845</v>
      </c>
      <c r="AH176" s="676">
        <v>11</v>
      </c>
      <c r="AI176" s="676">
        <v>1530</v>
      </c>
      <c r="AJ176" s="676"/>
      <c r="AK176" s="676">
        <v>771333</v>
      </c>
      <c r="AL176" s="676">
        <v>337558</v>
      </c>
      <c r="AM176" s="676">
        <v>53436</v>
      </c>
      <c r="AN176" s="676"/>
      <c r="AO176" s="676"/>
      <c r="AP176" s="676">
        <v>-3878</v>
      </c>
      <c r="AQ176" s="676">
        <v>-2400</v>
      </c>
      <c r="AR176" s="676">
        <v>18710</v>
      </c>
      <c r="AS176" s="676">
        <v>17008</v>
      </c>
      <c r="AT176" s="676">
        <v>25663.33</v>
      </c>
      <c r="AU176" s="676">
        <v>865</v>
      </c>
      <c r="AV176" s="676">
        <v>-671</v>
      </c>
      <c r="AW176" s="676">
        <v>367</v>
      </c>
      <c r="AX176" s="676">
        <v>12557</v>
      </c>
      <c r="AY176" s="676">
        <v>440523</v>
      </c>
      <c r="AZ176" s="676">
        <v>0</v>
      </c>
      <c r="BA176" s="676"/>
      <c r="BB176" s="676">
        <v>57096</v>
      </c>
      <c r="BC176" s="676">
        <v>30468</v>
      </c>
      <c r="BD176" s="676"/>
      <c r="BE176" s="676">
        <v>1214015.6399999999</v>
      </c>
      <c r="BF176" s="676"/>
      <c r="BG176" s="676"/>
      <c r="BH176" s="676">
        <v>11397000</v>
      </c>
      <c r="BI176" s="676">
        <v>-52469</v>
      </c>
      <c r="BJ176" s="676">
        <v>-150</v>
      </c>
      <c r="BK176" s="676">
        <v>2623</v>
      </c>
      <c r="BL176" s="676">
        <v>28392</v>
      </c>
      <c r="BM176" s="676"/>
      <c r="BN176" s="676">
        <v>918</v>
      </c>
      <c r="BO176" s="676"/>
      <c r="BP176" s="676">
        <v>-3951</v>
      </c>
      <c r="BQ176" s="676">
        <v>-13097</v>
      </c>
      <c r="BR176" s="676">
        <v>2384</v>
      </c>
      <c r="BS176" s="676">
        <v>159293</v>
      </c>
      <c r="BT176" s="676">
        <v>9811</v>
      </c>
      <c r="BU176" s="676">
        <v>12653</v>
      </c>
      <c r="BV176" s="676">
        <v>223887</v>
      </c>
      <c r="BW176" s="676">
        <v>1518</v>
      </c>
      <c r="BX176" s="676">
        <v>-172371</v>
      </c>
      <c r="BY176" s="676"/>
      <c r="BZ176" s="676"/>
      <c r="CA176" s="676"/>
      <c r="CB176" s="676">
        <v>0</v>
      </c>
      <c r="CC176" s="676"/>
      <c r="CD176" s="676"/>
      <c r="CE176" s="676"/>
      <c r="CF176" s="676"/>
      <c r="CG176" s="676"/>
    </row>
    <row r="177" spans="1:85" x14ac:dyDescent="0.25">
      <c r="A177" s="320" t="s">
        <v>1264</v>
      </c>
      <c r="B177" s="320" t="s">
        <v>1265</v>
      </c>
      <c r="C177" s="320"/>
      <c r="D177" s="320" t="s">
        <v>750</v>
      </c>
      <c r="E177" s="320">
        <v>2015</v>
      </c>
      <c r="F177" s="404">
        <v>13878</v>
      </c>
      <c r="G177" s="676">
        <v>38269</v>
      </c>
      <c r="H177" s="676">
        <v>731834</v>
      </c>
      <c r="I177" s="676">
        <v>287247</v>
      </c>
      <c r="J177" s="676">
        <v>135163</v>
      </c>
      <c r="K177" s="676">
        <v>19900</v>
      </c>
      <c r="L177" s="676">
        <v>35381</v>
      </c>
      <c r="M177" s="676">
        <v>90387</v>
      </c>
      <c r="N177" s="676">
        <v>23648</v>
      </c>
      <c r="O177" s="676">
        <v>1004796</v>
      </c>
      <c r="P177" s="676">
        <v>144043</v>
      </c>
      <c r="Q177" s="676">
        <v>10434</v>
      </c>
      <c r="R177" s="676">
        <v>77706</v>
      </c>
      <c r="S177" s="676">
        <v>15723215</v>
      </c>
      <c r="T177" s="676">
        <v>839604</v>
      </c>
      <c r="U177" s="676">
        <v>2529000</v>
      </c>
      <c r="V177" s="676">
        <v>66328</v>
      </c>
      <c r="W177" s="676">
        <v>225407</v>
      </c>
      <c r="X177" s="676">
        <v>96463.44</v>
      </c>
      <c r="Y177" s="676">
        <v>168846</v>
      </c>
      <c r="Z177" s="676">
        <v>89554276</v>
      </c>
      <c r="AA177" s="676">
        <v>39910</v>
      </c>
      <c r="AB177" s="676">
        <v>5085391</v>
      </c>
      <c r="AC177" s="676">
        <v>145761.74</v>
      </c>
      <c r="AD177" s="676">
        <v>602905</v>
      </c>
      <c r="AE177" s="676">
        <v>85228</v>
      </c>
      <c r="AF177" s="676">
        <v>272308</v>
      </c>
      <c r="AG177" s="676">
        <v>21514</v>
      </c>
      <c r="AH177" s="676">
        <v>60527</v>
      </c>
      <c r="AI177" s="676">
        <v>21606</v>
      </c>
      <c r="AJ177" s="676">
        <v>26622</v>
      </c>
      <c r="AK177" s="676">
        <v>6508400</v>
      </c>
      <c r="AL177" s="676">
        <v>73425</v>
      </c>
      <c r="AM177" s="676">
        <v>451108</v>
      </c>
      <c r="AN177" s="676">
        <v>6099000</v>
      </c>
      <c r="AO177" s="676">
        <v>29898</v>
      </c>
      <c r="AP177" s="676">
        <v>377173</v>
      </c>
      <c r="AQ177" s="676">
        <v>125901</v>
      </c>
      <c r="AR177" s="676">
        <v>306296</v>
      </c>
      <c r="AS177" s="676">
        <v>195387</v>
      </c>
      <c r="AT177" s="676">
        <v>76953.679999999993</v>
      </c>
      <c r="AU177" s="676">
        <v>63363</v>
      </c>
      <c r="AV177" s="676">
        <v>34964</v>
      </c>
      <c r="AW177" s="676">
        <v>9598</v>
      </c>
      <c r="AX177" s="676">
        <v>16525</v>
      </c>
      <c r="AY177" s="676">
        <v>70420</v>
      </c>
      <c r="AZ177" s="676">
        <v>613351</v>
      </c>
      <c r="BA177" s="676">
        <v>113426</v>
      </c>
      <c r="BB177" s="676">
        <v>271576</v>
      </c>
      <c r="BC177" s="676">
        <v>714636</v>
      </c>
      <c r="BD177" s="676">
        <v>3530811</v>
      </c>
      <c r="BE177" s="676">
        <v>545022.94999999995</v>
      </c>
      <c r="BF177" s="676">
        <v>8107000</v>
      </c>
      <c r="BG177" s="676">
        <v>46902000</v>
      </c>
      <c r="BH177" s="676">
        <v>4178000</v>
      </c>
      <c r="BI177" s="676">
        <v>16685514</v>
      </c>
      <c r="BJ177" s="676">
        <v>3067347</v>
      </c>
      <c r="BK177" s="676">
        <v>185242</v>
      </c>
      <c r="BL177" s="676">
        <v>141925</v>
      </c>
      <c r="BM177" s="676">
        <v>10792000</v>
      </c>
      <c r="BN177" s="676">
        <v>82934</v>
      </c>
      <c r="BO177" s="676">
        <v>9304</v>
      </c>
      <c r="BP177" s="676">
        <v>40328</v>
      </c>
      <c r="BQ177" s="676">
        <v>86223</v>
      </c>
      <c r="BR177" s="676">
        <v>10444</v>
      </c>
      <c r="BS177" s="676">
        <v>323730937</v>
      </c>
      <c r="BT177" s="676">
        <v>1707415</v>
      </c>
      <c r="BU177" s="676">
        <v>16013</v>
      </c>
      <c r="BV177" s="676">
        <v>14766</v>
      </c>
      <c r="BW177" s="676">
        <v>5006147</v>
      </c>
      <c r="BX177" s="676">
        <v>905394</v>
      </c>
      <c r="BY177" s="676">
        <v>245246</v>
      </c>
      <c r="BZ177" s="676">
        <v>511000</v>
      </c>
      <c r="CA177" s="676">
        <v>29468.799999999999</v>
      </c>
      <c r="CB177" s="676">
        <v>221709.11</v>
      </c>
      <c r="CC177" s="676">
        <v>20967000</v>
      </c>
      <c r="CD177" s="676">
        <v>955095</v>
      </c>
      <c r="CE177" s="676">
        <v>-9614000</v>
      </c>
      <c r="CF177" s="676">
        <v>4964000</v>
      </c>
      <c r="CG177" s="676"/>
    </row>
    <row r="178" spans="1:85" x14ac:dyDescent="0.25">
      <c r="A178" s="320" t="s">
        <v>1266</v>
      </c>
      <c r="B178" s="320" t="s">
        <v>1424</v>
      </c>
      <c r="C178" s="320" t="s">
        <v>1425</v>
      </c>
      <c r="D178" s="320" t="s">
        <v>752</v>
      </c>
      <c r="E178" s="320">
        <v>2015</v>
      </c>
      <c r="F178" s="404">
        <v>1713</v>
      </c>
      <c r="G178" s="676">
        <v>46716</v>
      </c>
      <c r="H178" s="676">
        <v>278460</v>
      </c>
      <c r="I178" s="676">
        <v>913585</v>
      </c>
      <c r="J178" s="676">
        <v>1623690</v>
      </c>
      <c r="K178" s="676">
        <v>9275</v>
      </c>
      <c r="L178" s="676">
        <v>116053</v>
      </c>
      <c r="M178" s="676">
        <v>11268202</v>
      </c>
      <c r="N178" s="676">
        <v>1557121</v>
      </c>
      <c r="O178" s="676">
        <v>714791</v>
      </c>
      <c r="P178" s="676">
        <v>2245402</v>
      </c>
      <c r="Q178" s="676">
        <v>-1507698</v>
      </c>
      <c r="R178" s="676">
        <v>2641429</v>
      </c>
      <c r="S178" s="676">
        <v>2219017</v>
      </c>
      <c r="T178" s="676">
        <v>1317450</v>
      </c>
      <c r="U178" s="676">
        <v>589669000</v>
      </c>
      <c r="V178" s="676">
        <v>2908494</v>
      </c>
      <c r="W178" s="676">
        <v>263460</v>
      </c>
      <c r="X178" s="676">
        <v>-6015408.75</v>
      </c>
      <c r="Y178" s="676">
        <v>7478193</v>
      </c>
      <c r="Z178" s="676">
        <v>22431607</v>
      </c>
      <c r="AA178" s="676">
        <v>116405</v>
      </c>
      <c r="AB178" s="676">
        <v>10330993</v>
      </c>
      <c r="AC178" s="676">
        <v>-506365.33</v>
      </c>
      <c r="AD178" s="676">
        <v>-1175902</v>
      </c>
      <c r="AE178" s="676">
        <v>2543671</v>
      </c>
      <c r="AF178" s="676">
        <v>-4662661</v>
      </c>
      <c r="AG178" s="676">
        <v>-389508</v>
      </c>
      <c r="AH178" s="676">
        <v>-80487</v>
      </c>
      <c r="AI178" s="676">
        <v>125701</v>
      </c>
      <c r="AJ178" s="676">
        <v>-128204</v>
      </c>
      <c r="AK178" s="676">
        <v>2948511</v>
      </c>
      <c r="AL178" s="676">
        <v>2259539</v>
      </c>
      <c r="AM178" s="676">
        <v>1377226</v>
      </c>
      <c r="AN178" s="676">
        <v>34160000</v>
      </c>
      <c r="AO178" s="676">
        <v>497</v>
      </c>
      <c r="AP178" s="676">
        <v>2982592</v>
      </c>
      <c r="AQ178" s="676">
        <v>1334310</v>
      </c>
      <c r="AR178" s="676">
        <v>-39428</v>
      </c>
      <c r="AS178" s="676">
        <v>392263</v>
      </c>
      <c r="AT178" s="676">
        <v>-6612517.0599999996</v>
      </c>
      <c r="AU178" s="676">
        <v>95597</v>
      </c>
      <c r="AV178" s="676">
        <v>253084</v>
      </c>
      <c r="AW178" s="676">
        <v>36303</v>
      </c>
      <c r="AX178" s="676">
        <v>11358208</v>
      </c>
      <c r="AY178" s="676">
        <v>2851403</v>
      </c>
      <c r="AZ178" s="676">
        <v>25846</v>
      </c>
      <c r="BA178" s="676">
        <v>1159714</v>
      </c>
      <c r="BB178" s="676">
        <v>2412316</v>
      </c>
      <c r="BC178" s="676">
        <v>884177</v>
      </c>
      <c r="BD178" s="676">
        <v>99903058</v>
      </c>
      <c r="BE178" s="676">
        <v>2455777.6</v>
      </c>
      <c r="BF178" s="676">
        <v>6988000</v>
      </c>
      <c r="BG178" s="676">
        <v>200108000</v>
      </c>
      <c r="BH178" s="676">
        <v>-84549000</v>
      </c>
      <c r="BI178" s="676">
        <v>-4326473</v>
      </c>
      <c r="BJ178" s="676">
        <v>3874703</v>
      </c>
      <c r="BK178" s="676">
        <v>6684</v>
      </c>
      <c r="BL178" s="676">
        <v>283050</v>
      </c>
      <c r="BM178" s="676">
        <v>26949000</v>
      </c>
      <c r="BN178" s="676">
        <v>1100393</v>
      </c>
      <c r="BO178" s="676">
        <v>307766</v>
      </c>
      <c r="BP178" s="676">
        <v>149134</v>
      </c>
      <c r="BQ178" s="676">
        <v>213774</v>
      </c>
      <c r="BR178" s="676">
        <v>157201</v>
      </c>
      <c r="BS178" s="676">
        <v>9947505</v>
      </c>
      <c r="BT178" s="676">
        <v>9878624</v>
      </c>
      <c r="BU178" s="676">
        <v>816202</v>
      </c>
      <c r="BV178" s="676">
        <v>1041230</v>
      </c>
      <c r="BW178" s="676">
        <v>5973003</v>
      </c>
      <c r="BX178" s="676">
        <v>657122</v>
      </c>
      <c r="BY178" s="676">
        <v>366087</v>
      </c>
      <c r="BZ178" s="676">
        <v>2302000</v>
      </c>
      <c r="CA178" s="676">
        <v>1303562.57</v>
      </c>
      <c r="CB178" s="676">
        <v>1419309.65</v>
      </c>
      <c r="CC178" s="676">
        <v>7782000</v>
      </c>
      <c r="CD178" s="676">
        <v>17336</v>
      </c>
      <c r="CE178" s="676">
        <v>28808000</v>
      </c>
      <c r="CF178" s="676">
        <v>6352000</v>
      </c>
      <c r="CG178" s="676">
        <v>-3899000</v>
      </c>
    </row>
    <row r="179" spans="1:85" x14ac:dyDescent="0.25">
      <c r="A179" s="320" t="s">
        <v>1220</v>
      </c>
      <c r="B179" s="320" t="s">
        <v>1426</v>
      </c>
      <c r="C179" s="320" t="s">
        <v>1427</v>
      </c>
      <c r="D179" s="320" t="s">
        <v>754</v>
      </c>
      <c r="E179" s="320">
        <v>2015</v>
      </c>
      <c r="F179" s="404">
        <v>747304</v>
      </c>
      <c r="G179" s="676">
        <v>3691417</v>
      </c>
      <c r="H179" s="676">
        <v>-1247187</v>
      </c>
      <c r="I179" s="676">
        <v>-990988</v>
      </c>
      <c r="J179" s="676">
        <v>3018873</v>
      </c>
      <c r="K179" s="676">
        <v>3430698</v>
      </c>
      <c r="L179" s="676">
        <v>2833622</v>
      </c>
      <c r="M179" s="676">
        <v>13705348</v>
      </c>
      <c r="N179" s="676">
        <v>3107487</v>
      </c>
      <c r="O179" s="676">
        <v>8239283</v>
      </c>
      <c r="P179" s="676">
        <v>5499973</v>
      </c>
      <c r="Q179" s="676">
        <v>-268728</v>
      </c>
      <c r="R179" s="676">
        <v>10687634</v>
      </c>
      <c r="S179" s="676">
        <v>3759610</v>
      </c>
      <c r="T179" s="676">
        <v>2561149</v>
      </c>
      <c r="U179" s="676">
        <v>722018000</v>
      </c>
      <c r="V179" s="676">
        <v>4194063</v>
      </c>
      <c r="W179" s="676">
        <v>3308081</v>
      </c>
      <c r="X179" s="676">
        <v>-619922.47</v>
      </c>
      <c r="Y179" s="676">
        <v>7981897</v>
      </c>
      <c r="Z179" s="676">
        <v>1019475</v>
      </c>
      <c r="AA179" s="676">
        <v>2931601</v>
      </c>
      <c r="AB179" s="676">
        <v>97575697</v>
      </c>
      <c r="AC179" s="676">
        <v>3389459.23</v>
      </c>
      <c r="AD179" s="676">
        <v>4803530</v>
      </c>
      <c r="AE179" s="676">
        <v>4924851</v>
      </c>
      <c r="AF179" s="676">
        <v>13609159</v>
      </c>
      <c r="AG179" s="676">
        <v>139726</v>
      </c>
      <c r="AH179" s="676">
        <v>674499</v>
      </c>
      <c r="AI179" s="676">
        <v>625903</v>
      </c>
      <c r="AJ179" s="676">
        <v>-70707</v>
      </c>
      <c r="AK179" s="676">
        <v>54381178</v>
      </c>
      <c r="AL179" s="676">
        <v>3903452</v>
      </c>
      <c r="AM179" s="676">
        <v>4036440</v>
      </c>
      <c r="AN179" s="676">
        <v>96570000</v>
      </c>
      <c r="AO179" s="676">
        <v>25378756</v>
      </c>
      <c r="AP179" s="676">
        <v>19901421</v>
      </c>
      <c r="AQ179" s="676">
        <v>23279205</v>
      </c>
      <c r="AR179" s="676">
        <v>9772734</v>
      </c>
      <c r="AS179" s="676">
        <v>10593621</v>
      </c>
      <c r="AT179" s="676">
        <v>5549664.46</v>
      </c>
      <c r="AU179" s="676">
        <v>9737973</v>
      </c>
      <c r="AV179" s="676">
        <v>2929316</v>
      </c>
      <c r="AW179" s="676">
        <v>542012</v>
      </c>
      <c r="AX179" s="676">
        <v>13054969</v>
      </c>
      <c r="AY179" s="676">
        <v>4994188</v>
      </c>
      <c r="AZ179" s="676">
        <v>-302677</v>
      </c>
      <c r="BA179" s="676">
        <v>852803</v>
      </c>
      <c r="BB179" s="676">
        <v>8154301</v>
      </c>
      <c r="BC179" s="676">
        <v>736532</v>
      </c>
      <c r="BD179" s="676">
        <v>182248531</v>
      </c>
      <c r="BE179" s="676">
        <v>-469779.08</v>
      </c>
      <c r="BF179" s="676">
        <v>195521000</v>
      </c>
      <c r="BG179" s="676">
        <v>497328000</v>
      </c>
      <c r="BH179" s="676">
        <v>-59985000</v>
      </c>
      <c r="BI179" s="676">
        <v>49630812</v>
      </c>
      <c r="BJ179" s="676">
        <v>13891209</v>
      </c>
      <c r="BK179" s="676">
        <v>1873061</v>
      </c>
      <c r="BL179" s="676">
        <v>2635817</v>
      </c>
      <c r="BM179" s="676">
        <v>45500000</v>
      </c>
      <c r="BN179" s="676">
        <v>12923878</v>
      </c>
      <c r="BO179" s="676">
        <v>2802761</v>
      </c>
      <c r="BP179" s="676">
        <v>4111482</v>
      </c>
      <c r="BQ179" s="676">
        <v>838134</v>
      </c>
      <c r="BR179" s="676">
        <v>2172749</v>
      </c>
      <c r="BS179" s="676">
        <v>373998238</v>
      </c>
      <c r="BT179" s="676">
        <v>37167716</v>
      </c>
      <c r="BU179" s="676">
        <v>1502849</v>
      </c>
      <c r="BV179" s="676">
        <v>2148667</v>
      </c>
      <c r="BW179" s="676">
        <v>45253071</v>
      </c>
      <c r="BX179" s="676">
        <v>4814274</v>
      </c>
      <c r="BY179" s="676">
        <v>8386741</v>
      </c>
      <c r="BZ179" s="676">
        <v>14325000</v>
      </c>
      <c r="CA179" s="676">
        <v>9619829.7899999991</v>
      </c>
      <c r="CB179" s="676">
        <v>18266849.670000002</v>
      </c>
      <c r="CC179" s="676">
        <v>39433000</v>
      </c>
      <c r="CD179" s="676">
        <v>393343</v>
      </c>
      <c r="CE179" s="676">
        <v>21064000</v>
      </c>
      <c r="CF179" s="676">
        <v>125717000</v>
      </c>
      <c r="CG179" s="676">
        <v>138385000</v>
      </c>
    </row>
    <row r="180" spans="1:85" x14ac:dyDescent="0.25">
      <c r="A180" s="320" t="s">
        <v>1222</v>
      </c>
      <c r="B180" s="320" t="s">
        <v>1428</v>
      </c>
      <c r="C180" s="320" t="s">
        <v>1429</v>
      </c>
      <c r="D180" s="320" t="s">
        <v>756</v>
      </c>
      <c r="E180" s="320">
        <v>2015</v>
      </c>
      <c r="F180" s="404">
        <v>82</v>
      </c>
      <c r="G180" s="676">
        <v>6871</v>
      </c>
      <c r="H180" s="676">
        <v>726</v>
      </c>
      <c r="I180" s="676">
        <v>2624</v>
      </c>
      <c r="J180" s="676">
        <v>302559</v>
      </c>
      <c r="K180" s="676">
        <v>105</v>
      </c>
      <c r="L180" s="676">
        <v>398</v>
      </c>
      <c r="M180" s="676">
        <v>862000</v>
      </c>
      <c r="N180" s="676">
        <v>28321</v>
      </c>
      <c r="O180" s="676">
        <v>4713</v>
      </c>
      <c r="P180" s="676">
        <v>549</v>
      </c>
      <c r="Q180" s="676">
        <v>19528</v>
      </c>
      <c r="R180" s="676">
        <v>83703</v>
      </c>
      <c r="S180" s="676">
        <v>2770354</v>
      </c>
      <c r="T180" s="676">
        <v>32307</v>
      </c>
      <c r="U180" s="676">
        <v>13338000</v>
      </c>
      <c r="V180" s="676">
        <v>2258</v>
      </c>
      <c r="W180" s="676">
        <v>43</v>
      </c>
      <c r="X180" s="676">
        <v>47.41</v>
      </c>
      <c r="Y180" s="676">
        <v>183</v>
      </c>
      <c r="Z180" s="676">
        <v>850239</v>
      </c>
      <c r="AA180" s="676">
        <v>106</v>
      </c>
      <c r="AB180" s="676">
        <v>47897</v>
      </c>
      <c r="AC180" s="676">
        <v>18.100000000000001</v>
      </c>
      <c r="AD180" s="676">
        <v>85845</v>
      </c>
      <c r="AE180" s="676">
        <v>64212</v>
      </c>
      <c r="AF180" s="676">
        <v>3916</v>
      </c>
      <c r="AG180" s="676">
        <v>9</v>
      </c>
      <c r="AH180" s="676">
        <v>8099</v>
      </c>
      <c r="AI180" s="676">
        <v>3731</v>
      </c>
      <c r="AJ180" s="676">
        <v>11</v>
      </c>
      <c r="AK180" s="676">
        <v>34480</v>
      </c>
      <c r="AL180" s="676">
        <v>288322</v>
      </c>
      <c r="AM180" s="676">
        <v>504161</v>
      </c>
      <c r="AN180" s="676"/>
      <c r="AO180" s="676">
        <v>320628</v>
      </c>
      <c r="AP180" s="676">
        <v>77192</v>
      </c>
      <c r="AQ180" s="676">
        <v>2682</v>
      </c>
      <c r="AR180" s="676">
        <v>1047</v>
      </c>
      <c r="AS180" s="676">
        <v>412</v>
      </c>
      <c r="AT180" s="676">
        <v>365283.23</v>
      </c>
      <c r="AU180" s="676">
        <v>24578</v>
      </c>
      <c r="AV180" s="676">
        <v>2317</v>
      </c>
      <c r="AW180" s="676">
        <v>33</v>
      </c>
      <c r="AX180" s="676">
        <v>4606192</v>
      </c>
      <c r="AY180" s="676">
        <v>3665</v>
      </c>
      <c r="AZ180" s="676">
        <v>1758</v>
      </c>
      <c r="BA180" s="676">
        <v>118025</v>
      </c>
      <c r="BB180" s="676">
        <v>38</v>
      </c>
      <c r="BC180" s="676">
        <v>14057758</v>
      </c>
      <c r="BD180" s="676">
        <v>266303</v>
      </c>
      <c r="BE180" s="676">
        <v>7191</v>
      </c>
      <c r="BF180" s="676">
        <v>1608000</v>
      </c>
      <c r="BG180" s="676">
        <v>24326000</v>
      </c>
      <c r="BH180" s="676">
        <v>550342000</v>
      </c>
      <c r="BI180" s="676">
        <v>8070</v>
      </c>
      <c r="BJ180" s="676">
        <v>4282</v>
      </c>
      <c r="BK180" s="676">
        <v>20249</v>
      </c>
      <c r="BL180" s="676">
        <v>42279</v>
      </c>
      <c r="BM180" s="676">
        <v>47396000</v>
      </c>
      <c r="BN180" s="676">
        <v>67662</v>
      </c>
      <c r="BO180" s="676">
        <v>3726</v>
      </c>
      <c r="BP180" s="676">
        <v>288</v>
      </c>
      <c r="BQ180" s="676">
        <v>1759</v>
      </c>
      <c r="BR180" s="676">
        <v>1330</v>
      </c>
      <c r="BS180" s="676">
        <v>38518</v>
      </c>
      <c r="BT180" s="676">
        <v>444673</v>
      </c>
      <c r="BU180" s="676">
        <v>14016</v>
      </c>
      <c r="BV180" s="676">
        <v>5103</v>
      </c>
      <c r="BW180" s="676">
        <v>269584</v>
      </c>
      <c r="BX180" s="676">
        <v>3</v>
      </c>
      <c r="BY180" s="676">
        <v>11</v>
      </c>
      <c r="BZ180" s="676">
        <v>23378000</v>
      </c>
      <c r="CA180" s="676">
        <v>33479.53</v>
      </c>
      <c r="CB180" s="676">
        <v>55604.08</v>
      </c>
      <c r="CC180" s="676">
        <v>75449000</v>
      </c>
      <c r="CD180" s="676">
        <v>951</v>
      </c>
      <c r="CE180" s="676">
        <v>191000</v>
      </c>
      <c r="CF180" s="676">
        <v>576000</v>
      </c>
      <c r="CG180" s="676">
        <v>555000</v>
      </c>
    </row>
    <row r="181" spans="1:85" x14ac:dyDescent="0.25">
      <c r="A181" s="320" t="s">
        <v>1267</v>
      </c>
      <c r="B181" s="320" t="s">
        <v>1268</v>
      </c>
      <c r="C181" s="320"/>
      <c r="D181" s="320" t="s">
        <v>758</v>
      </c>
      <c r="E181" s="320">
        <v>2015</v>
      </c>
      <c r="F181" s="404"/>
      <c r="G181" s="676"/>
      <c r="H181" s="676"/>
      <c r="I181" s="676"/>
      <c r="J181" s="676"/>
      <c r="K181" s="676"/>
      <c r="L181" s="676"/>
      <c r="M181" s="676">
        <v>130000</v>
      </c>
      <c r="N181" s="676"/>
      <c r="O181" s="676"/>
      <c r="P181" s="676"/>
      <c r="Q181" s="676"/>
      <c r="R181" s="676">
        <v>0</v>
      </c>
      <c r="S181" s="676"/>
      <c r="T181" s="676"/>
      <c r="U181" s="676"/>
      <c r="V181" s="676"/>
      <c r="W181" s="676"/>
      <c r="X181" s="676">
        <v>0</v>
      </c>
      <c r="Y181" s="676"/>
      <c r="Z181" s="676">
        <v>0</v>
      </c>
      <c r="AA181" s="676"/>
      <c r="AB181" s="676"/>
      <c r="AC181" s="676"/>
      <c r="AD181" s="676"/>
      <c r="AE181" s="676"/>
      <c r="AF181" s="676"/>
      <c r="AG181" s="676"/>
      <c r="AH181" s="676"/>
      <c r="AI181" s="676"/>
      <c r="AJ181" s="676"/>
      <c r="AK181" s="676"/>
      <c r="AL181" s="676">
        <v>279762</v>
      </c>
      <c r="AM181" s="676"/>
      <c r="AN181" s="676"/>
      <c r="AO181" s="676"/>
      <c r="AP181" s="676"/>
      <c r="AQ181" s="676">
        <v>0</v>
      </c>
      <c r="AR181" s="676"/>
      <c r="AS181" s="676"/>
      <c r="AT181" s="676">
        <v>0</v>
      </c>
      <c r="AU181" s="676"/>
      <c r="AV181" s="676"/>
      <c r="AW181" s="676"/>
      <c r="AX181" s="676">
        <v>3996280</v>
      </c>
      <c r="AY181" s="676"/>
      <c r="AZ181" s="676">
        <v>0</v>
      </c>
      <c r="BA181" s="676"/>
      <c r="BB181" s="676"/>
      <c r="BC181" s="676">
        <v>14000000</v>
      </c>
      <c r="BD181" s="676"/>
      <c r="BE181" s="676">
        <v>0</v>
      </c>
      <c r="BF181" s="676"/>
      <c r="BG181" s="676"/>
      <c r="BH181" s="676"/>
      <c r="BI181" s="676"/>
      <c r="BJ181" s="676"/>
      <c r="BK181" s="676"/>
      <c r="BL181" s="676"/>
      <c r="BM181" s="676"/>
      <c r="BN181" s="676">
        <v>0</v>
      </c>
      <c r="BO181" s="676"/>
      <c r="BP181" s="676"/>
      <c r="BQ181" s="676"/>
      <c r="BR181" s="676"/>
      <c r="BS181" s="676"/>
      <c r="BT181" s="676"/>
      <c r="BU181" s="676"/>
      <c r="BV181" s="676"/>
      <c r="BW181" s="676"/>
      <c r="BX181" s="676"/>
      <c r="BY181" s="676"/>
      <c r="BZ181" s="676"/>
      <c r="CA181" s="676"/>
      <c r="CB181" s="676">
        <v>0</v>
      </c>
      <c r="CC181" s="676"/>
      <c r="CD181" s="676"/>
      <c r="CE181" s="676"/>
      <c r="CF181" s="676"/>
      <c r="CG181" s="676"/>
    </row>
    <row r="182" spans="1:85" x14ac:dyDescent="0.25">
      <c r="A182" s="320" t="s">
        <v>1269</v>
      </c>
      <c r="B182" s="320" t="s">
        <v>1430</v>
      </c>
      <c r="C182" s="320" t="s">
        <v>1431</v>
      </c>
      <c r="D182" s="320" t="s">
        <v>760</v>
      </c>
      <c r="E182" s="320">
        <v>2015</v>
      </c>
      <c r="F182" s="404"/>
      <c r="G182" s="676"/>
      <c r="H182" s="676"/>
      <c r="I182" s="676"/>
      <c r="J182" s="676">
        <v>302426</v>
      </c>
      <c r="K182" s="676"/>
      <c r="L182" s="676"/>
      <c r="M182" s="676">
        <v>46939</v>
      </c>
      <c r="N182" s="676"/>
      <c r="O182" s="676"/>
      <c r="P182" s="676"/>
      <c r="Q182" s="676"/>
      <c r="R182" s="676"/>
      <c r="S182" s="676"/>
      <c r="T182" s="676"/>
      <c r="U182" s="676">
        <v>675000</v>
      </c>
      <c r="V182" s="676"/>
      <c r="W182" s="676"/>
      <c r="X182" s="676">
        <v>0</v>
      </c>
      <c r="Y182" s="676"/>
      <c r="Z182" s="676">
        <v>0</v>
      </c>
      <c r="AA182" s="676"/>
      <c r="AB182" s="676"/>
      <c r="AC182" s="676"/>
      <c r="AD182" s="676"/>
      <c r="AE182" s="676"/>
      <c r="AF182" s="676"/>
      <c r="AG182" s="676"/>
      <c r="AH182" s="676"/>
      <c r="AI182" s="676"/>
      <c r="AJ182" s="676"/>
      <c r="AK182" s="676"/>
      <c r="AL182" s="676">
        <v>144</v>
      </c>
      <c r="AM182" s="676"/>
      <c r="AN182" s="676"/>
      <c r="AO182" s="676"/>
      <c r="AP182" s="676"/>
      <c r="AQ182" s="676">
        <v>0</v>
      </c>
      <c r="AR182" s="676"/>
      <c r="AS182" s="676"/>
      <c r="AT182" s="676">
        <v>252127.39</v>
      </c>
      <c r="AU182" s="676"/>
      <c r="AV182" s="676"/>
      <c r="AW182" s="676"/>
      <c r="AX182" s="676">
        <v>71400</v>
      </c>
      <c r="AY182" s="676"/>
      <c r="AZ182" s="676">
        <v>0</v>
      </c>
      <c r="BA182" s="676"/>
      <c r="BB182" s="676"/>
      <c r="BC182" s="676"/>
      <c r="BD182" s="676"/>
      <c r="BE182" s="676">
        <v>0</v>
      </c>
      <c r="BF182" s="676"/>
      <c r="BG182" s="676">
        <v>702000</v>
      </c>
      <c r="BH182" s="676">
        <v>549762000</v>
      </c>
      <c r="BI182" s="676"/>
      <c r="BJ182" s="676"/>
      <c r="BK182" s="676"/>
      <c r="BL182" s="676"/>
      <c r="BM182" s="676">
        <v>41474000</v>
      </c>
      <c r="BN182" s="676">
        <v>0</v>
      </c>
      <c r="BO182" s="676"/>
      <c r="BP182" s="676"/>
      <c r="BQ182" s="676"/>
      <c r="BR182" s="676"/>
      <c r="BS182" s="676"/>
      <c r="BT182" s="676">
        <v>411342</v>
      </c>
      <c r="BU182" s="676"/>
      <c r="BV182" s="676"/>
      <c r="BW182" s="676">
        <v>260692</v>
      </c>
      <c r="BX182" s="676"/>
      <c r="BY182" s="676"/>
      <c r="BZ182" s="676">
        <v>21997000</v>
      </c>
      <c r="CA182" s="676"/>
      <c r="CB182" s="676">
        <v>4086.82</v>
      </c>
      <c r="CC182" s="676">
        <v>52686000</v>
      </c>
      <c r="CD182" s="676"/>
      <c r="CE182" s="676"/>
      <c r="CF182" s="676"/>
      <c r="CG182" s="676"/>
    </row>
    <row r="183" spans="1:85" x14ac:dyDescent="0.25">
      <c r="A183" s="320" t="s">
        <v>1270</v>
      </c>
      <c r="B183" s="320" t="s">
        <v>1271</v>
      </c>
      <c r="C183" s="320"/>
      <c r="D183" s="320" t="s">
        <v>762</v>
      </c>
      <c r="E183" s="320">
        <v>2015</v>
      </c>
      <c r="F183" s="404"/>
      <c r="G183" s="676"/>
      <c r="H183" s="676"/>
      <c r="I183" s="676"/>
      <c r="J183" s="676">
        <v>302426</v>
      </c>
      <c r="K183" s="676"/>
      <c r="L183" s="676"/>
      <c r="M183" s="676">
        <v>23548</v>
      </c>
      <c r="N183" s="676"/>
      <c r="O183" s="676"/>
      <c r="P183" s="676"/>
      <c r="Q183" s="676"/>
      <c r="R183" s="676"/>
      <c r="S183" s="676"/>
      <c r="T183" s="676"/>
      <c r="U183" s="676"/>
      <c r="V183" s="676"/>
      <c r="W183" s="676"/>
      <c r="X183" s="676">
        <v>0</v>
      </c>
      <c r="Y183" s="676"/>
      <c r="Z183" s="676">
        <v>0</v>
      </c>
      <c r="AA183" s="676"/>
      <c r="AB183" s="676"/>
      <c r="AC183" s="676"/>
      <c r="AD183" s="676"/>
      <c r="AE183" s="676"/>
      <c r="AF183" s="676"/>
      <c r="AG183" s="676"/>
      <c r="AH183" s="676"/>
      <c r="AI183" s="676"/>
      <c r="AJ183" s="676"/>
      <c r="AK183" s="676"/>
      <c r="AL183" s="676"/>
      <c r="AM183" s="676"/>
      <c r="AN183" s="676"/>
      <c r="AO183" s="676"/>
      <c r="AP183" s="676"/>
      <c r="AQ183" s="676">
        <v>0</v>
      </c>
      <c r="AR183" s="676"/>
      <c r="AS183" s="676"/>
      <c r="AT183" s="676">
        <v>0</v>
      </c>
      <c r="AU183" s="676"/>
      <c r="AV183" s="676"/>
      <c r="AW183" s="676"/>
      <c r="AX183" s="676"/>
      <c r="AY183" s="676"/>
      <c r="AZ183" s="676">
        <v>0</v>
      </c>
      <c r="BA183" s="676"/>
      <c r="BB183" s="676"/>
      <c r="BC183" s="676"/>
      <c r="BD183" s="676"/>
      <c r="BE183" s="676">
        <v>0</v>
      </c>
      <c r="BF183" s="676"/>
      <c r="BG183" s="676">
        <v>395000</v>
      </c>
      <c r="BH183" s="676"/>
      <c r="BI183" s="676"/>
      <c r="BJ183" s="676"/>
      <c r="BK183" s="676"/>
      <c r="BL183" s="676"/>
      <c r="BM183" s="676"/>
      <c r="BN183" s="676">
        <v>0</v>
      </c>
      <c r="BO183" s="676"/>
      <c r="BP183" s="676"/>
      <c r="BQ183" s="676"/>
      <c r="BR183" s="676"/>
      <c r="BS183" s="676"/>
      <c r="BT183" s="676">
        <v>361869</v>
      </c>
      <c r="BU183" s="676"/>
      <c r="BV183" s="676"/>
      <c r="BW183" s="676"/>
      <c r="BX183" s="676"/>
      <c r="BY183" s="676"/>
      <c r="BZ183" s="676"/>
      <c r="CA183" s="676"/>
      <c r="CB183" s="676">
        <v>4086.82</v>
      </c>
      <c r="CC183" s="676">
        <v>52339000</v>
      </c>
      <c r="CD183" s="676"/>
      <c r="CE183" s="676"/>
      <c r="CF183" s="676"/>
      <c r="CG183" s="676"/>
    </row>
    <row r="184" spans="1:85" x14ac:dyDescent="0.25">
      <c r="A184" s="320" t="s">
        <v>1272</v>
      </c>
      <c r="B184" s="320" t="s">
        <v>1273</v>
      </c>
      <c r="C184" s="320"/>
      <c r="D184" s="320" t="s">
        <v>764</v>
      </c>
      <c r="E184" s="320">
        <v>2015</v>
      </c>
      <c r="F184" s="404"/>
      <c r="G184" s="676"/>
      <c r="H184" s="676"/>
      <c r="I184" s="676"/>
      <c r="J184" s="676"/>
      <c r="K184" s="676"/>
      <c r="L184" s="676"/>
      <c r="M184" s="676"/>
      <c r="N184" s="676"/>
      <c r="O184" s="676"/>
      <c r="P184" s="676"/>
      <c r="Q184" s="676"/>
      <c r="R184" s="676"/>
      <c r="S184" s="676"/>
      <c r="T184" s="676"/>
      <c r="U184" s="676"/>
      <c r="V184" s="676"/>
      <c r="W184" s="676"/>
      <c r="X184" s="676">
        <v>0</v>
      </c>
      <c r="Y184" s="676"/>
      <c r="Z184" s="676">
        <v>0</v>
      </c>
      <c r="AA184" s="676"/>
      <c r="AB184" s="676"/>
      <c r="AC184" s="676"/>
      <c r="AD184" s="676"/>
      <c r="AE184" s="676"/>
      <c r="AF184" s="676"/>
      <c r="AG184" s="676"/>
      <c r="AH184" s="676"/>
      <c r="AI184" s="676"/>
      <c r="AJ184" s="676"/>
      <c r="AK184" s="676"/>
      <c r="AL184" s="676">
        <v>144</v>
      </c>
      <c r="AM184" s="676"/>
      <c r="AN184" s="676"/>
      <c r="AO184" s="676"/>
      <c r="AP184" s="676"/>
      <c r="AQ184" s="676">
        <v>0</v>
      </c>
      <c r="AR184" s="676"/>
      <c r="AS184" s="676"/>
      <c r="AT184" s="676">
        <v>0</v>
      </c>
      <c r="AU184" s="676"/>
      <c r="AV184" s="676"/>
      <c r="AW184" s="676"/>
      <c r="AX184" s="676">
        <v>71400</v>
      </c>
      <c r="AY184" s="676"/>
      <c r="AZ184" s="676">
        <v>0</v>
      </c>
      <c r="BA184" s="676"/>
      <c r="BB184" s="676"/>
      <c r="BC184" s="676"/>
      <c r="BD184" s="676"/>
      <c r="BE184" s="676">
        <v>0</v>
      </c>
      <c r="BF184" s="676"/>
      <c r="BG184" s="676"/>
      <c r="BH184" s="676"/>
      <c r="BI184" s="676"/>
      <c r="BJ184" s="676"/>
      <c r="BK184" s="676"/>
      <c r="BL184" s="676"/>
      <c r="BM184" s="676"/>
      <c r="BN184" s="676">
        <v>0</v>
      </c>
      <c r="BO184" s="676"/>
      <c r="BP184" s="676"/>
      <c r="BQ184" s="676"/>
      <c r="BR184" s="676"/>
      <c r="BS184" s="676"/>
      <c r="BT184" s="676">
        <v>49473</v>
      </c>
      <c r="BU184" s="676"/>
      <c r="BV184" s="676"/>
      <c r="BW184" s="676"/>
      <c r="BX184" s="676"/>
      <c r="BY184" s="676"/>
      <c r="BZ184" s="676"/>
      <c r="CA184" s="676"/>
      <c r="CB184" s="676">
        <v>0</v>
      </c>
      <c r="CC184" s="676"/>
      <c r="CD184" s="676"/>
      <c r="CE184" s="676"/>
      <c r="CF184" s="676"/>
      <c r="CG184" s="676"/>
    </row>
    <row r="185" spans="1:85" x14ac:dyDescent="0.25">
      <c r="A185" s="320" t="s">
        <v>1274</v>
      </c>
      <c r="B185" s="320" t="s">
        <v>1275</v>
      </c>
      <c r="C185" s="320"/>
      <c r="D185" s="320" t="s">
        <v>1276</v>
      </c>
      <c r="E185" s="320">
        <v>2015</v>
      </c>
      <c r="F185" s="404"/>
      <c r="G185" s="676"/>
      <c r="H185" s="676"/>
      <c r="I185" s="676"/>
      <c r="J185" s="676"/>
      <c r="K185" s="676"/>
      <c r="L185" s="676"/>
      <c r="M185" s="676">
        <v>23391</v>
      </c>
      <c r="N185" s="676"/>
      <c r="O185" s="676"/>
      <c r="P185" s="676"/>
      <c r="Q185" s="676"/>
      <c r="R185" s="676"/>
      <c r="S185" s="676"/>
      <c r="T185" s="676"/>
      <c r="U185" s="676">
        <v>675000</v>
      </c>
      <c r="V185" s="676"/>
      <c r="W185" s="676"/>
      <c r="X185" s="676">
        <v>0</v>
      </c>
      <c r="Y185" s="676"/>
      <c r="Z185" s="676">
        <v>0</v>
      </c>
      <c r="AA185" s="676"/>
      <c r="AB185" s="676"/>
      <c r="AC185" s="676"/>
      <c r="AD185" s="676"/>
      <c r="AE185" s="676"/>
      <c r="AF185" s="676"/>
      <c r="AG185" s="676"/>
      <c r="AH185" s="676"/>
      <c r="AI185" s="676"/>
      <c r="AJ185" s="676"/>
      <c r="AK185" s="676"/>
      <c r="AL185" s="676"/>
      <c r="AM185" s="676"/>
      <c r="AN185" s="676"/>
      <c r="AO185" s="676"/>
      <c r="AP185" s="676"/>
      <c r="AQ185" s="676">
        <v>0</v>
      </c>
      <c r="AR185" s="676"/>
      <c r="AS185" s="676"/>
      <c r="AT185" s="676">
        <v>252127.39</v>
      </c>
      <c r="AU185" s="676"/>
      <c r="AV185" s="676"/>
      <c r="AW185" s="676"/>
      <c r="AX185" s="676"/>
      <c r="AY185" s="676"/>
      <c r="AZ185" s="676">
        <v>0</v>
      </c>
      <c r="BA185" s="676"/>
      <c r="BB185" s="676"/>
      <c r="BC185" s="676"/>
      <c r="BD185" s="676"/>
      <c r="BE185" s="676">
        <v>0</v>
      </c>
      <c r="BF185" s="676"/>
      <c r="BG185" s="676">
        <v>307000</v>
      </c>
      <c r="BH185" s="676"/>
      <c r="BI185" s="676"/>
      <c r="BJ185" s="676"/>
      <c r="BK185" s="676"/>
      <c r="BL185" s="676"/>
      <c r="BM185" s="676"/>
      <c r="BN185" s="676">
        <v>0</v>
      </c>
      <c r="BO185" s="676"/>
      <c r="BP185" s="676"/>
      <c r="BQ185" s="676"/>
      <c r="BR185" s="676"/>
      <c r="BS185" s="676"/>
      <c r="BT185" s="676"/>
      <c r="BU185" s="676"/>
      <c r="BV185" s="676"/>
      <c r="BW185" s="676">
        <v>260692</v>
      </c>
      <c r="BX185" s="676"/>
      <c r="BY185" s="676"/>
      <c r="BZ185" s="676"/>
      <c r="CA185" s="676"/>
      <c r="CB185" s="676">
        <v>0</v>
      </c>
      <c r="CC185" s="676">
        <v>347000</v>
      </c>
      <c r="CD185" s="676"/>
      <c r="CE185" s="676"/>
      <c r="CF185" s="676"/>
      <c r="CG185" s="676"/>
    </row>
    <row r="186" spans="1:85" x14ac:dyDescent="0.25">
      <c r="A186" s="320" t="s">
        <v>1277</v>
      </c>
      <c r="B186" s="320" t="s">
        <v>1432</v>
      </c>
      <c r="C186" s="320" t="s">
        <v>1433</v>
      </c>
      <c r="D186" s="320" t="s">
        <v>458</v>
      </c>
      <c r="E186" s="320">
        <v>2015</v>
      </c>
      <c r="F186" s="404"/>
      <c r="G186" s="676"/>
      <c r="H186" s="676"/>
      <c r="I186" s="676"/>
      <c r="J186" s="676"/>
      <c r="K186" s="676"/>
      <c r="L186" s="676"/>
      <c r="M186" s="676"/>
      <c r="N186" s="676"/>
      <c r="O186" s="676"/>
      <c r="P186" s="676"/>
      <c r="Q186" s="676"/>
      <c r="R186" s="676"/>
      <c r="S186" s="676"/>
      <c r="T186" s="676"/>
      <c r="U186" s="676"/>
      <c r="V186" s="676"/>
      <c r="W186" s="676"/>
      <c r="X186" s="676">
        <v>0</v>
      </c>
      <c r="Y186" s="676"/>
      <c r="Z186" s="676">
        <v>0</v>
      </c>
      <c r="AA186" s="676"/>
      <c r="AB186" s="676"/>
      <c r="AC186" s="676"/>
      <c r="AD186" s="676"/>
      <c r="AE186" s="676"/>
      <c r="AF186" s="676"/>
      <c r="AG186" s="676"/>
      <c r="AH186" s="676"/>
      <c r="AI186" s="676"/>
      <c r="AJ186" s="676"/>
      <c r="AK186" s="676"/>
      <c r="AL186" s="676"/>
      <c r="AM186" s="676"/>
      <c r="AN186" s="676"/>
      <c r="AO186" s="676"/>
      <c r="AP186" s="676"/>
      <c r="AQ186" s="676">
        <v>0</v>
      </c>
      <c r="AR186" s="676"/>
      <c r="AS186" s="676"/>
      <c r="AT186" s="676">
        <v>49021.36</v>
      </c>
      <c r="AU186" s="676"/>
      <c r="AV186" s="676"/>
      <c r="AW186" s="676"/>
      <c r="AX186" s="676"/>
      <c r="AY186" s="676"/>
      <c r="AZ186" s="676">
        <v>0</v>
      </c>
      <c r="BA186" s="676"/>
      <c r="BB186" s="676"/>
      <c r="BC186" s="676"/>
      <c r="BD186" s="676"/>
      <c r="BE186" s="676">
        <v>0</v>
      </c>
      <c r="BF186" s="676"/>
      <c r="BG186" s="676"/>
      <c r="BH186" s="676"/>
      <c r="BI186" s="676"/>
      <c r="BJ186" s="676"/>
      <c r="BK186" s="676"/>
      <c r="BL186" s="676"/>
      <c r="BM186" s="676"/>
      <c r="BN186" s="676">
        <v>0</v>
      </c>
      <c r="BO186" s="676"/>
      <c r="BP186" s="676"/>
      <c r="BQ186" s="676"/>
      <c r="BR186" s="676"/>
      <c r="BS186" s="676"/>
      <c r="BT186" s="676">
        <v>0</v>
      </c>
      <c r="BU186" s="676"/>
      <c r="BV186" s="676"/>
      <c r="BW186" s="676"/>
      <c r="BX186" s="676"/>
      <c r="BY186" s="676"/>
      <c r="BZ186" s="676"/>
      <c r="CA186" s="676"/>
      <c r="CB186" s="676">
        <v>0</v>
      </c>
      <c r="CC186" s="676"/>
      <c r="CD186" s="676"/>
      <c r="CE186" s="676"/>
      <c r="CF186" s="676"/>
      <c r="CG186" s="676"/>
    </row>
    <row r="187" spans="1:85" x14ac:dyDescent="0.25">
      <c r="A187" s="320" t="s">
        <v>1278</v>
      </c>
      <c r="B187" s="320" t="s">
        <v>1279</v>
      </c>
      <c r="C187" s="320"/>
      <c r="D187" s="320" t="s">
        <v>767</v>
      </c>
      <c r="E187" s="320">
        <v>2015</v>
      </c>
      <c r="F187" s="404"/>
      <c r="G187" s="676"/>
      <c r="H187" s="676"/>
      <c r="I187" s="676"/>
      <c r="J187" s="676"/>
      <c r="K187" s="676"/>
      <c r="L187" s="676"/>
      <c r="M187" s="676"/>
      <c r="N187" s="676"/>
      <c r="O187" s="676"/>
      <c r="P187" s="676"/>
      <c r="Q187" s="676"/>
      <c r="R187" s="676"/>
      <c r="S187" s="676"/>
      <c r="T187" s="676"/>
      <c r="U187" s="676"/>
      <c r="V187" s="676"/>
      <c r="W187" s="676"/>
      <c r="X187" s="676">
        <v>0</v>
      </c>
      <c r="Y187" s="676"/>
      <c r="Z187" s="676">
        <v>0</v>
      </c>
      <c r="AA187" s="676"/>
      <c r="AB187" s="676"/>
      <c r="AC187" s="676"/>
      <c r="AD187" s="676"/>
      <c r="AE187" s="676"/>
      <c r="AF187" s="676"/>
      <c r="AG187" s="676"/>
      <c r="AH187" s="676"/>
      <c r="AI187" s="676"/>
      <c r="AJ187" s="676"/>
      <c r="AK187" s="676"/>
      <c r="AL187" s="676"/>
      <c r="AM187" s="676"/>
      <c r="AN187" s="676"/>
      <c r="AO187" s="676"/>
      <c r="AP187" s="676"/>
      <c r="AQ187" s="676">
        <v>0</v>
      </c>
      <c r="AR187" s="676"/>
      <c r="AS187" s="676"/>
      <c r="AT187" s="676">
        <v>0</v>
      </c>
      <c r="AU187" s="676"/>
      <c r="AV187" s="676"/>
      <c r="AW187" s="676"/>
      <c r="AX187" s="676"/>
      <c r="AY187" s="676"/>
      <c r="AZ187" s="676">
        <v>0</v>
      </c>
      <c r="BA187" s="676"/>
      <c r="BB187" s="676"/>
      <c r="BC187" s="676"/>
      <c r="BD187" s="676"/>
      <c r="BE187" s="676">
        <v>0</v>
      </c>
      <c r="BF187" s="676"/>
      <c r="BG187" s="676"/>
      <c r="BH187" s="676"/>
      <c r="BI187" s="676"/>
      <c r="BJ187" s="676"/>
      <c r="BK187" s="676"/>
      <c r="BL187" s="676"/>
      <c r="BM187" s="676"/>
      <c r="BN187" s="676">
        <v>0</v>
      </c>
      <c r="BO187" s="676"/>
      <c r="BP187" s="676"/>
      <c r="BQ187" s="676"/>
      <c r="BR187" s="676"/>
      <c r="BS187" s="676"/>
      <c r="BT187" s="676"/>
      <c r="BU187" s="676"/>
      <c r="BV187" s="676"/>
      <c r="BW187" s="676"/>
      <c r="BX187" s="676"/>
      <c r="BY187" s="676"/>
      <c r="BZ187" s="676"/>
      <c r="CA187" s="676"/>
      <c r="CB187" s="676">
        <v>0</v>
      </c>
      <c r="CC187" s="676"/>
      <c r="CD187" s="676"/>
      <c r="CE187" s="676"/>
      <c r="CF187" s="676"/>
      <c r="CG187" s="676"/>
    </row>
    <row r="188" spans="1:85" x14ac:dyDescent="0.25">
      <c r="A188" s="320" t="s">
        <v>1280</v>
      </c>
      <c r="B188" s="320" t="s">
        <v>1281</v>
      </c>
      <c r="C188" s="320"/>
      <c r="D188" s="320" t="s">
        <v>769</v>
      </c>
      <c r="E188" s="320">
        <v>2015</v>
      </c>
      <c r="F188" s="404"/>
      <c r="G188" s="676"/>
      <c r="H188" s="676"/>
      <c r="I188" s="676"/>
      <c r="J188" s="676"/>
      <c r="K188" s="676"/>
      <c r="L188" s="676"/>
      <c r="M188" s="676"/>
      <c r="N188" s="676"/>
      <c r="O188" s="676"/>
      <c r="P188" s="676"/>
      <c r="Q188" s="676"/>
      <c r="R188" s="676"/>
      <c r="S188" s="676"/>
      <c r="T188" s="676"/>
      <c r="U188" s="676"/>
      <c r="V188" s="676"/>
      <c r="W188" s="676"/>
      <c r="X188" s="676">
        <v>0</v>
      </c>
      <c r="Y188" s="676"/>
      <c r="Z188" s="676">
        <v>0</v>
      </c>
      <c r="AA188" s="676"/>
      <c r="AB188" s="676"/>
      <c r="AC188" s="676"/>
      <c r="AD188" s="676"/>
      <c r="AE188" s="676"/>
      <c r="AF188" s="676"/>
      <c r="AG188" s="676"/>
      <c r="AH188" s="676"/>
      <c r="AI188" s="676"/>
      <c r="AJ188" s="676"/>
      <c r="AK188" s="676"/>
      <c r="AL188" s="676"/>
      <c r="AM188" s="676"/>
      <c r="AN188" s="676"/>
      <c r="AO188" s="676"/>
      <c r="AP188" s="676"/>
      <c r="AQ188" s="676">
        <v>0</v>
      </c>
      <c r="AR188" s="676"/>
      <c r="AS188" s="676"/>
      <c r="AT188" s="676">
        <v>0</v>
      </c>
      <c r="AU188" s="676"/>
      <c r="AV188" s="676"/>
      <c r="AW188" s="676"/>
      <c r="AX188" s="676"/>
      <c r="AY188" s="676"/>
      <c r="AZ188" s="676">
        <v>0</v>
      </c>
      <c r="BA188" s="676"/>
      <c r="BB188" s="676"/>
      <c r="BC188" s="676"/>
      <c r="BD188" s="676"/>
      <c r="BE188" s="676">
        <v>0</v>
      </c>
      <c r="BF188" s="676"/>
      <c r="BG188" s="676"/>
      <c r="BH188" s="676"/>
      <c r="BI188" s="676"/>
      <c r="BJ188" s="676"/>
      <c r="BK188" s="676"/>
      <c r="BL188" s="676"/>
      <c r="BM188" s="676"/>
      <c r="BN188" s="676">
        <v>0</v>
      </c>
      <c r="BO188" s="676"/>
      <c r="BP188" s="676"/>
      <c r="BQ188" s="676"/>
      <c r="BR188" s="676"/>
      <c r="BS188" s="676"/>
      <c r="BT188" s="676"/>
      <c r="BU188" s="676"/>
      <c r="BV188" s="676"/>
      <c r="BW188" s="676"/>
      <c r="BX188" s="676"/>
      <c r="BY188" s="676"/>
      <c r="BZ188" s="676"/>
      <c r="CA188" s="676"/>
      <c r="CB188" s="676">
        <v>0</v>
      </c>
      <c r="CC188" s="676"/>
      <c r="CD188" s="676"/>
      <c r="CE188" s="676"/>
      <c r="CF188" s="676"/>
      <c r="CG188" s="676"/>
    </row>
    <row r="189" spans="1:85" x14ac:dyDescent="0.25">
      <c r="A189" s="320" t="s">
        <v>1282</v>
      </c>
      <c r="B189" s="320" t="s">
        <v>1283</v>
      </c>
      <c r="C189" s="320"/>
      <c r="D189" s="320" t="s">
        <v>771</v>
      </c>
      <c r="E189" s="320">
        <v>2015</v>
      </c>
      <c r="F189" s="404"/>
      <c r="G189" s="676"/>
      <c r="H189" s="676"/>
      <c r="I189" s="676"/>
      <c r="J189" s="676"/>
      <c r="K189" s="676"/>
      <c r="L189" s="676"/>
      <c r="M189" s="676"/>
      <c r="N189" s="676"/>
      <c r="O189" s="676"/>
      <c r="P189" s="676"/>
      <c r="Q189" s="676"/>
      <c r="R189" s="676"/>
      <c r="S189" s="676"/>
      <c r="T189" s="676"/>
      <c r="U189" s="676"/>
      <c r="V189" s="676"/>
      <c r="W189" s="676"/>
      <c r="X189" s="676">
        <v>0</v>
      </c>
      <c r="Y189" s="676"/>
      <c r="Z189" s="676">
        <v>0</v>
      </c>
      <c r="AA189" s="676"/>
      <c r="AB189" s="676"/>
      <c r="AC189" s="676"/>
      <c r="AD189" s="676"/>
      <c r="AE189" s="676"/>
      <c r="AF189" s="676"/>
      <c r="AG189" s="676"/>
      <c r="AH189" s="676"/>
      <c r="AI189" s="676"/>
      <c r="AJ189" s="676"/>
      <c r="AK189" s="676"/>
      <c r="AL189" s="676"/>
      <c r="AM189" s="676"/>
      <c r="AN189" s="676"/>
      <c r="AO189" s="676"/>
      <c r="AP189" s="676"/>
      <c r="AQ189" s="676">
        <v>0</v>
      </c>
      <c r="AR189" s="676"/>
      <c r="AS189" s="676"/>
      <c r="AT189" s="676">
        <v>49021.36</v>
      </c>
      <c r="AU189" s="676"/>
      <c r="AV189" s="676"/>
      <c r="AW189" s="676"/>
      <c r="AX189" s="676"/>
      <c r="AY189" s="676"/>
      <c r="AZ189" s="676">
        <v>0</v>
      </c>
      <c r="BA189" s="676"/>
      <c r="BB189" s="676"/>
      <c r="BC189" s="676"/>
      <c r="BD189" s="676"/>
      <c r="BE189" s="676">
        <v>0</v>
      </c>
      <c r="BF189" s="676"/>
      <c r="BG189" s="676"/>
      <c r="BH189" s="676"/>
      <c r="BI189" s="676"/>
      <c r="BJ189" s="676"/>
      <c r="BK189" s="676"/>
      <c r="BL189" s="676"/>
      <c r="BM189" s="676"/>
      <c r="BN189" s="676">
        <v>0</v>
      </c>
      <c r="BO189" s="676"/>
      <c r="BP189" s="676"/>
      <c r="BQ189" s="676"/>
      <c r="BR189" s="676"/>
      <c r="BS189" s="676"/>
      <c r="BT189" s="676"/>
      <c r="BU189" s="676"/>
      <c r="BV189" s="676"/>
      <c r="BW189" s="676"/>
      <c r="BX189" s="676"/>
      <c r="BY189" s="676"/>
      <c r="BZ189" s="676"/>
      <c r="CA189" s="676"/>
      <c r="CB189" s="676">
        <v>0</v>
      </c>
      <c r="CC189" s="676"/>
      <c r="CD189" s="676"/>
      <c r="CE189" s="676"/>
      <c r="CF189" s="676"/>
      <c r="CG189" s="676"/>
    </row>
    <row r="190" spans="1:85" x14ac:dyDescent="0.25">
      <c r="A190" s="320" t="s">
        <v>1284</v>
      </c>
      <c r="B190" s="320" t="s">
        <v>1434</v>
      </c>
      <c r="C190" s="320" t="s">
        <v>1435</v>
      </c>
      <c r="D190" s="320" t="s">
        <v>773</v>
      </c>
      <c r="E190" s="320">
        <v>2015</v>
      </c>
      <c r="F190" s="404">
        <v>82</v>
      </c>
      <c r="G190" s="676">
        <v>6868</v>
      </c>
      <c r="H190" s="676">
        <v>156</v>
      </c>
      <c r="I190" s="676">
        <v>2458</v>
      </c>
      <c r="J190" s="676">
        <v>133</v>
      </c>
      <c r="K190" s="676">
        <v>105</v>
      </c>
      <c r="L190" s="676">
        <v>25</v>
      </c>
      <c r="M190" s="676">
        <v>7608</v>
      </c>
      <c r="N190" s="676">
        <v>349</v>
      </c>
      <c r="O190" s="676"/>
      <c r="P190" s="676">
        <v>528</v>
      </c>
      <c r="Q190" s="676">
        <v>1982</v>
      </c>
      <c r="R190" s="676">
        <v>83618</v>
      </c>
      <c r="S190" s="676">
        <v>396493</v>
      </c>
      <c r="T190" s="676">
        <v>30871</v>
      </c>
      <c r="U190" s="676">
        <v>11782000</v>
      </c>
      <c r="V190" s="676">
        <v>838</v>
      </c>
      <c r="W190" s="676">
        <v>41</v>
      </c>
      <c r="X190" s="676">
        <v>46.96</v>
      </c>
      <c r="Y190" s="676">
        <v>166</v>
      </c>
      <c r="Z190" s="676">
        <v>850228</v>
      </c>
      <c r="AA190" s="676">
        <v>106</v>
      </c>
      <c r="AB190" s="676">
        <v>45508</v>
      </c>
      <c r="AC190" s="676">
        <v>17.87</v>
      </c>
      <c r="AD190" s="676">
        <v>106</v>
      </c>
      <c r="AE190" s="676">
        <v>59502</v>
      </c>
      <c r="AF190" s="676">
        <v>1428</v>
      </c>
      <c r="AG190" s="676">
        <v>9</v>
      </c>
      <c r="AH190" s="676">
        <v>8078</v>
      </c>
      <c r="AI190" s="676">
        <v>37</v>
      </c>
      <c r="AJ190" s="676">
        <v>9</v>
      </c>
      <c r="AK190" s="676">
        <v>34220</v>
      </c>
      <c r="AL190" s="676">
        <v>3227</v>
      </c>
      <c r="AM190" s="676">
        <v>130</v>
      </c>
      <c r="AN190" s="676"/>
      <c r="AO190" s="676">
        <v>320628</v>
      </c>
      <c r="AP190" s="676">
        <v>77192</v>
      </c>
      <c r="AQ190" s="676">
        <v>2673</v>
      </c>
      <c r="AR190" s="676">
        <v>742</v>
      </c>
      <c r="AS190" s="676">
        <v>412</v>
      </c>
      <c r="AT190" s="676">
        <v>64134.48</v>
      </c>
      <c r="AU190" s="676">
        <v>2123</v>
      </c>
      <c r="AV190" s="676">
        <v>2314</v>
      </c>
      <c r="AW190" s="676">
        <v>33</v>
      </c>
      <c r="AX190" s="676">
        <v>538280</v>
      </c>
      <c r="AY190" s="676">
        <v>26</v>
      </c>
      <c r="AZ190" s="676">
        <v>1758</v>
      </c>
      <c r="BA190" s="676">
        <v>118018</v>
      </c>
      <c r="BB190" s="676">
        <v>1344</v>
      </c>
      <c r="BC190" s="676">
        <v>54281</v>
      </c>
      <c r="BD190" s="676">
        <v>248019</v>
      </c>
      <c r="BE190" s="676">
        <v>7184.92</v>
      </c>
      <c r="BF190" s="676">
        <v>22000</v>
      </c>
      <c r="BG190" s="676">
        <v>23250000</v>
      </c>
      <c r="BH190" s="676">
        <v>570000</v>
      </c>
      <c r="BI190" s="676">
        <v>7572</v>
      </c>
      <c r="BJ190" s="676">
        <v>3214</v>
      </c>
      <c r="BK190" s="676">
        <v>20228</v>
      </c>
      <c r="BL190" s="676">
        <v>8831</v>
      </c>
      <c r="BM190" s="676">
        <v>1178000</v>
      </c>
      <c r="BN190" s="676">
        <v>67662</v>
      </c>
      <c r="BO190" s="676">
        <v>3726</v>
      </c>
      <c r="BP190" s="676">
        <v>288</v>
      </c>
      <c r="BQ190" s="676">
        <v>1</v>
      </c>
      <c r="BR190" s="676">
        <v>1330</v>
      </c>
      <c r="BS190" s="676">
        <v>37977</v>
      </c>
      <c r="BT190" s="676">
        <v>31250</v>
      </c>
      <c r="BU190" s="676">
        <v>13748</v>
      </c>
      <c r="BV190" s="676">
        <v>5103</v>
      </c>
      <c r="BW190" s="676">
        <v>8885</v>
      </c>
      <c r="BX190" s="676">
        <v>3</v>
      </c>
      <c r="BY190" s="676">
        <v>11</v>
      </c>
      <c r="BZ190" s="676">
        <v>3000</v>
      </c>
      <c r="CA190" s="676">
        <v>33479.53</v>
      </c>
      <c r="CB190" s="676">
        <v>51503.66</v>
      </c>
      <c r="CC190" s="676">
        <v>22763000</v>
      </c>
      <c r="CD190" s="676">
        <v>948</v>
      </c>
      <c r="CE190" s="676"/>
      <c r="CF190" s="676"/>
      <c r="CG190" s="676">
        <v>9000</v>
      </c>
    </row>
    <row r="191" spans="1:85" x14ac:dyDescent="0.25">
      <c r="A191" s="320" t="s">
        <v>1285</v>
      </c>
      <c r="B191" s="320" t="s">
        <v>1286</v>
      </c>
      <c r="C191" s="320"/>
      <c r="D191" s="320" t="s">
        <v>1287</v>
      </c>
      <c r="E191" s="320">
        <v>2015</v>
      </c>
      <c r="F191" s="404"/>
      <c r="G191" s="676"/>
      <c r="H191" s="676"/>
      <c r="I191" s="676"/>
      <c r="J191" s="676"/>
      <c r="K191" s="676"/>
      <c r="L191" s="676"/>
      <c r="M191" s="676">
        <v>4848</v>
      </c>
      <c r="N191" s="676">
        <v>9</v>
      </c>
      <c r="O191" s="676"/>
      <c r="P191" s="676">
        <v>528</v>
      </c>
      <c r="Q191" s="676"/>
      <c r="R191" s="676">
        <v>83416</v>
      </c>
      <c r="S191" s="676">
        <v>396493</v>
      </c>
      <c r="T191" s="676"/>
      <c r="U191" s="676"/>
      <c r="V191" s="676"/>
      <c r="W191" s="676"/>
      <c r="X191" s="676">
        <v>0</v>
      </c>
      <c r="Y191" s="676"/>
      <c r="Z191" s="676">
        <v>0</v>
      </c>
      <c r="AA191" s="676"/>
      <c r="AB191" s="676"/>
      <c r="AC191" s="676">
        <v>17.87</v>
      </c>
      <c r="AD191" s="676"/>
      <c r="AE191" s="676"/>
      <c r="AF191" s="676"/>
      <c r="AG191" s="676"/>
      <c r="AH191" s="676"/>
      <c r="AI191" s="676"/>
      <c r="AJ191" s="676"/>
      <c r="AK191" s="676"/>
      <c r="AL191" s="676"/>
      <c r="AM191" s="676"/>
      <c r="AN191" s="676"/>
      <c r="AO191" s="676"/>
      <c r="AP191" s="676">
        <v>76975</v>
      </c>
      <c r="AQ191" s="676">
        <v>0</v>
      </c>
      <c r="AR191" s="676"/>
      <c r="AS191" s="676">
        <v>411</v>
      </c>
      <c r="AT191" s="676">
        <v>0</v>
      </c>
      <c r="AU191" s="676">
        <v>2122</v>
      </c>
      <c r="AV191" s="676"/>
      <c r="AW191" s="676"/>
      <c r="AX191" s="676"/>
      <c r="AY191" s="676"/>
      <c r="AZ191" s="676">
        <v>0</v>
      </c>
      <c r="BA191" s="676">
        <v>116714</v>
      </c>
      <c r="BB191" s="676">
        <v>1132</v>
      </c>
      <c r="BC191" s="676">
        <v>50932</v>
      </c>
      <c r="BD191" s="676"/>
      <c r="BE191" s="676">
        <v>0</v>
      </c>
      <c r="BF191" s="676"/>
      <c r="BG191" s="676"/>
      <c r="BH191" s="676"/>
      <c r="BI191" s="676"/>
      <c r="BJ191" s="676"/>
      <c r="BK191" s="676"/>
      <c r="BL191" s="676"/>
      <c r="BM191" s="676"/>
      <c r="BN191" s="676">
        <v>0</v>
      </c>
      <c r="BO191" s="676"/>
      <c r="BP191" s="676"/>
      <c r="BQ191" s="676"/>
      <c r="BR191" s="676"/>
      <c r="BS191" s="676"/>
      <c r="BT191" s="676"/>
      <c r="BU191" s="676">
        <v>13727</v>
      </c>
      <c r="BV191" s="676"/>
      <c r="BW191" s="676"/>
      <c r="BX191" s="676"/>
      <c r="BY191" s="676"/>
      <c r="BZ191" s="676"/>
      <c r="CA191" s="676"/>
      <c r="CB191" s="676">
        <v>0</v>
      </c>
      <c r="CC191" s="676">
        <v>22617000</v>
      </c>
      <c r="CD191" s="676"/>
      <c r="CE191" s="676"/>
      <c r="CF191" s="676"/>
      <c r="CG191" s="676"/>
    </row>
    <row r="192" spans="1:85" x14ac:dyDescent="0.25">
      <c r="A192" s="320" t="s">
        <v>1288</v>
      </c>
      <c r="B192" s="320" t="s">
        <v>1289</v>
      </c>
      <c r="C192" s="320"/>
      <c r="D192" s="320" t="s">
        <v>456</v>
      </c>
      <c r="E192" s="320">
        <v>2015</v>
      </c>
      <c r="F192" s="404">
        <v>82</v>
      </c>
      <c r="G192" s="676">
        <v>6868</v>
      </c>
      <c r="H192" s="676">
        <v>156</v>
      </c>
      <c r="I192" s="676">
        <v>2458</v>
      </c>
      <c r="J192" s="676">
        <v>133</v>
      </c>
      <c r="K192" s="676">
        <v>105</v>
      </c>
      <c r="L192" s="676">
        <v>25</v>
      </c>
      <c r="M192" s="676">
        <v>2760</v>
      </c>
      <c r="N192" s="676">
        <v>340</v>
      </c>
      <c r="O192" s="676"/>
      <c r="P192" s="676"/>
      <c r="Q192" s="676">
        <v>1982</v>
      </c>
      <c r="R192" s="676">
        <v>202</v>
      </c>
      <c r="S192" s="676"/>
      <c r="T192" s="676">
        <v>30871</v>
      </c>
      <c r="U192" s="676"/>
      <c r="V192" s="676">
        <v>838</v>
      </c>
      <c r="W192" s="676">
        <v>41</v>
      </c>
      <c r="X192" s="676">
        <v>46.96</v>
      </c>
      <c r="Y192" s="676">
        <v>166</v>
      </c>
      <c r="Z192" s="676">
        <v>850228</v>
      </c>
      <c r="AA192" s="676">
        <v>106</v>
      </c>
      <c r="AB192" s="676">
        <v>45508</v>
      </c>
      <c r="AC192" s="676"/>
      <c r="AD192" s="676">
        <v>106</v>
      </c>
      <c r="AE192" s="676">
        <v>59502</v>
      </c>
      <c r="AF192" s="676">
        <v>1428</v>
      </c>
      <c r="AG192" s="676">
        <v>9</v>
      </c>
      <c r="AH192" s="676">
        <v>8078</v>
      </c>
      <c r="AI192" s="676">
        <v>37</v>
      </c>
      <c r="AJ192" s="676">
        <v>9</v>
      </c>
      <c r="AK192" s="676">
        <v>34220</v>
      </c>
      <c r="AL192" s="676">
        <v>3227</v>
      </c>
      <c r="AM192" s="676">
        <v>130</v>
      </c>
      <c r="AN192" s="676"/>
      <c r="AO192" s="676">
        <v>320628</v>
      </c>
      <c r="AP192" s="676">
        <v>217</v>
      </c>
      <c r="AQ192" s="676">
        <v>2673</v>
      </c>
      <c r="AR192" s="676">
        <v>742</v>
      </c>
      <c r="AS192" s="676">
        <v>1</v>
      </c>
      <c r="AT192" s="676">
        <v>64134.48</v>
      </c>
      <c r="AU192" s="676">
        <v>1</v>
      </c>
      <c r="AV192" s="676">
        <v>2314</v>
      </c>
      <c r="AW192" s="676">
        <v>33</v>
      </c>
      <c r="AX192" s="676">
        <v>538280</v>
      </c>
      <c r="AY192" s="676">
        <v>26</v>
      </c>
      <c r="AZ192" s="676">
        <v>1758</v>
      </c>
      <c r="BA192" s="676">
        <v>1304</v>
      </c>
      <c r="BB192" s="676">
        <v>212</v>
      </c>
      <c r="BC192" s="676">
        <v>3349</v>
      </c>
      <c r="BD192" s="676"/>
      <c r="BE192" s="676">
        <v>7184.92</v>
      </c>
      <c r="BF192" s="676"/>
      <c r="BG192" s="676">
        <v>23250000</v>
      </c>
      <c r="BH192" s="676"/>
      <c r="BI192" s="676">
        <v>7572</v>
      </c>
      <c r="BJ192" s="676">
        <v>3214</v>
      </c>
      <c r="BK192" s="676">
        <v>20228</v>
      </c>
      <c r="BL192" s="676">
        <v>8831</v>
      </c>
      <c r="BM192" s="676">
        <v>1178000</v>
      </c>
      <c r="BN192" s="676">
        <v>67662</v>
      </c>
      <c r="BO192" s="676">
        <v>3726</v>
      </c>
      <c r="BP192" s="676">
        <v>288</v>
      </c>
      <c r="BQ192" s="676">
        <v>1</v>
      </c>
      <c r="BR192" s="676">
        <v>1330</v>
      </c>
      <c r="BS192" s="676">
        <v>37977</v>
      </c>
      <c r="BT192" s="676">
        <v>31250</v>
      </c>
      <c r="BU192" s="676">
        <v>21</v>
      </c>
      <c r="BV192" s="676">
        <v>5103</v>
      </c>
      <c r="BW192" s="676">
        <v>8885</v>
      </c>
      <c r="BX192" s="676">
        <v>3</v>
      </c>
      <c r="BY192" s="676">
        <v>11</v>
      </c>
      <c r="BZ192" s="676">
        <v>3000</v>
      </c>
      <c r="CA192" s="676">
        <v>33479.53</v>
      </c>
      <c r="CB192" s="676">
        <v>51503.66</v>
      </c>
      <c r="CC192" s="676">
        <v>146000</v>
      </c>
      <c r="CD192" s="676">
        <v>948</v>
      </c>
      <c r="CE192" s="676"/>
      <c r="CF192" s="676"/>
      <c r="CG192" s="676"/>
    </row>
    <row r="193" spans="1:85" x14ac:dyDescent="0.25">
      <c r="A193" s="320" t="s">
        <v>1290</v>
      </c>
      <c r="B193" s="320" t="s">
        <v>1291</v>
      </c>
      <c r="C193" s="320"/>
      <c r="D193" s="320" t="s">
        <v>445</v>
      </c>
      <c r="E193" s="320">
        <v>2015</v>
      </c>
      <c r="F193" s="404"/>
      <c r="G193" s="676">
        <v>3</v>
      </c>
      <c r="H193" s="676">
        <v>9</v>
      </c>
      <c r="I193" s="676">
        <v>159</v>
      </c>
      <c r="J193" s="676"/>
      <c r="K193" s="676"/>
      <c r="L193" s="676">
        <v>373</v>
      </c>
      <c r="M193" s="676">
        <v>677453</v>
      </c>
      <c r="N193" s="676">
        <v>27972</v>
      </c>
      <c r="O193" s="676">
        <v>4713</v>
      </c>
      <c r="P193" s="676">
        <v>18</v>
      </c>
      <c r="Q193" s="676">
        <v>17546</v>
      </c>
      <c r="R193" s="676">
        <v>5</v>
      </c>
      <c r="S193" s="676">
        <v>2161</v>
      </c>
      <c r="T193" s="676">
        <v>1207</v>
      </c>
      <c r="U193" s="676">
        <v>511000</v>
      </c>
      <c r="V193" s="676">
        <v>18</v>
      </c>
      <c r="W193" s="676"/>
      <c r="X193" s="676">
        <v>0</v>
      </c>
      <c r="Y193" s="676">
        <v>17</v>
      </c>
      <c r="Z193" s="676">
        <v>11</v>
      </c>
      <c r="AA193" s="676"/>
      <c r="AB193" s="676">
        <v>88</v>
      </c>
      <c r="AC193" s="676">
        <v>0.23</v>
      </c>
      <c r="AD193" s="676">
        <v>85739</v>
      </c>
      <c r="AE193" s="676">
        <v>4710</v>
      </c>
      <c r="AF193" s="676">
        <v>2470</v>
      </c>
      <c r="AG193" s="676"/>
      <c r="AH193" s="676">
        <v>3</v>
      </c>
      <c r="AI193" s="676">
        <v>3694</v>
      </c>
      <c r="AJ193" s="676">
        <v>2</v>
      </c>
      <c r="AK193" s="676">
        <v>260</v>
      </c>
      <c r="AL193" s="676">
        <v>5189</v>
      </c>
      <c r="AM193" s="676">
        <v>504031</v>
      </c>
      <c r="AN193" s="676"/>
      <c r="AO193" s="676"/>
      <c r="AP193" s="676">
        <v>0</v>
      </c>
      <c r="AQ193" s="676">
        <v>9</v>
      </c>
      <c r="AR193" s="676"/>
      <c r="AS193" s="676"/>
      <c r="AT193" s="676">
        <v>0</v>
      </c>
      <c r="AU193" s="676"/>
      <c r="AV193" s="676">
        <v>3</v>
      </c>
      <c r="AW193" s="676"/>
      <c r="AX193" s="676">
        <v>232</v>
      </c>
      <c r="AY193" s="676">
        <v>3639</v>
      </c>
      <c r="AZ193" s="676">
        <v>0</v>
      </c>
      <c r="BA193" s="676">
        <v>7</v>
      </c>
      <c r="BB193" s="676">
        <v>-1306</v>
      </c>
      <c r="BC193" s="676">
        <v>293</v>
      </c>
      <c r="BD193" s="676"/>
      <c r="BE193" s="676">
        <v>6.08</v>
      </c>
      <c r="BF193" s="676">
        <v>1009000</v>
      </c>
      <c r="BG193" s="676">
        <v>374000</v>
      </c>
      <c r="BH193" s="676">
        <v>10000</v>
      </c>
      <c r="BI193" s="676">
        <v>22</v>
      </c>
      <c r="BJ193" s="676">
        <v>1068</v>
      </c>
      <c r="BK193" s="676">
        <v>2</v>
      </c>
      <c r="BL193" s="676">
        <v>33448</v>
      </c>
      <c r="BM193" s="676"/>
      <c r="BN193" s="676">
        <v>0</v>
      </c>
      <c r="BO193" s="676"/>
      <c r="BP193" s="676"/>
      <c r="BQ193" s="676">
        <v>0</v>
      </c>
      <c r="BR193" s="676"/>
      <c r="BS193" s="676">
        <v>541</v>
      </c>
      <c r="BT193" s="676">
        <v>2081</v>
      </c>
      <c r="BU193" s="676">
        <v>268</v>
      </c>
      <c r="BV193" s="676"/>
      <c r="BW193" s="676">
        <v>7</v>
      </c>
      <c r="BX193" s="676"/>
      <c r="BY193" s="676"/>
      <c r="BZ193" s="676"/>
      <c r="CA193" s="676"/>
      <c r="CB193" s="676">
        <v>13.18</v>
      </c>
      <c r="CC193" s="676"/>
      <c r="CD193" s="676">
        <v>3</v>
      </c>
      <c r="CE193" s="676"/>
      <c r="CF193" s="676"/>
      <c r="CG193" s="676">
        <v>546000</v>
      </c>
    </row>
    <row r="194" spans="1:85" x14ac:dyDescent="0.25">
      <c r="A194" s="320" t="s">
        <v>1292</v>
      </c>
      <c r="B194" s="320" t="s">
        <v>1293</v>
      </c>
      <c r="C194" s="320"/>
      <c r="D194" s="320" t="s">
        <v>439</v>
      </c>
      <c r="E194" s="320">
        <v>2015</v>
      </c>
      <c r="F194" s="404"/>
      <c r="G194" s="676"/>
      <c r="H194" s="676"/>
      <c r="I194" s="676"/>
      <c r="J194" s="676"/>
      <c r="K194" s="676"/>
      <c r="L194" s="676"/>
      <c r="M194" s="676"/>
      <c r="N194" s="676"/>
      <c r="O194" s="676"/>
      <c r="P194" s="676"/>
      <c r="Q194" s="676"/>
      <c r="R194" s="676"/>
      <c r="S194" s="676">
        <v>2371700</v>
      </c>
      <c r="T194" s="676"/>
      <c r="U194" s="676"/>
      <c r="V194" s="676"/>
      <c r="W194" s="676"/>
      <c r="X194" s="676">
        <v>0</v>
      </c>
      <c r="Y194" s="676"/>
      <c r="Z194" s="676">
        <v>0</v>
      </c>
      <c r="AA194" s="676"/>
      <c r="AB194" s="676"/>
      <c r="AC194" s="676"/>
      <c r="AD194" s="676"/>
      <c r="AE194" s="676"/>
      <c r="AF194" s="676"/>
      <c r="AG194" s="676"/>
      <c r="AH194" s="676"/>
      <c r="AI194" s="676"/>
      <c r="AJ194" s="676"/>
      <c r="AK194" s="676"/>
      <c r="AL194" s="676"/>
      <c r="AM194" s="676"/>
      <c r="AN194" s="676"/>
      <c r="AO194" s="676"/>
      <c r="AP194" s="676"/>
      <c r="AQ194" s="676">
        <v>0</v>
      </c>
      <c r="AR194" s="676"/>
      <c r="AS194" s="676"/>
      <c r="AT194" s="676">
        <v>0</v>
      </c>
      <c r="AU194" s="676"/>
      <c r="AV194" s="676"/>
      <c r="AW194" s="676"/>
      <c r="AX194" s="676"/>
      <c r="AY194" s="676"/>
      <c r="AZ194" s="676">
        <v>0</v>
      </c>
      <c r="BA194" s="676"/>
      <c r="BB194" s="676"/>
      <c r="BC194" s="676"/>
      <c r="BD194" s="676"/>
      <c r="BE194" s="676">
        <v>0</v>
      </c>
      <c r="BF194" s="676"/>
      <c r="BG194" s="676"/>
      <c r="BH194" s="676"/>
      <c r="BI194" s="676"/>
      <c r="BJ194" s="676"/>
      <c r="BK194" s="676"/>
      <c r="BL194" s="676"/>
      <c r="BM194" s="676"/>
      <c r="BN194" s="676">
        <v>0</v>
      </c>
      <c r="BO194" s="676"/>
      <c r="BP194" s="676"/>
      <c r="BQ194" s="676"/>
      <c r="BR194" s="676"/>
      <c r="BS194" s="676"/>
      <c r="BT194" s="676"/>
      <c r="BU194" s="676"/>
      <c r="BV194" s="676"/>
      <c r="BW194" s="676"/>
      <c r="BX194" s="676"/>
      <c r="BY194" s="676"/>
      <c r="BZ194" s="676"/>
      <c r="CA194" s="676"/>
      <c r="CB194" s="676">
        <v>0</v>
      </c>
      <c r="CC194" s="676"/>
      <c r="CD194" s="676"/>
      <c r="CE194" s="676"/>
      <c r="CF194" s="676">
        <v>400000</v>
      </c>
      <c r="CG194" s="676"/>
    </row>
    <row r="195" spans="1:85" x14ac:dyDescent="0.25">
      <c r="A195" s="320" t="s">
        <v>1294</v>
      </c>
      <c r="B195" s="320" t="s">
        <v>1295</v>
      </c>
      <c r="C195" s="320"/>
      <c r="D195" s="320" t="s">
        <v>1296</v>
      </c>
      <c r="E195" s="320">
        <v>2015</v>
      </c>
      <c r="F195" s="404"/>
      <c r="G195" s="676"/>
      <c r="H195" s="676">
        <v>561</v>
      </c>
      <c r="I195" s="676">
        <v>7</v>
      </c>
      <c r="J195" s="676"/>
      <c r="K195" s="676"/>
      <c r="L195" s="676"/>
      <c r="M195" s="676"/>
      <c r="N195" s="676"/>
      <c r="O195" s="676"/>
      <c r="P195" s="676">
        <v>3</v>
      </c>
      <c r="Q195" s="676"/>
      <c r="R195" s="676">
        <v>80</v>
      </c>
      <c r="S195" s="676"/>
      <c r="T195" s="676">
        <v>229</v>
      </c>
      <c r="U195" s="676">
        <v>370000</v>
      </c>
      <c r="V195" s="676">
        <v>1402</v>
      </c>
      <c r="W195" s="676">
        <v>2</v>
      </c>
      <c r="X195" s="676">
        <v>0.45</v>
      </c>
      <c r="Y195" s="676"/>
      <c r="Z195" s="676">
        <v>0</v>
      </c>
      <c r="AA195" s="676"/>
      <c r="AB195" s="676">
        <v>2301</v>
      </c>
      <c r="AC195" s="676"/>
      <c r="AD195" s="676"/>
      <c r="AE195" s="676"/>
      <c r="AF195" s="676">
        <v>18</v>
      </c>
      <c r="AG195" s="676"/>
      <c r="AH195" s="676">
        <v>18</v>
      </c>
      <c r="AI195" s="676"/>
      <c r="AJ195" s="676"/>
      <c r="AK195" s="676"/>
      <c r="AL195" s="676"/>
      <c r="AM195" s="676"/>
      <c r="AN195" s="676"/>
      <c r="AO195" s="676"/>
      <c r="AP195" s="676"/>
      <c r="AQ195" s="676">
        <v>0</v>
      </c>
      <c r="AR195" s="676">
        <v>305</v>
      </c>
      <c r="AS195" s="676"/>
      <c r="AT195" s="676">
        <v>0</v>
      </c>
      <c r="AU195" s="676">
        <v>22455</v>
      </c>
      <c r="AV195" s="676"/>
      <c r="AW195" s="676"/>
      <c r="AX195" s="676"/>
      <c r="AY195" s="676"/>
      <c r="AZ195" s="676">
        <v>0</v>
      </c>
      <c r="BA195" s="676"/>
      <c r="BB195" s="676"/>
      <c r="BC195" s="676">
        <v>3184</v>
      </c>
      <c r="BD195" s="676">
        <v>18284</v>
      </c>
      <c r="BE195" s="676">
        <v>0</v>
      </c>
      <c r="BF195" s="676">
        <v>577000</v>
      </c>
      <c r="BG195" s="676"/>
      <c r="BH195" s="676"/>
      <c r="BI195" s="676">
        <v>476</v>
      </c>
      <c r="BJ195" s="676"/>
      <c r="BK195" s="676">
        <v>19</v>
      </c>
      <c r="BL195" s="676"/>
      <c r="BM195" s="676">
        <v>4744000</v>
      </c>
      <c r="BN195" s="676">
        <v>0</v>
      </c>
      <c r="BO195" s="676"/>
      <c r="BP195" s="676"/>
      <c r="BQ195" s="676">
        <v>1758</v>
      </c>
      <c r="BR195" s="676"/>
      <c r="BS195" s="676"/>
      <c r="BT195" s="676"/>
      <c r="BU195" s="676"/>
      <c r="BV195" s="676"/>
      <c r="BW195" s="676"/>
      <c r="BX195" s="676"/>
      <c r="BY195" s="676"/>
      <c r="BZ195" s="676">
        <v>1378000</v>
      </c>
      <c r="CA195" s="676"/>
      <c r="CB195" s="676">
        <v>0.42</v>
      </c>
      <c r="CC195" s="676"/>
      <c r="CD195" s="676"/>
      <c r="CE195" s="676">
        <v>191000</v>
      </c>
      <c r="CF195" s="676">
        <v>176000</v>
      </c>
      <c r="CG195" s="676">
        <v>0</v>
      </c>
    </row>
    <row r="196" spans="1:85" x14ac:dyDescent="0.25">
      <c r="A196" s="320" t="s">
        <v>1222</v>
      </c>
      <c r="B196" s="320" t="s">
        <v>1436</v>
      </c>
      <c r="C196" s="320" t="s">
        <v>1437</v>
      </c>
      <c r="D196" s="320" t="s">
        <v>778</v>
      </c>
      <c r="E196" s="320">
        <v>2015</v>
      </c>
      <c r="F196" s="404">
        <v>1490</v>
      </c>
      <c r="G196" s="676">
        <v>1778</v>
      </c>
      <c r="H196" s="676">
        <v>39362</v>
      </c>
      <c r="I196" s="676">
        <v>236946</v>
      </c>
      <c r="J196" s="676">
        <v>50354</v>
      </c>
      <c r="K196" s="676">
        <v>4489</v>
      </c>
      <c r="L196" s="676">
        <v>16804</v>
      </c>
      <c r="M196" s="676">
        <v>814761</v>
      </c>
      <c r="N196" s="676">
        <v>139251</v>
      </c>
      <c r="O196" s="676">
        <v>36948</v>
      </c>
      <c r="P196" s="676">
        <v>123954</v>
      </c>
      <c r="Q196" s="676">
        <v>11304</v>
      </c>
      <c r="R196" s="676">
        <v>36947</v>
      </c>
      <c r="S196" s="676">
        <v>1655855</v>
      </c>
      <c r="T196" s="676">
        <v>716994</v>
      </c>
      <c r="U196" s="676">
        <v>43199000</v>
      </c>
      <c r="V196" s="676">
        <v>42589</v>
      </c>
      <c r="W196" s="676">
        <v>34496</v>
      </c>
      <c r="X196" s="676">
        <v>14600.5</v>
      </c>
      <c r="Y196" s="676">
        <v>116932</v>
      </c>
      <c r="Z196" s="676">
        <v>21993</v>
      </c>
      <c r="AA196" s="676">
        <v>1550</v>
      </c>
      <c r="AB196" s="676">
        <v>47433</v>
      </c>
      <c r="AC196" s="676">
        <v>339.56</v>
      </c>
      <c r="AD196" s="676">
        <v>159618</v>
      </c>
      <c r="AE196" s="676">
        <v>12889</v>
      </c>
      <c r="AF196" s="676">
        <v>2627686</v>
      </c>
      <c r="AG196" s="676">
        <v>58293</v>
      </c>
      <c r="AH196" s="676">
        <v>8813</v>
      </c>
      <c r="AI196" s="676">
        <v>2966</v>
      </c>
      <c r="AJ196" s="676">
        <v>18717</v>
      </c>
      <c r="AK196" s="676">
        <v>214765</v>
      </c>
      <c r="AL196" s="676">
        <v>675394</v>
      </c>
      <c r="AM196" s="676">
        <v>489619</v>
      </c>
      <c r="AN196" s="676">
        <v>3126000</v>
      </c>
      <c r="AO196" s="676">
        <v>69861</v>
      </c>
      <c r="AP196" s="676">
        <v>37066</v>
      </c>
      <c r="AQ196" s="676">
        <v>23558</v>
      </c>
      <c r="AR196" s="676">
        <v>5572</v>
      </c>
      <c r="AS196" s="676">
        <v>2789</v>
      </c>
      <c r="AT196" s="676">
        <v>1860.43</v>
      </c>
      <c r="AU196" s="676">
        <v>31383</v>
      </c>
      <c r="AV196" s="676">
        <v>3606</v>
      </c>
      <c r="AW196" s="676">
        <v>3180</v>
      </c>
      <c r="AX196" s="676">
        <v>4448437</v>
      </c>
      <c r="AY196" s="676">
        <v>95098</v>
      </c>
      <c r="AZ196" s="676">
        <v>14985</v>
      </c>
      <c r="BA196" s="676">
        <v>438104</v>
      </c>
      <c r="BB196" s="676">
        <v>153713</v>
      </c>
      <c r="BC196" s="676">
        <v>13737667</v>
      </c>
      <c r="BD196" s="676">
        <v>812498</v>
      </c>
      <c r="BE196" s="676">
        <v>4355.13</v>
      </c>
      <c r="BF196" s="676">
        <v>4550000</v>
      </c>
      <c r="BG196" s="676">
        <v>171970000</v>
      </c>
      <c r="BH196" s="676">
        <v>12888000</v>
      </c>
      <c r="BI196" s="676">
        <v>136487</v>
      </c>
      <c r="BJ196" s="676">
        <v>655361</v>
      </c>
      <c r="BK196" s="676">
        <v>10650</v>
      </c>
      <c r="BL196" s="676">
        <v>2945</v>
      </c>
      <c r="BM196" s="676">
        <v>985000</v>
      </c>
      <c r="BN196" s="676">
        <v>201227</v>
      </c>
      <c r="BO196" s="676">
        <v>2433</v>
      </c>
      <c r="BP196" s="676">
        <v>1454</v>
      </c>
      <c r="BQ196" s="676">
        <v>4371</v>
      </c>
      <c r="BR196" s="676">
        <v>1422</v>
      </c>
      <c r="BS196" s="676">
        <v>350704</v>
      </c>
      <c r="BT196" s="676">
        <v>767746</v>
      </c>
      <c r="BU196" s="676">
        <v>79515</v>
      </c>
      <c r="BV196" s="676">
        <v>1386</v>
      </c>
      <c r="BW196" s="676">
        <v>5657357</v>
      </c>
      <c r="BX196" s="676">
        <v>187421</v>
      </c>
      <c r="BY196" s="676">
        <v>23806</v>
      </c>
      <c r="BZ196" s="676">
        <v>2606000</v>
      </c>
      <c r="CA196" s="676">
        <v>8928.32</v>
      </c>
      <c r="CB196" s="676">
        <v>121933.39</v>
      </c>
      <c r="CC196" s="676">
        <v>23259000</v>
      </c>
      <c r="CD196" s="676">
        <v>11854</v>
      </c>
      <c r="CE196" s="676">
        <v>335000</v>
      </c>
      <c r="CF196" s="676">
        <v>5425000</v>
      </c>
      <c r="CG196" s="676">
        <v>4068000</v>
      </c>
    </row>
    <row r="197" spans="1:85" x14ac:dyDescent="0.25">
      <c r="A197" s="320" t="s">
        <v>1297</v>
      </c>
      <c r="B197" s="320" t="s">
        <v>1298</v>
      </c>
      <c r="C197" s="320"/>
      <c r="D197" s="320" t="s">
        <v>780</v>
      </c>
      <c r="E197" s="320">
        <v>2015</v>
      </c>
      <c r="F197" s="404"/>
      <c r="G197" s="676"/>
      <c r="H197" s="676"/>
      <c r="I197" s="676"/>
      <c r="J197" s="676"/>
      <c r="K197" s="676"/>
      <c r="L197" s="676"/>
      <c r="M197" s="676">
        <v>123052</v>
      </c>
      <c r="N197" s="676"/>
      <c r="O197" s="676"/>
      <c r="P197" s="676"/>
      <c r="Q197" s="676"/>
      <c r="R197" s="676"/>
      <c r="S197" s="676"/>
      <c r="T197" s="676"/>
      <c r="U197" s="676"/>
      <c r="V197" s="676"/>
      <c r="W197" s="676"/>
      <c r="X197" s="676">
        <v>0</v>
      </c>
      <c r="Y197" s="676"/>
      <c r="Z197" s="676">
        <v>0</v>
      </c>
      <c r="AA197" s="676"/>
      <c r="AB197" s="676"/>
      <c r="AC197" s="676"/>
      <c r="AD197" s="676"/>
      <c r="AE197" s="676"/>
      <c r="AF197" s="676"/>
      <c r="AG197" s="676"/>
      <c r="AH197" s="676"/>
      <c r="AI197" s="676"/>
      <c r="AJ197" s="676"/>
      <c r="AK197" s="676"/>
      <c r="AL197" s="676">
        <v>308944</v>
      </c>
      <c r="AM197" s="676"/>
      <c r="AN197" s="676"/>
      <c r="AO197" s="676"/>
      <c r="AP197" s="676"/>
      <c r="AQ197" s="676">
        <v>0</v>
      </c>
      <c r="AR197" s="676"/>
      <c r="AS197" s="676"/>
      <c r="AT197" s="676">
        <v>0</v>
      </c>
      <c r="AU197" s="676"/>
      <c r="AV197" s="676"/>
      <c r="AW197" s="676"/>
      <c r="AX197" s="676">
        <v>3996030</v>
      </c>
      <c r="AY197" s="676"/>
      <c r="AZ197" s="676">
        <v>0</v>
      </c>
      <c r="BA197" s="676"/>
      <c r="BB197" s="676"/>
      <c r="BC197" s="676">
        <v>13692492</v>
      </c>
      <c r="BD197" s="676"/>
      <c r="BE197" s="676">
        <v>0</v>
      </c>
      <c r="BF197" s="676"/>
      <c r="BG197" s="676"/>
      <c r="BH197" s="676"/>
      <c r="BI197" s="676"/>
      <c r="BJ197" s="676"/>
      <c r="BK197" s="676"/>
      <c r="BL197" s="676"/>
      <c r="BM197" s="676"/>
      <c r="BN197" s="676">
        <v>0</v>
      </c>
      <c r="BO197" s="676"/>
      <c r="BP197" s="676"/>
      <c r="BQ197" s="676"/>
      <c r="BR197" s="676"/>
      <c r="BS197" s="676"/>
      <c r="BT197" s="676"/>
      <c r="BU197" s="676"/>
      <c r="BV197" s="676"/>
      <c r="BW197" s="676"/>
      <c r="BX197" s="676"/>
      <c r="BY197" s="676"/>
      <c r="BZ197" s="676"/>
      <c r="CA197" s="676"/>
      <c r="CB197" s="676">
        <v>0</v>
      </c>
      <c r="CC197" s="676"/>
      <c r="CD197" s="676"/>
      <c r="CE197" s="676"/>
      <c r="CF197" s="676"/>
      <c r="CG197" s="676"/>
    </row>
    <row r="198" spans="1:85" x14ac:dyDescent="0.25">
      <c r="A198" s="320" t="s">
        <v>1299</v>
      </c>
      <c r="B198" s="320" t="s">
        <v>1300</v>
      </c>
      <c r="C198" s="320"/>
      <c r="D198" s="320" t="s">
        <v>454</v>
      </c>
      <c r="E198" s="320">
        <v>2015</v>
      </c>
      <c r="F198" s="404"/>
      <c r="G198" s="676"/>
      <c r="H198" s="676"/>
      <c r="I198" s="676"/>
      <c r="J198" s="676"/>
      <c r="K198" s="676"/>
      <c r="L198" s="676"/>
      <c r="M198" s="676"/>
      <c r="N198" s="676"/>
      <c r="O198" s="676"/>
      <c r="P198" s="676"/>
      <c r="Q198" s="676"/>
      <c r="R198" s="676"/>
      <c r="S198" s="676"/>
      <c r="T198" s="676"/>
      <c r="U198" s="676"/>
      <c r="V198" s="676"/>
      <c r="W198" s="676"/>
      <c r="X198" s="676">
        <v>0</v>
      </c>
      <c r="Y198" s="676"/>
      <c r="Z198" s="676">
        <v>0</v>
      </c>
      <c r="AA198" s="676"/>
      <c r="AB198" s="676"/>
      <c r="AC198" s="676"/>
      <c r="AD198" s="676"/>
      <c r="AE198" s="676"/>
      <c r="AF198" s="676"/>
      <c r="AG198" s="676"/>
      <c r="AH198" s="676"/>
      <c r="AI198" s="676"/>
      <c r="AJ198" s="676"/>
      <c r="AK198" s="676"/>
      <c r="AL198" s="676"/>
      <c r="AM198" s="676"/>
      <c r="AN198" s="676"/>
      <c r="AO198" s="676"/>
      <c r="AP198" s="676"/>
      <c r="AQ198" s="676">
        <v>0</v>
      </c>
      <c r="AR198" s="676"/>
      <c r="AS198" s="676"/>
      <c r="AT198" s="676">
        <v>0</v>
      </c>
      <c r="AU198" s="676"/>
      <c r="AV198" s="676"/>
      <c r="AW198" s="676"/>
      <c r="AX198" s="676"/>
      <c r="AY198" s="676"/>
      <c r="AZ198" s="676">
        <v>0</v>
      </c>
      <c r="BA198" s="676"/>
      <c r="BB198" s="676"/>
      <c r="BC198" s="676"/>
      <c r="BD198" s="676"/>
      <c r="BE198" s="676">
        <v>0</v>
      </c>
      <c r="BF198" s="676"/>
      <c r="BG198" s="676">
        <v>70542000</v>
      </c>
      <c r="BH198" s="676"/>
      <c r="BI198" s="676"/>
      <c r="BJ198" s="676"/>
      <c r="BK198" s="676"/>
      <c r="BL198" s="676"/>
      <c r="BM198" s="676"/>
      <c r="BN198" s="676">
        <v>0</v>
      </c>
      <c r="BO198" s="676"/>
      <c r="BP198" s="676"/>
      <c r="BQ198" s="676"/>
      <c r="BR198" s="676"/>
      <c r="BS198" s="676"/>
      <c r="BT198" s="676"/>
      <c r="BU198" s="676"/>
      <c r="BV198" s="676"/>
      <c r="BW198" s="676"/>
      <c r="BX198" s="676"/>
      <c r="BY198" s="676"/>
      <c r="BZ198" s="676"/>
      <c r="CA198" s="676"/>
      <c r="CB198" s="676">
        <v>0</v>
      </c>
      <c r="CC198" s="676"/>
      <c r="CD198" s="676"/>
      <c r="CE198" s="676"/>
      <c r="CF198" s="676"/>
      <c r="CG198" s="676"/>
    </row>
    <row r="199" spans="1:85" x14ac:dyDescent="0.25">
      <c r="A199" s="320" t="s">
        <v>1301</v>
      </c>
      <c r="B199" s="320" t="s">
        <v>1302</v>
      </c>
      <c r="C199" s="320"/>
      <c r="D199" s="320" t="s">
        <v>1303</v>
      </c>
      <c r="E199" s="320">
        <v>2015</v>
      </c>
      <c r="F199" s="404"/>
      <c r="G199" s="676"/>
      <c r="H199" s="676"/>
      <c r="I199" s="676"/>
      <c r="J199" s="676"/>
      <c r="K199" s="676"/>
      <c r="L199" s="676"/>
      <c r="M199" s="676"/>
      <c r="N199" s="676"/>
      <c r="O199" s="676"/>
      <c r="P199" s="676"/>
      <c r="Q199" s="676"/>
      <c r="R199" s="676"/>
      <c r="S199" s="676"/>
      <c r="T199" s="676"/>
      <c r="U199" s="676"/>
      <c r="V199" s="676"/>
      <c r="W199" s="676"/>
      <c r="X199" s="676">
        <v>0</v>
      </c>
      <c r="Y199" s="676"/>
      <c r="Z199" s="676">
        <v>0</v>
      </c>
      <c r="AA199" s="676"/>
      <c r="AB199" s="676"/>
      <c r="AC199" s="676"/>
      <c r="AD199" s="676"/>
      <c r="AE199" s="676"/>
      <c r="AF199" s="676"/>
      <c r="AG199" s="676"/>
      <c r="AH199" s="676"/>
      <c r="AI199" s="676"/>
      <c r="AJ199" s="676"/>
      <c r="AK199" s="676"/>
      <c r="AL199" s="676"/>
      <c r="AM199" s="676"/>
      <c r="AN199" s="676"/>
      <c r="AO199" s="676"/>
      <c r="AP199" s="676"/>
      <c r="AQ199" s="676">
        <v>0</v>
      </c>
      <c r="AR199" s="676"/>
      <c r="AS199" s="676"/>
      <c r="AT199" s="676">
        <v>0</v>
      </c>
      <c r="AU199" s="676"/>
      <c r="AV199" s="676"/>
      <c r="AW199" s="676"/>
      <c r="AX199" s="676"/>
      <c r="AY199" s="676"/>
      <c r="AZ199" s="676">
        <v>0</v>
      </c>
      <c r="BA199" s="676"/>
      <c r="BB199" s="676"/>
      <c r="BC199" s="676"/>
      <c r="BD199" s="676"/>
      <c r="BE199" s="676">
        <v>0</v>
      </c>
      <c r="BF199" s="676"/>
      <c r="BG199" s="676"/>
      <c r="BH199" s="676"/>
      <c r="BI199" s="676"/>
      <c r="BJ199" s="676"/>
      <c r="BK199" s="676"/>
      <c r="BL199" s="676"/>
      <c r="BM199" s="676"/>
      <c r="BN199" s="676">
        <v>0</v>
      </c>
      <c r="BO199" s="676"/>
      <c r="BP199" s="676"/>
      <c r="BQ199" s="676"/>
      <c r="BR199" s="676"/>
      <c r="BS199" s="676"/>
      <c r="BT199" s="676">
        <v>756500</v>
      </c>
      <c r="BU199" s="676"/>
      <c r="BV199" s="676"/>
      <c r="BW199" s="676"/>
      <c r="BX199" s="676"/>
      <c r="BY199" s="676"/>
      <c r="BZ199" s="676"/>
      <c r="CA199" s="676"/>
      <c r="CB199" s="676">
        <v>2.79</v>
      </c>
      <c r="CC199" s="676"/>
      <c r="CD199" s="676"/>
      <c r="CE199" s="676"/>
      <c r="CF199" s="676"/>
      <c r="CG199" s="676"/>
    </row>
    <row r="200" spans="1:85" x14ac:dyDescent="0.25">
      <c r="A200" s="320" t="s">
        <v>1304</v>
      </c>
      <c r="B200" s="320" t="s">
        <v>1438</v>
      </c>
      <c r="C200" s="320" t="s">
        <v>1439</v>
      </c>
      <c r="D200" s="320" t="s">
        <v>443</v>
      </c>
      <c r="E200" s="320">
        <v>2015</v>
      </c>
      <c r="F200" s="404"/>
      <c r="G200" s="676"/>
      <c r="H200" s="676">
        <v>19267</v>
      </c>
      <c r="I200" s="676">
        <v>221138</v>
      </c>
      <c r="J200" s="676">
        <v>48610</v>
      </c>
      <c r="K200" s="676">
        <v>0</v>
      </c>
      <c r="L200" s="676">
        <v>13908</v>
      </c>
      <c r="M200" s="676"/>
      <c r="N200" s="676">
        <v>26962</v>
      </c>
      <c r="O200" s="676">
        <v>0</v>
      </c>
      <c r="P200" s="676">
        <v>1285</v>
      </c>
      <c r="Q200" s="676"/>
      <c r="R200" s="676">
        <v>31444</v>
      </c>
      <c r="S200" s="676">
        <v>63848</v>
      </c>
      <c r="T200" s="676">
        <v>703764</v>
      </c>
      <c r="U200" s="676">
        <v>42618000</v>
      </c>
      <c r="V200" s="676"/>
      <c r="W200" s="676">
        <v>20732</v>
      </c>
      <c r="X200" s="676">
        <v>13850.15</v>
      </c>
      <c r="Y200" s="676">
        <v>11534</v>
      </c>
      <c r="Z200" s="676">
        <v>0</v>
      </c>
      <c r="AA200" s="676"/>
      <c r="AB200" s="676">
        <v>1</v>
      </c>
      <c r="AC200" s="676"/>
      <c r="AD200" s="676">
        <v>46629</v>
      </c>
      <c r="AE200" s="676"/>
      <c r="AF200" s="676">
        <v>2063882</v>
      </c>
      <c r="AG200" s="676">
        <v>52413</v>
      </c>
      <c r="AH200" s="676">
        <v>272</v>
      </c>
      <c r="AI200" s="676"/>
      <c r="AJ200" s="676">
        <v>15867</v>
      </c>
      <c r="AK200" s="676">
        <v>193081</v>
      </c>
      <c r="AL200" s="676">
        <v>165276</v>
      </c>
      <c r="AM200" s="676">
        <v>228731</v>
      </c>
      <c r="AN200" s="676">
        <v>3126000</v>
      </c>
      <c r="AO200" s="676">
        <v>3</v>
      </c>
      <c r="AP200" s="676">
        <v>14046</v>
      </c>
      <c r="AQ200" s="676">
        <v>12478</v>
      </c>
      <c r="AR200" s="676">
        <v>568</v>
      </c>
      <c r="AS200" s="676">
        <v>47</v>
      </c>
      <c r="AT200" s="676">
        <v>0</v>
      </c>
      <c r="AU200" s="676">
        <v>26628</v>
      </c>
      <c r="AV200" s="676"/>
      <c r="AW200" s="676"/>
      <c r="AX200" s="676">
        <v>349247</v>
      </c>
      <c r="AY200" s="676">
        <v>60281</v>
      </c>
      <c r="AZ200" s="676">
        <v>0</v>
      </c>
      <c r="BA200" s="676">
        <v>433296</v>
      </c>
      <c r="BB200" s="676">
        <v>34818</v>
      </c>
      <c r="BC200" s="676">
        <v>16736</v>
      </c>
      <c r="BD200" s="676">
        <v>812498</v>
      </c>
      <c r="BE200" s="676">
        <v>0.08</v>
      </c>
      <c r="BF200" s="676">
        <v>27000</v>
      </c>
      <c r="BG200" s="676">
        <v>97453000</v>
      </c>
      <c r="BH200" s="676">
        <v>4858000</v>
      </c>
      <c r="BI200" s="676">
        <v>113063</v>
      </c>
      <c r="BJ200" s="676">
        <v>537222</v>
      </c>
      <c r="BK200" s="676"/>
      <c r="BL200" s="676">
        <v>2</v>
      </c>
      <c r="BM200" s="676">
        <v>985000</v>
      </c>
      <c r="BN200" s="676">
        <v>198490</v>
      </c>
      <c r="BO200" s="676"/>
      <c r="BP200" s="676"/>
      <c r="BQ200" s="676">
        <v>3294</v>
      </c>
      <c r="BR200" s="676"/>
      <c r="BS200" s="676">
        <v>80</v>
      </c>
      <c r="BT200" s="676">
        <v>1</v>
      </c>
      <c r="BU200" s="676">
        <v>56910</v>
      </c>
      <c r="BV200" s="676"/>
      <c r="BW200" s="676">
        <v>5606475</v>
      </c>
      <c r="BX200" s="676">
        <v>161913</v>
      </c>
      <c r="BY200" s="676">
        <v>18011</v>
      </c>
      <c r="BZ200" s="676">
        <v>2606000</v>
      </c>
      <c r="CA200" s="676">
        <v>7568.11</v>
      </c>
      <c r="CB200" s="676">
        <v>114651.07</v>
      </c>
      <c r="CC200" s="676">
        <v>21741000</v>
      </c>
      <c r="CD200" s="676"/>
      <c r="CE200" s="676">
        <v>335000</v>
      </c>
      <c r="CF200" s="676">
        <v>5329000</v>
      </c>
      <c r="CG200" s="676">
        <v>3487000</v>
      </c>
    </row>
    <row r="201" spans="1:85" x14ac:dyDescent="0.25">
      <c r="A201" s="320" t="s">
        <v>1305</v>
      </c>
      <c r="B201" s="320" t="s">
        <v>1306</v>
      </c>
      <c r="C201" s="320"/>
      <c r="D201" s="320" t="s">
        <v>446</v>
      </c>
      <c r="E201" s="320">
        <v>2015</v>
      </c>
      <c r="F201" s="404"/>
      <c r="G201" s="676"/>
      <c r="H201" s="676">
        <v>19267</v>
      </c>
      <c r="I201" s="676">
        <v>26994</v>
      </c>
      <c r="J201" s="676"/>
      <c r="K201" s="676"/>
      <c r="L201" s="676"/>
      <c r="M201" s="676"/>
      <c r="N201" s="676">
        <v>26960</v>
      </c>
      <c r="O201" s="676"/>
      <c r="P201" s="676"/>
      <c r="Q201" s="676"/>
      <c r="R201" s="676">
        <v>0</v>
      </c>
      <c r="S201" s="676">
        <v>32000</v>
      </c>
      <c r="T201" s="676"/>
      <c r="U201" s="676"/>
      <c r="V201" s="676"/>
      <c r="W201" s="676"/>
      <c r="X201" s="676">
        <v>0</v>
      </c>
      <c r="Y201" s="676">
        <v>10730</v>
      </c>
      <c r="Z201" s="676">
        <v>0</v>
      </c>
      <c r="AA201" s="676"/>
      <c r="AB201" s="676"/>
      <c r="AC201" s="676"/>
      <c r="AD201" s="676"/>
      <c r="AE201" s="676"/>
      <c r="AF201" s="676"/>
      <c r="AG201" s="676"/>
      <c r="AH201" s="676"/>
      <c r="AI201" s="676"/>
      <c r="AJ201" s="676"/>
      <c r="AK201" s="676"/>
      <c r="AL201" s="676">
        <v>22111</v>
      </c>
      <c r="AM201" s="676"/>
      <c r="AN201" s="676"/>
      <c r="AO201" s="676">
        <v>3</v>
      </c>
      <c r="AP201" s="676"/>
      <c r="AQ201" s="676">
        <v>0</v>
      </c>
      <c r="AR201" s="676">
        <v>568</v>
      </c>
      <c r="AS201" s="676">
        <v>47</v>
      </c>
      <c r="AT201" s="676">
        <v>0</v>
      </c>
      <c r="AU201" s="676">
        <v>25973</v>
      </c>
      <c r="AV201" s="676"/>
      <c r="AW201" s="676"/>
      <c r="AX201" s="676">
        <v>349247</v>
      </c>
      <c r="AY201" s="676"/>
      <c r="AZ201" s="676">
        <v>0</v>
      </c>
      <c r="BA201" s="676"/>
      <c r="BB201" s="676">
        <v>30781</v>
      </c>
      <c r="BC201" s="676"/>
      <c r="BD201" s="676"/>
      <c r="BE201" s="676">
        <v>0</v>
      </c>
      <c r="BF201" s="676"/>
      <c r="BG201" s="676"/>
      <c r="BH201" s="676"/>
      <c r="BI201" s="676"/>
      <c r="BJ201" s="676">
        <v>250181</v>
      </c>
      <c r="BK201" s="676"/>
      <c r="BL201" s="676"/>
      <c r="BM201" s="676"/>
      <c r="BN201" s="676">
        <v>0</v>
      </c>
      <c r="BO201" s="676"/>
      <c r="BP201" s="676"/>
      <c r="BQ201" s="676"/>
      <c r="BR201" s="676"/>
      <c r="BS201" s="676"/>
      <c r="BT201" s="676"/>
      <c r="BU201" s="676"/>
      <c r="BV201" s="676"/>
      <c r="BW201" s="676"/>
      <c r="BX201" s="676"/>
      <c r="BY201" s="676">
        <v>12492</v>
      </c>
      <c r="BZ201" s="676"/>
      <c r="CA201" s="676"/>
      <c r="CB201" s="676">
        <v>0</v>
      </c>
      <c r="CC201" s="676"/>
      <c r="CD201" s="676"/>
      <c r="CE201" s="676"/>
      <c r="CF201" s="676"/>
      <c r="CG201" s="676"/>
    </row>
    <row r="202" spans="1:85" x14ac:dyDescent="0.25">
      <c r="A202" s="320" t="s">
        <v>1307</v>
      </c>
      <c r="B202" s="320" t="s">
        <v>1308</v>
      </c>
      <c r="C202" s="320"/>
      <c r="D202" s="320" t="s">
        <v>441</v>
      </c>
      <c r="E202" s="320">
        <v>2015</v>
      </c>
      <c r="F202" s="404"/>
      <c r="G202" s="676"/>
      <c r="H202" s="676"/>
      <c r="I202" s="676">
        <v>194144</v>
      </c>
      <c r="J202" s="676">
        <v>48610</v>
      </c>
      <c r="K202" s="676"/>
      <c r="L202" s="676">
        <v>13908</v>
      </c>
      <c r="M202" s="676"/>
      <c r="N202" s="676">
        <v>2</v>
      </c>
      <c r="O202" s="676">
        <v>0</v>
      </c>
      <c r="P202" s="676">
        <v>1285</v>
      </c>
      <c r="Q202" s="676"/>
      <c r="R202" s="676">
        <v>31444</v>
      </c>
      <c r="S202" s="676">
        <v>31848</v>
      </c>
      <c r="T202" s="676">
        <v>703764</v>
      </c>
      <c r="U202" s="676"/>
      <c r="V202" s="676"/>
      <c r="W202" s="676">
        <v>20732</v>
      </c>
      <c r="X202" s="676">
        <v>13850.15</v>
      </c>
      <c r="Y202" s="676">
        <v>804</v>
      </c>
      <c r="Z202" s="676">
        <v>0</v>
      </c>
      <c r="AA202" s="676"/>
      <c r="AB202" s="676">
        <v>1</v>
      </c>
      <c r="AC202" s="676"/>
      <c r="AD202" s="676">
        <v>46629</v>
      </c>
      <c r="AE202" s="676"/>
      <c r="AF202" s="676">
        <v>2063882</v>
      </c>
      <c r="AG202" s="676">
        <v>52413</v>
      </c>
      <c r="AH202" s="676">
        <v>272</v>
      </c>
      <c r="AI202" s="676"/>
      <c r="AJ202" s="676">
        <v>15867</v>
      </c>
      <c r="AK202" s="676">
        <v>193081</v>
      </c>
      <c r="AL202" s="676">
        <v>143165</v>
      </c>
      <c r="AM202" s="676">
        <v>228731</v>
      </c>
      <c r="AN202" s="676"/>
      <c r="AO202" s="676"/>
      <c r="AP202" s="676">
        <v>14046</v>
      </c>
      <c r="AQ202" s="676">
        <v>12478</v>
      </c>
      <c r="AR202" s="676"/>
      <c r="AS202" s="676"/>
      <c r="AT202" s="676">
        <v>0</v>
      </c>
      <c r="AU202" s="676">
        <v>655</v>
      </c>
      <c r="AV202" s="676"/>
      <c r="AW202" s="676"/>
      <c r="AX202" s="676"/>
      <c r="AY202" s="676">
        <v>60281</v>
      </c>
      <c r="AZ202" s="676">
        <v>0</v>
      </c>
      <c r="BA202" s="676">
        <v>433296</v>
      </c>
      <c r="BB202" s="676">
        <v>4037</v>
      </c>
      <c r="BC202" s="676">
        <v>16736</v>
      </c>
      <c r="BD202" s="676"/>
      <c r="BE202" s="676">
        <v>0.08</v>
      </c>
      <c r="BF202" s="676"/>
      <c r="BG202" s="676">
        <v>97453000</v>
      </c>
      <c r="BH202" s="676"/>
      <c r="BI202" s="676">
        <v>113063</v>
      </c>
      <c r="BJ202" s="676">
        <v>287041</v>
      </c>
      <c r="BK202" s="676"/>
      <c r="BL202" s="676">
        <v>2</v>
      </c>
      <c r="BM202" s="676"/>
      <c r="BN202" s="676">
        <v>198490</v>
      </c>
      <c r="BO202" s="676"/>
      <c r="BP202" s="676"/>
      <c r="BQ202" s="676">
        <v>3294</v>
      </c>
      <c r="BR202" s="676"/>
      <c r="BS202" s="676">
        <v>80</v>
      </c>
      <c r="BT202" s="676">
        <v>1</v>
      </c>
      <c r="BU202" s="676">
        <v>56910</v>
      </c>
      <c r="BV202" s="676"/>
      <c r="BW202" s="676">
        <v>5606475</v>
      </c>
      <c r="BX202" s="676">
        <v>161913</v>
      </c>
      <c r="BY202" s="676">
        <v>5519</v>
      </c>
      <c r="BZ202" s="676"/>
      <c r="CA202" s="676">
        <v>7568.11</v>
      </c>
      <c r="CB202" s="676">
        <v>114651.07</v>
      </c>
      <c r="CC202" s="676">
        <v>21741000</v>
      </c>
      <c r="CD202" s="676"/>
      <c r="CE202" s="676"/>
      <c r="CF202" s="676"/>
      <c r="CG202" s="676"/>
    </row>
    <row r="203" spans="1:85" x14ac:dyDescent="0.25">
      <c r="A203" s="320" t="s">
        <v>1309</v>
      </c>
      <c r="B203" s="320" t="s">
        <v>1310</v>
      </c>
      <c r="C203" s="320"/>
      <c r="D203" s="320" t="s">
        <v>448</v>
      </c>
      <c r="E203" s="320">
        <v>2015</v>
      </c>
      <c r="F203" s="404"/>
      <c r="G203" s="676">
        <v>8</v>
      </c>
      <c r="H203" s="676">
        <v>162</v>
      </c>
      <c r="I203" s="676">
        <v>395</v>
      </c>
      <c r="J203" s="676">
        <v>263</v>
      </c>
      <c r="K203" s="676">
        <v>67</v>
      </c>
      <c r="L203" s="676">
        <v>1047</v>
      </c>
      <c r="M203" s="676">
        <v>676403</v>
      </c>
      <c r="N203" s="676">
        <v>4058</v>
      </c>
      <c r="O203" s="676">
        <v>12954</v>
      </c>
      <c r="P203" s="676">
        <v>1543</v>
      </c>
      <c r="Q203" s="676">
        <v>5413</v>
      </c>
      <c r="R203" s="676">
        <v>12</v>
      </c>
      <c r="S203" s="676">
        <v>625</v>
      </c>
      <c r="T203" s="676">
        <v>4059</v>
      </c>
      <c r="U203" s="676">
        <v>494000</v>
      </c>
      <c r="V203" s="676">
        <v>93</v>
      </c>
      <c r="W203" s="676">
        <v>2</v>
      </c>
      <c r="X203" s="676">
        <v>0</v>
      </c>
      <c r="Y203" s="676">
        <v>538</v>
      </c>
      <c r="Z203" s="676">
        <v>49</v>
      </c>
      <c r="AA203" s="676"/>
      <c r="AB203" s="676">
        <v>468</v>
      </c>
      <c r="AC203" s="676">
        <v>12.96</v>
      </c>
      <c r="AD203" s="676">
        <v>94343</v>
      </c>
      <c r="AE203" s="676">
        <v>1316</v>
      </c>
      <c r="AF203" s="676">
        <v>6038</v>
      </c>
      <c r="AG203" s="676">
        <v>23</v>
      </c>
      <c r="AH203" s="676">
        <v>112</v>
      </c>
      <c r="AI203" s="676">
        <v>490</v>
      </c>
      <c r="AJ203" s="676">
        <v>24</v>
      </c>
      <c r="AK203" s="676">
        <v>7519</v>
      </c>
      <c r="AL203" s="676">
        <v>39764</v>
      </c>
      <c r="AM203" s="676">
        <v>140556</v>
      </c>
      <c r="AN203" s="676"/>
      <c r="AO203" s="676">
        <v>48</v>
      </c>
      <c r="AP203" s="676">
        <v>30</v>
      </c>
      <c r="AQ203" s="676">
        <v>209</v>
      </c>
      <c r="AR203" s="676"/>
      <c r="AS203" s="676"/>
      <c r="AT203" s="676">
        <v>1.35</v>
      </c>
      <c r="AU203" s="676">
        <v>370</v>
      </c>
      <c r="AV203" s="676">
        <v>43</v>
      </c>
      <c r="AW203" s="676">
        <v>11</v>
      </c>
      <c r="AX203" s="676">
        <v>2</v>
      </c>
      <c r="AY203" s="676">
        <v>12331</v>
      </c>
      <c r="AZ203" s="676">
        <v>18</v>
      </c>
      <c r="BA203" s="676">
        <v>37</v>
      </c>
      <c r="BB203" s="676">
        <v>1730</v>
      </c>
      <c r="BC203" s="676">
        <v>663</v>
      </c>
      <c r="BD203" s="676"/>
      <c r="BE203" s="676">
        <v>211.57</v>
      </c>
      <c r="BF203" s="676">
        <v>415000</v>
      </c>
      <c r="BG203" s="676"/>
      <c r="BH203" s="676">
        <v>274000</v>
      </c>
      <c r="BI203" s="676">
        <v>186</v>
      </c>
      <c r="BJ203" s="676">
        <v>93278</v>
      </c>
      <c r="BK203" s="676">
        <v>5</v>
      </c>
      <c r="BL203" s="676"/>
      <c r="BM203" s="676"/>
      <c r="BN203" s="676">
        <v>0</v>
      </c>
      <c r="BO203" s="676"/>
      <c r="BP203" s="676">
        <v>3</v>
      </c>
      <c r="BQ203" s="676">
        <v>169</v>
      </c>
      <c r="BR203" s="676">
        <v>50</v>
      </c>
      <c r="BS203" s="676">
        <v>1527</v>
      </c>
      <c r="BT203" s="676">
        <v>6043</v>
      </c>
      <c r="BU203" s="676">
        <v>596</v>
      </c>
      <c r="BV203" s="676">
        <v>13</v>
      </c>
      <c r="BW203" s="676">
        <v>114</v>
      </c>
      <c r="BX203" s="676"/>
      <c r="BY203" s="676">
        <v>401</v>
      </c>
      <c r="BZ203" s="676"/>
      <c r="CA203" s="676">
        <v>7.36</v>
      </c>
      <c r="CB203" s="676">
        <v>588.61</v>
      </c>
      <c r="CC203" s="676"/>
      <c r="CD203" s="676">
        <v>12</v>
      </c>
      <c r="CE203" s="676"/>
      <c r="CF203" s="676">
        <v>96000</v>
      </c>
      <c r="CG203" s="676"/>
    </row>
    <row r="204" spans="1:85" x14ac:dyDescent="0.25">
      <c r="A204" s="320" t="s">
        <v>1311</v>
      </c>
      <c r="B204" s="320" t="s">
        <v>1312</v>
      </c>
      <c r="C204" s="320"/>
      <c r="D204" s="320" t="s">
        <v>472</v>
      </c>
      <c r="E204" s="320">
        <v>2015</v>
      </c>
      <c r="F204" s="404"/>
      <c r="G204" s="676"/>
      <c r="H204" s="676"/>
      <c r="I204" s="676"/>
      <c r="J204" s="676"/>
      <c r="K204" s="676"/>
      <c r="L204" s="676"/>
      <c r="M204" s="676"/>
      <c r="N204" s="676"/>
      <c r="O204" s="676"/>
      <c r="P204" s="676"/>
      <c r="Q204" s="676"/>
      <c r="R204" s="676"/>
      <c r="S204" s="676">
        <v>1335464</v>
      </c>
      <c r="T204" s="676"/>
      <c r="U204" s="676"/>
      <c r="V204" s="676"/>
      <c r="W204" s="676"/>
      <c r="X204" s="676">
        <v>0</v>
      </c>
      <c r="Y204" s="676"/>
      <c r="Z204" s="676">
        <v>0</v>
      </c>
      <c r="AA204" s="676"/>
      <c r="AB204" s="676"/>
      <c r="AC204" s="676"/>
      <c r="AD204" s="676"/>
      <c r="AE204" s="676"/>
      <c r="AF204" s="676"/>
      <c r="AG204" s="676"/>
      <c r="AH204" s="676"/>
      <c r="AI204" s="676"/>
      <c r="AJ204" s="676"/>
      <c r="AK204" s="676"/>
      <c r="AL204" s="676"/>
      <c r="AM204" s="676"/>
      <c r="AN204" s="676"/>
      <c r="AO204" s="676"/>
      <c r="AP204" s="676"/>
      <c r="AQ204" s="676">
        <v>0</v>
      </c>
      <c r="AR204" s="676"/>
      <c r="AS204" s="676"/>
      <c r="AT204" s="676">
        <v>0</v>
      </c>
      <c r="AU204" s="676"/>
      <c r="AV204" s="676"/>
      <c r="AW204" s="676"/>
      <c r="AX204" s="676"/>
      <c r="AY204" s="676"/>
      <c r="AZ204" s="676">
        <v>0</v>
      </c>
      <c r="BA204" s="676"/>
      <c r="BB204" s="676"/>
      <c r="BC204" s="676"/>
      <c r="BD204" s="676"/>
      <c r="BE204" s="676">
        <v>0</v>
      </c>
      <c r="BF204" s="676"/>
      <c r="BG204" s="676"/>
      <c r="BH204" s="676">
        <v>7756000</v>
      </c>
      <c r="BI204" s="676"/>
      <c r="BJ204" s="676"/>
      <c r="BK204" s="676"/>
      <c r="BL204" s="676"/>
      <c r="BM204" s="676"/>
      <c r="BN204" s="676">
        <v>0</v>
      </c>
      <c r="BO204" s="676"/>
      <c r="BP204" s="676"/>
      <c r="BQ204" s="676"/>
      <c r="BR204" s="676"/>
      <c r="BS204" s="676"/>
      <c r="BT204" s="676"/>
      <c r="BU204" s="676"/>
      <c r="BV204" s="676"/>
      <c r="BW204" s="676"/>
      <c r="BX204" s="676"/>
      <c r="BY204" s="676"/>
      <c r="BZ204" s="676"/>
      <c r="CA204" s="676"/>
      <c r="CB204" s="676">
        <v>0</v>
      </c>
      <c r="CC204" s="676"/>
      <c r="CD204" s="676"/>
      <c r="CE204" s="676"/>
      <c r="CF204" s="676"/>
      <c r="CG204" s="676">
        <v>193000</v>
      </c>
    </row>
    <row r="205" spans="1:85" x14ac:dyDescent="0.25">
      <c r="A205" s="320" t="s">
        <v>1313</v>
      </c>
      <c r="B205" s="320" t="s">
        <v>1314</v>
      </c>
      <c r="C205" s="320"/>
      <c r="D205" s="320" t="s">
        <v>1315</v>
      </c>
      <c r="E205" s="320">
        <v>2015</v>
      </c>
      <c r="F205" s="404">
        <v>1490</v>
      </c>
      <c r="G205" s="676">
        <v>1770</v>
      </c>
      <c r="H205" s="676">
        <v>19933</v>
      </c>
      <c r="I205" s="676">
        <v>15413</v>
      </c>
      <c r="J205" s="676">
        <v>1481</v>
      </c>
      <c r="K205" s="676">
        <v>4422</v>
      </c>
      <c r="L205" s="676">
        <v>1849</v>
      </c>
      <c r="M205" s="676">
        <v>15306</v>
      </c>
      <c r="N205" s="676">
        <v>108231</v>
      </c>
      <c r="O205" s="676">
        <v>23994</v>
      </c>
      <c r="P205" s="676">
        <v>121126</v>
      </c>
      <c r="Q205" s="676">
        <v>5891</v>
      </c>
      <c r="R205" s="676">
        <v>5491</v>
      </c>
      <c r="S205" s="676">
        <v>255918</v>
      </c>
      <c r="T205" s="676">
        <v>9171</v>
      </c>
      <c r="U205" s="676">
        <v>87000</v>
      </c>
      <c r="V205" s="676">
        <v>42496</v>
      </c>
      <c r="W205" s="676">
        <v>13762</v>
      </c>
      <c r="X205" s="676">
        <v>750.35</v>
      </c>
      <c r="Y205" s="676">
        <v>104860</v>
      </c>
      <c r="Z205" s="676">
        <v>21944</v>
      </c>
      <c r="AA205" s="676">
        <v>1550</v>
      </c>
      <c r="AB205" s="676">
        <v>46964</v>
      </c>
      <c r="AC205" s="676">
        <v>326.60000000000002</v>
      </c>
      <c r="AD205" s="676">
        <v>18646</v>
      </c>
      <c r="AE205" s="676">
        <v>11573</v>
      </c>
      <c r="AF205" s="676">
        <v>557766</v>
      </c>
      <c r="AG205" s="676">
        <v>5857</v>
      </c>
      <c r="AH205" s="676">
        <v>8429</v>
      </c>
      <c r="AI205" s="676">
        <v>2476</v>
      </c>
      <c r="AJ205" s="676">
        <v>2826</v>
      </c>
      <c r="AK205" s="676">
        <v>14165</v>
      </c>
      <c r="AL205" s="676">
        <v>161410</v>
      </c>
      <c r="AM205" s="676">
        <v>120332</v>
      </c>
      <c r="AN205" s="676"/>
      <c r="AO205" s="676">
        <v>69810</v>
      </c>
      <c r="AP205" s="676">
        <v>22990</v>
      </c>
      <c r="AQ205" s="676">
        <v>10871</v>
      </c>
      <c r="AR205" s="676">
        <v>5004</v>
      </c>
      <c r="AS205" s="676">
        <v>2742</v>
      </c>
      <c r="AT205" s="676">
        <v>1859.08</v>
      </c>
      <c r="AU205" s="676">
        <v>4385</v>
      </c>
      <c r="AV205" s="676">
        <v>3563</v>
      </c>
      <c r="AW205" s="676">
        <v>3169</v>
      </c>
      <c r="AX205" s="676">
        <v>103158</v>
      </c>
      <c r="AY205" s="676">
        <v>22486</v>
      </c>
      <c r="AZ205" s="676">
        <v>14967</v>
      </c>
      <c r="BA205" s="676">
        <v>4771</v>
      </c>
      <c r="BB205" s="676">
        <v>117165</v>
      </c>
      <c r="BC205" s="676">
        <v>27776</v>
      </c>
      <c r="BD205" s="676"/>
      <c r="BE205" s="676">
        <v>4143.4799999999996</v>
      </c>
      <c r="BF205" s="676">
        <v>4108000</v>
      </c>
      <c r="BG205" s="676">
        <v>3975000</v>
      </c>
      <c r="BH205" s="676"/>
      <c r="BI205" s="676">
        <v>23238</v>
      </c>
      <c r="BJ205" s="676">
        <v>24861</v>
      </c>
      <c r="BK205" s="676">
        <v>10645</v>
      </c>
      <c r="BL205" s="676">
        <v>2943</v>
      </c>
      <c r="BM205" s="676"/>
      <c r="BN205" s="676">
        <v>2737</v>
      </c>
      <c r="BO205" s="676">
        <v>2433</v>
      </c>
      <c r="BP205" s="676">
        <v>1451</v>
      </c>
      <c r="BQ205" s="676">
        <v>908</v>
      </c>
      <c r="BR205" s="676">
        <v>1372</v>
      </c>
      <c r="BS205" s="676">
        <v>349097</v>
      </c>
      <c r="BT205" s="676">
        <v>5202</v>
      </c>
      <c r="BU205" s="676">
        <v>22009</v>
      </c>
      <c r="BV205" s="676">
        <v>1373</v>
      </c>
      <c r="BW205" s="676">
        <v>50768</v>
      </c>
      <c r="BX205" s="676">
        <v>25508</v>
      </c>
      <c r="BY205" s="676">
        <v>5394</v>
      </c>
      <c r="BZ205" s="676">
        <v>0</v>
      </c>
      <c r="CA205" s="676">
        <v>1352.85</v>
      </c>
      <c r="CB205" s="676">
        <v>6690.92</v>
      </c>
      <c r="CC205" s="676">
        <v>1518000</v>
      </c>
      <c r="CD205" s="676">
        <v>11842</v>
      </c>
      <c r="CE205" s="676"/>
      <c r="CF205" s="676"/>
      <c r="CG205" s="676">
        <v>388000</v>
      </c>
    </row>
    <row r="206" spans="1:85" x14ac:dyDescent="0.25">
      <c r="A206" s="320" t="s">
        <v>1266</v>
      </c>
      <c r="B206" s="320" t="s">
        <v>1440</v>
      </c>
      <c r="C206" s="320" t="s">
        <v>1441</v>
      </c>
      <c r="D206" s="320" t="s">
        <v>788</v>
      </c>
      <c r="E206" s="320">
        <v>2015</v>
      </c>
      <c r="F206" s="404">
        <v>-1408</v>
      </c>
      <c r="G206" s="676">
        <v>5093</v>
      </c>
      <c r="H206" s="676">
        <v>-38636</v>
      </c>
      <c r="I206" s="676">
        <v>-234322</v>
      </c>
      <c r="J206" s="676">
        <v>252205</v>
      </c>
      <c r="K206" s="676">
        <v>-4384</v>
      </c>
      <c r="L206" s="676">
        <v>-16406</v>
      </c>
      <c r="M206" s="676">
        <v>47239</v>
      </c>
      <c r="N206" s="676">
        <v>-110930</v>
      </c>
      <c r="O206" s="676">
        <v>-32235</v>
      </c>
      <c r="P206" s="676">
        <v>-123405</v>
      </c>
      <c r="Q206" s="676">
        <v>8224</v>
      </c>
      <c r="R206" s="676">
        <v>46756</v>
      </c>
      <c r="S206" s="676">
        <v>1114499</v>
      </c>
      <c r="T206" s="676">
        <v>-684687</v>
      </c>
      <c r="U206" s="676">
        <v>-29861000</v>
      </c>
      <c r="V206" s="676">
        <v>-40331</v>
      </c>
      <c r="W206" s="676">
        <v>-34453</v>
      </c>
      <c r="X206" s="676">
        <v>-14553.09</v>
      </c>
      <c r="Y206" s="676">
        <v>-116749</v>
      </c>
      <c r="Z206" s="676">
        <v>828246</v>
      </c>
      <c r="AA206" s="676">
        <v>-1444</v>
      </c>
      <c r="AB206" s="676">
        <v>464</v>
      </c>
      <c r="AC206" s="676">
        <v>-321.45999999999998</v>
      </c>
      <c r="AD206" s="676">
        <v>-73773</v>
      </c>
      <c r="AE206" s="676">
        <v>51323</v>
      </c>
      <c r="AF206" s="676">
        <v>-2623770</v>
      </c>
      <c r="AG206" s="676">
        <v>-58284</v>
      </c>
      <c r="AH206" s="676">
        <v>-714</v>
      </c>
      <c r="AI206" s="676">
        <v>765</v>
      </c>
      <c r="AJ206" s="676">
        <v>-18706</v>
      </c>
      <c r="AK206" s="676">
        <v>-180285</v>
      </c>
      <c r="AL206" s="676">
        <v>-387072</v>
      </c>
      <c r="AM206" s="676">
        <v>14542</v>
      </c>
      <c r="AN206" s="676">
        <v>-3126000</v>
      </c>
      <c r="AO206" s="676">
        <v>250767</v>
      </c>
      <c r="AP206" s="676">
        <v>40126</v>
      </c>
      <c r="AQ206" s="676">
        <v>-20876</v>
      </c>
      <c r="AR206" s="676">
        <v>-4525</v>
      </c>
      <c r="AS206" s="676">
        <v>-2377</v>
      </c>
      <c r="AT206" s="676">
        <v>363422.8</v>
      </c>
      <c r="AU206" s="676">
        <v>-6805</v>
      </c>
      <c r="AV206" s="676">
        <v>-1289</v>
      </c>
      <c r="AW206" s="676">
        <v>-3147</v>
      </c>
      <c r="AX206" s="676">
        <v>157755</v>
      </c>
      <c r="AY206" s="676">
        <v>-91433</v>
      </c>
      <c r="AZ206" s="676">
        <v>-13227</v>
      </c>
      <c r="BA206" s="676">
        <v>-320079</v>
      </c>
      <c r="BB206" s="676">
        <v>-153675</v>
      </c>
      <c r="BC206" s="676">
        <v>320091</v>
      </c>
      <c r="BD206" s="676">
        <v>-546195</v>
      </c>
      <c r="BE206" s="676">
        <v>2835.87</v>
      </c>
      <c r="BF206" s="676">
        <v>-2942000</v>
      </c>
      <c r="BG206" s="676">
        <v>-147644000</v>
      </c>
      <c r="BH206" s="676">
        <v>537454000</v>
      </c>
      <c r="BI206" s="676">
        <v>-128417</v>
      </c>
      <c r="BJ206" s="676">
        <v>-651079</v>
      </c>
      <c r="BK206" s="676">
        <v>9599</v>
      </c>
      <c r="BL206" s="676">
        <v>39334</v>
      </c>
      <c r="BM206" s="676">
        <v>46411000</v>
      </c>
      <c r="BN206" s="676">
        <v>-133565</v>
      </c>
      <c r="BO206" s="676">
        <v>1293</v>
      </c>
      <c r="BP206" s="676">
        <v>-1166</v>
      </c>
      <c r="BQ206" s="676">
        <v>-2612</v>
      </c>
      <c r="BR206" s="676">
        <v>-92</v>
      </c>
      <c r="BS206" s="676">
        <v>-312186</v>
      </c>
      <c r="BT206" s="676">
        <v>-323073</v>
      </c>
      <c r="BU206" s="676">
        <v>-65499</v>
      </c>
      <c r="BV206" s="676">
        <v>3717</v>
      </c>
      <c r="BW206" s="676">
        <v>-5387773</v>
      </c>
      <c r="BX206" s="676">
        <v>-187418</v>
      </c>
      <c r="BY206" s="676">
        <v>-23795</v>
      </c>
      <c r="BZ206" s="676">
        <v>20772000</v>
      </c>
      <c r="CA206" s="676">
        <v>24551.21</v>
      </c>
      <c r="CB206" s="676">
        <v>-66329.31</v>
      </c>
      <c r="CC206" s="676">
        <v>52190000</v>
      </c>
      <c r="CD206" s="676">
        <v>-10903</v>
      </c>
      <c r="CE206" s="676">
        <v>-144000</v>
      </c>
      <c r="CF206" s="676">
        <v>-4849000</v>
      </c>
      <c r="CG206" s="676">
        <v>-3513000</v>
      </c>
    </row>
    <row r="207" spans="1:85" x14ac:dyDescent="0.25">
      <c r="A207" s="320" t="s">
        <v>1316</v>
      </c>
      <c r="B207" s="320" t="s">
        <v>1442</v>
      </c>
      <c r="C207" s="320" t="s">
        <v>1443</v>
      </c>
      <c r="D207" s="320" t="s">
        <v>791</v>
      </c>
      <c r="E207" s="320">
        <v>2015</v>
      </c>
      <c r="F207" s="404">
        <v>305</v>
      </c>
      <c r="G207" s="676">
        <v>51809</v>
      </c>
      <c r="H207" s="676">
        <v>239824</v>
      </c>
      <c r="I207" s="676">
        <v>679263</v>
      </c>
      <c r="J207" s="676">
        <v>1875895</v>
      </c>
      <c r="K207" s="676">
        <v>4891</v>
      </c>
      <c r="L207" s="676">
        <v>99647</v>
      </c>
      <c r="M207" s="676">
        <v>11315441</v>
      </c>
      <c r="N207" s="676">
        <v>1446191</v>
      </c>
      <c r="O207" s="676">
        <v>682556</v>
      </c>
      <c r="P207" s="676">
        <v>2121997</v>
      </c>
      <c r="Q207" s="676">
        <v>-1499474</v>
      </c>
      <c r="R207" s="676">
        <v>2688185</v>
      </c>
      <c r="S207" s="676">
        <v>3333516</v>
      </c>
      <c r="T207" s="676">
        <v>632763</v>
      </c>
      <c r="U207" s="676">
        <v>559808000</v>
      </c>
      <c r="V207" s="676">
        <v>2868163</v>
      </c>
      <c r="W207" s="676">
        <v>229007</v>
      </c>
      <c r="X207" s="676">
        <v>-6029961.8399999999</v>
      </c>
      <c r="Y207" s="676">
        <v>7361444</v>
      </c>
      <c r="Z207" s="676">
        <v>23259853</v>
      </c>
      <c r="AA207" s="676">
        <v>114961</v>
      </c>
      <c r="AB207" s="676">
        <v>10331457</v>
      </c>
      <c r="AC207" s="676">
        <v>-506686.79</v>
      </c>
      <c r="AD207" s="676">
        <v>-1249675</v>
      </c>
      <c r="AE207" s="676">
        <v>2594994</v>
      </c>
      <c r="AF207" s="676">
        <v>-7286431</v>
      </c>
      <c r="AG207" s="676">
        <v>-447792</v>
      </c>
      <c r="AH207" s="676">
        <v>-81201</v>
      </c>
      <c r="AI207" s="676">
        <v>126466</v>
      </c>
      <c r="AJ207" s="676">
        <v>-146910</v>
      </c>
      <c r="AK207" s="676">
        <v>2768226</v>
      </c>
      <c r="AL207" s="676">
        <v>1872467</v>
      </c>
      <c r="AM207" s="676">
        <v>1391768</v>
      </c>
      <c r="AN207" s="676">
        <v>31034000</v>
      </c>
      <c r="AO207" s="676">
        <v>251264</v>
      </c>
      <c r="AP207" s="676">
        <v>3022718</v>
      </c>
      <c r="AQ207" s="676">
        <v>1313434</v>
      </c>
      <c r="AR207" s="676">
        <v>-43953</v>
      </c>
      <c r="AS207" s="676">
        <v>389886</v>
      </c>
      <c r="AT207" s="676">
        <v>-6249094.2599999998</v>
      </c>
      <c r="AU207" s="676">
        <v>88792</v>
      </c>
      <c r="AV207" s="676">
        <v>251795</v>
      </c>
      <c r="AW207" s="676">
        <v>33156</v>
      </c>
      <c r="AX207" s="676">
        <v>11515963</v>
      </c>
      <c r="AY207" s="676">
        <v>2759970</v>
      </c>
      <c r="AZ207" s="676">
        <v>12619</v>
      </c>
      <c r="BA207" s="676">
        <v>839635</v>
      </c>
      <c r="BB207" s="676">
        <v>2258641</v>
      </c>
      <c r="BC207" s="676">
        <v>1204268</v>
      </c>
      <c r="BD207" s="676">
        <v>99356863</v>
      </c>
      <c r="BE207" s="676">
        <v>2458613.4700000002</v>
      </c>
      <c r="BF207" s="676">
        <v>4046000</v>
      </c>
      <c r="BG207" s="676">
        <v>52464000</v>
      </c>
      <c r="BH207" s="676">
        <v>452905000</v>
      </c>
      <c r="BI207" s="676">
        <v>-4454890</v>
      </c>
      <c r="BJ207" s="676">
        <v>3223624</v>
      </c>
      <c r="BK207" s="676">
        <v>16283</v>
      </c>
      <c r="BL207" s="676">
        <v>322384</v>
      </c>
      <c r="BM207" s="676">
        <v>73360000</v>
      </c>
      <c r="BN207" s="676">
        <v>966828</v>
      </c>
      <c r="BO207" s="676">
        <v>309059</v>
      </c>
      <c r="BP207" s="676">
        <v>147968</v>
      </c>
      <c r="BQ207" s="676">
        <v>211162</v>
      </c>
      <c r="BR207" s="676">
        <v>157109</v>
      </c>
      <c r="BS207" s="676">
        <v>9635319</v>
      </c>
      <c r="BT207" s="676">
        <v>9555551</v>
      </c>
      <c r="BU207" s="676">
        <v>750703</v>
      </c>
      <c r="BV207" s="676">
        <v>1044947</v>
      </c>
      <c r="BW207" s="676">
        <v>585230</v>
      </c>
      <c r="BX207" s="676">
        <v>469704</v>
      </c>
      <c r="BY207" s="676">
        <v>342292</v>
      </c>
      <c r="BZ207" s="676">
        <v>23074000</v>
      </c>
      <c r="CA207" s="676">
        <v>1328113.78</v>
      </c>
      <c r="CB207" s="676">
        <v>1352980.34</v>
      </c>
      <c r="CC207" s="676">
        <v>59972000</v>
      </c>
      <c r="CD207" s="676">
        <v>6433</v>
      </c>
      <c r="CE207" s="676">
        <v>28664000</v>
      </c>
      <c r="CF207" s="676">
        <v>1503000</v>
      </c>
      <c r="CG207" s="676">
        <v>-7412000</v>
      </c>
    </row>
    <row r="208" spans="1:85" x14ac:dyDescent="0.25">
      <c r="A208" s="320" t="s">
        <v>1317</v>
      </c>
      <c r="B208" s="320" t="s">
        <v>1444</v>
      </c>
      <c r="C208" s="320" t="s">
        <v>1445</v>
      </c>
      <c r="D208" s="320" t="s">
        <v>1318</v>
      </c>
      <c r="E208" s="320">
        <v>2015</v>
      </c>
      <c r="F208" s="404">
        <v>2301</v>
      </c>
      <c r="G208" s="676">
        <v>-32462</v>
      </c>
      <c r="H208" s="676">
        <v>103567</v>
      </c>
      <c r="I208" s="676">
        <v>41940</v>
      </c>
      <c r="J208" s="676">
        <v>437352</v>
      </c>
      <c r="K208" s="676">
        <v>2897</v>
      </c>
      <c r="L208" s="676">
        <v>2884</v>
      </c>
      <c r="M208" s="676">
        <v>2513779</v>
      </c>
      <c r="N208" s="676">
        <v>-13553</v>
      </c>
      <c r="O208" s="676">
        <v>850119</v>
      </c>
      <c r="P208" s="676">
        <v>496809</v>
      </c>
      <c r="Q208" s="676">
        <v>3257</v>
      </c>
      <c r="R208" s="676">
        <v>703284</v>
      </c>
      <c r="S208" s="676">
        <v>917191</v>
      </c>
      <c r="T208" s="676">
        <v>135801</v>
      </c>
      <c r="U208" s="676">
        <v>141538000</v>
      </c>
      <c r="V208" s="676">
        <v>642299</v>
      </c>
      <c r="W208" s="676">
        <v>12000</v>
      </c>
      <c r="X208" s="676">
        <v>2893.26</v>
      </c>
      <c r="Y208" s="676">
        <v>1680690</v>
      </c>
      <c r="Z208" s="676">
        <v>9063923</v>
      </c>
      <c r="AA208" s="676">
        <v>28100</v>
      </c>
      <c r="AB208" s="676">
        <v>2541248</v>
      </c>
      <c r="AC208" s="676">
        <v>-60505.42</v>
      </c>
      <c r="AD208" s="676">
        <v>2900</v>
      </c>
      <c r="AE208" s="676">
        <v>594301</v>
      </c>
      <c r="AF208" s="676">
        <v>33025</v>
      </c>
      <c r="AG208" s="676">
        <v>2882</v>
      </c>
      <c r="AH208" s="676">
        <v>2891</v>
      </c>
      <c r="AI208" s="676">
        <v>23566</v>
      </c>
      <c r="AJ208" s="676">
        <v>2881</v>
      </c>
      <c r="AK208" s="676">
        <v>724619</v>
      </c>
      <c r="AL208" s="676">
        <v>427166</v>
      </c>
      <c r="AM208" s="676">
        <v>310878</v>
      </c>
      <c r="AN208" s="676">
        <v>7651000</v>
      </c>
      <c r="AO208" s="676">
        <v>203965</v>
      </c>
      <c r="AP208" s="676">
        <v>634633</v>
      </c>
      <c r="AQ208" s="676">
        <v>282022</v>
      </c>
      <c r="AR208" s="676">
        <v>-6485</v>
      </c>
      <c r="AS208" s="676">
        <v>93157</v>
      </c>
      <c r="AT208" s="676">
        <v>-1518.74</v>
      </c>
      <c r="AU208" s="676">
        <v>39537</v>
      </c>
      <c r="AV208" s="676">
        <v>66025</v>
      </c>
      <c r="AW208" s="676">
        <v>1773</v>
      </c>
      <c r="AX208" s="676">
        <v>2590687</v>
      </c>
      <c r="AY208" s="676">
        <v>706912</v>
      </c>
      <c r="AZ208" s="676">
        <v>3957</v>
      </c>
      <c r="BA208" s="676">
        <v>191573</v>
      </c>
      <c r="BB208" s="676">
        <v>602168</v>
      </c>
      <c r="BC208" s="676">
        <v>276444</v>
      </c>
      <c r="BD208" s="676">
        <v>26372519</v>
      </c>
      <c r="BE208" s="676">
        <v>4251.3</v>
      </c>
      <c r="BF208" s="676">
        <v>1863000</v>
      </c>
      <c r="BG208" s="676">
        <v>29225000</v>
      </c>
      <c r="BH208" s="676">
        <v>17786000</v>
      </c>
      <c r="BI208" s="676">
        <v>54589</v>
      </c>
      <c r="BJ208" s="676">
        <v>1158303</v>
      </c>
      <c r="BK208" s="676">
        <v>-31933</v>
      </c>
      <c r="BL208" s="676">
        <v>79814</v>
      </c>
      <c r="BM208" s="676">
        <v>7714000</v>
      </c>
      <c r="BN208" s="676">
        <v>218420</v>
      </c>
      <c r="BO208" s="676">
        <v>68645</v>
      </c>
      <c r="BP208" s="676">
        <v>57356</v>
      </c>
      <c r="BQ208" s="676">
        <v>2880</v>
      </c>
      <c r="BR208" s="676">
        <v>29480</v>
      </c>
      <c r="BS208" s="676">
        <v>2335491</v>
      </c>
      <c r="BT208" s="676">
        <v>2425408</v>
      </c>
      <c r="BU208" s="676">
        <v>2883</v>
      </c>
      <c r="BV208" s="676">
        <v>234839</v>
      </c>
      <c r="BW208" s="676">
        <v>-337468</v>
      </c>
      <c r="BX208" s="676">
        <v>216257</v>
      </c>
      <c r="BY208" s="676">
        <v>15467</v>
      </c>
      <c r="BZ208" s="676">
        <v>372000</v>
      </c>
      <c r="CA208" s="676">
        <v>316022</v>
      </c>
      <c r="CB208" s="676">
        <v>289530.98</v>
      </c>
      <c r="CC208" s="676">
        <v>2028000</v>
      </c>
      <c r="CD208" s="676">
        <v>3060</v>
      </c>
      <c r="CE208" s="676">
        <v>11475000</v>
      </c>
      <c r="CF208" s="676">
        <v>1426000</v>
      </c>
      <c r="CG208" s="676">
        <v>-1523000</v>
      </c>
    </row>
    <row r="209" spans="1:85" x14ac:dyDescent="0.25">
      <c r="A209" s="320" t="s">
        <v>1319</v>
      </c>
      <c r="B209" s="320" t="s">
        <v>1320</v>
      </c>
      <c r="C209" s="320"/>
      <c r="D209" s="320" t="s">
        <v>477</v>
      </c>
      <c r="E209" s="320">
        <v>2015</v>
      </c>
      <c r="F209" s="404">
        <v>2895</v>
      </c>
      <c r="G209" s="676">
        <v>4480</v>
      </c>
      <c r="H209" s="676">
        <v>215</v>
      </c>
      <c r="I209" s="676">
        <v>-64916</v>
      </c>
      <c r="J209" s="676">
        <v>445626</v>
      </c>
      <c r="K209" s="676">
        <v>2897</v>
      </c>
      <c r="L209" s="676">
        <v>2884</v>
      </c>
      <c r="M209" s="676">
        <v>2521880</v>
      </c>
      <c r="N209" s="676">
        <v>52723</v>
      </c>
      <c r="O209" s="676">
        <v>842191</v>
      </c>
      <c r="P209" s="676">
        <v>570496</v>
      </c>
      <c r="Q209" s="676">
        <v>3257</v>
      </c>
      <c r="R209" s="676">
        <v>843128</v>
      </c>
      <c r="S209" s="676">
        <v>895504</v>
      </c>
      <c r="T209" s="676">
        <v>2889</v>
      </c>
      <c r="U209" s="676">
        <v>151694000</v>
      </c>
      <c r="V209" s="676">
        <v>645248</v>
      </c>
      <c r="W209" s="676">
        <v>2884</v>
      </c>
      <c r="X209" s="676">
        <v>2893.26</v>
      </c>
      <c r="Y209" s="676">
        <v>1678429</v>
      </c>
      <c r="Z209" s="676">
        <v>9063923</v>
      </c>
      <c r="AA209" s="676">
        <v>14841</v>
      </c>
      <c r="AB209" s="676">
        <v>2512606</v>
      </c>
      <c r="AC209" s="676">
        <v>2883.28</v>
      </c>
      <c r="AD209" s="676">
        <v>2900</v>
      </c>
      <c r="AE209" s="676">
        <v>202099</v>
      </c>
      <c r="AF209" s="676">
        <v>33025</v>
      </c>
      <c r="AG209" s="676">
        <v>2882</v>
      </c>
      <c r="AH209" s="676">
        <v>2891</v>
      </c>
      <c r="AI209" s="676">
        <v>18602</v>
      </c>
      <c r="AJ209" s="676">
        <v>2881</v>
      </c>
      <c r="AK209" s="676">
        <v>724619</v>
      </c>
      <c r="AL209" s="676">
        <v>500369</v>
      </c>
      <c r="AM209" s="676">
        <v>503649</v>
      </c>
      <c r="AN209" s="676">
        <v>8000</v>
      </c>
      <c r="AO209" s="676">
        <v>86071</v>
      </c>
      <c r="AP209" s="676">
        <v>658719</v>
      </c>
      <c r="AQ209" s="676">
        <v>224237</v>
      </c>
      <c r="AR209" s="676">
        <v>4275</v>
      </c>
      <c r="AS209" s="676">
        <v>178769</v>
      </c>
      <c r="AT209" s="676">
        <v>32511.99</v>
      </c>
      <c r="AU209" s="676">
        <v>6097</v>
      </c>
      <c r="AV209" s="676">
        <v>65605</v>
      </c>
      <c r="AW209" s="676">
        <v>2886</v>
      </c>
      <c r="AX209" s="676">
        <v>2605646</v>
      </c>
      <c r="AY209" s="676">
        <v>720546</v>
      </c>
      <c r="AZ209" s="676">
        <v>3957</v>
      </c>
      <c r="BA209" s="676">
        <v>4878</v>
      </c>
      <c r="BB209" s="676">
        <v>515876</v>
      </c>
      <c r="BC209" s="676">
        <v>12375</v>
      </c>
      <c r="BD209" s="676">
        <v>27912960</v>
      </c>
      <c r="BE209" s="676">
        <v>4251.3</v>
      </c>
      <c r="BF209" s="676">
        <v>3346000</v>
      </c>
      <c r="BG209" s="676">
        <v>32917000</v>
      </c>
      <c r="BH209" s="676">
        <v>17786000</v>
      </c>
      <c r="BI209" s="676">
        <v>4409</v>
      </c>
      <c r="BJ209" s="676">
        <v>3490</v>
      </c>
      <c r="BK209" s="676">
        <v>6978</v>
      </c>
      <c r="BL209" s="676">
        <v>17012</v>
      </c>
      <c r="BM209" s="676">
        <v>-1885000</v>
      </c>
      <c r="BN209" s="676">
        <v>290734</v>
      </c>
      <c r="BO209" s="676">
        <v>67013</v>
      </c>
      <c r="BP209" s="676">
        <v>58593</v>
      </c>
      <c r="BQ209" s="676">
        <v>2880</v>
      </c>
      <c r="BR209" s="676">
        <v>3335</v>
      </c>
      <c r="BS209" s="676">
        <v>2482143</v>
      </c>
      <c r="BT209" s="676">
        <v>375457</v>
      </c>
      <c r="BU209" s="676">
        <v>2883</v>
      </c>
      <c r="BV209" s="676">
        <v>299693</v>
      </c>
      <c r="BW209" s="676">
        <v>3301</v>
      </c>
      <c r="BX209" s="676">
        <v>12219</v>
      </c>
      <c r="BY209" s="676">
        <v>2962</v>
      </c>
      <c r="BZ209" s="676">
        <v>531000</v>
      </c>
      <c r="CA209" s="676">
        <v>12724.61</v>
      </c>
      <c r="CB209" s="676">
        <v>248780.79</v>
      </c>
      <c r="CC209" s="676">
        <v>2143000</v>
      </c>
      <c r="CD209" s="676">
        <v>3060</v>
      </c>
      <c r="CE209" s="676">
        <v>11475000</v>
      </c>
      <c r="CF209" s="676">
        <v>1426000</v>
      </c>
      <c r="CG209" s="676">
        <v>4000</v>
      </c>
    </row>
    <row r="210" spans="1:85" x14ac:dyDescent="0.25">
      <c r="A210" s="320" t="s">
        <v>1321</v>
      </c>
      <c r="B210" s="320" t="s">
        <v>1322</v>
      </c>
      <c r="C210" s="320"/>
      <c r="D210" s="320" t="s">
        <v>794</v>
      </c>
      <c r="E210" s="320">
        <v>2015</v>
      </c>
      <c r="F210" s="404">
        <v>-594</v>
      </c>
      <c r="G210" s="676">
        <v>-36942</v>
      </c>
      <c r="H210" s="676">
        <v>103352</v>
      </c>
      <c r="I210" s="676">
        <v>106856</v>
      </c>
      <c r="J210" s="676">
        <v>-8274</v>
      </c>
      <c r="K210" s="676"/>
      <c r="L210" s="676"/>
      <c r="M210" s="676">
        <v>-8101</v>
      </c>
      <c r="N210" s="676">
        <v>-66276</v>
      </c>
      <c r="O210" s="676">
        <v>7928</v>
      </c>
      <c r="P210" s="676">
        <v>-73687</v>
      </c>
      <c r="Q210" s="676"/>
      <c r="R210" s="676">
        <v>-139844</v>
      </c>
      <c r="S210" s="676">
        <v>21687</v>
      </c>
      <c r="T210" s="676">
        <v>132912</v>
      </c>
      <c r="U210" s="676">
        <v>-10156000</v>
      </c>
      <c r="V210" s="676">
        <v>-2949</v>
      </c>
      <c r="W210" s="676">
        <v>9116</v>
      </c>
      <c r="X210" s="676">
        <v>0</v>
      </c>
      <c r="Y210" s="676">
        <v>2261</v>
      </c>
      <c r="Z210" s="676">
        <v>0</v>
      </c>
      <c r="AA210" s="676">
        <v>13259</v>
      </c>
      <c r="AB210" s="676">
        <v>28642</v>
      </c>
      <c r="AC210" s="676">
        <v>-63388.7</v>
      </c>
      <c r="AD210" s="676"/>
      <c r="AE210" s="676">
        <v>392202</v>
      </c>
      <c r="AF210" s="676"/>
      <c r="AG210" s="676"/>
      <c r="AH210" s="676"/>
      <c r="AI210" s="676">
        <v>4964</v>
      </c>
      <c r="AJ210" s="676"/>
      <c r="AK210" s="676"/>
      <c r="AL210" s="676">
        <v>-73203</v>
      </c>
      <c r="AM210" s="676">
        <v>-192771</v>
      </c>
      <c r="AN210" s="676">
        <v>7643000</v>
      </c>
      <c r="AO210" s="676">
        <v>117894</v>
      </c>
      <c r="AP210" s="676">
        <v>-24086</v>
      </c>
      <c r="AQ210" s="676">
        <v>57785</v>
      </c>
      <c r="AR210" s="676">
        <v>-10760</v>
      </c>
      <c r="AS210" s="676">
        <v>-85612</v>
      </c>
      <c r="AT210" s="676">
        <v>-34030.730000000003</v>
      </c>
      <c r="AU210" s="676">
        <v>33440</v>
      </c>
      <c r="AV210" s="676">
        <v>420</v>
      </c>
      <c r="AW210" s="676">
        <v>-1113</v>
      </c>
      <c r="AX210" s="676">
        <v>-14959</v>
      </c>
      <c r="AY210" s="676">
        <v>-13634</v>
      </c>
      <c r="AZ210" s="676">
        <v>0</v>
      </c>
      <c r="BA210" s="676">
        <v>186695</v>
      </c>
      <c r="BB210" s="676">
        <v>86292</v>
      </c>
      <c r="BC210" s="676">
        <v>264069</v>
      </c>
      <c r="BD210" s="676">
        <v>-1540441</v>
      </c>
      <c r="BE210" s="676">
        <v>0</v>
      </c>
      <c r="BF210" s="676">
        <v>-1483000</v>
      </c>
      <c r="BG210" s="676">
        <v>-3692000</v>
      </c>
      <c r="BH210" s="676">
        <v>0</v>
      </c>
      <c r="BI210" s="676">
        <v>50180</v>
      </c>
      <c r="BJ210" s="676">
        <v>1154813</v>
      </c>
      <c r="BK210" s="676">
        <v>-38911</v>
      </c>
      <c r="BL210" s="676">
        <v>62802</v>
      </c>
      <c r="BM210" s="676">
        <v>9599000</v>
      </c>
      <c r="BN210" s="676">
        <v>-72314</v>
      </c>
      <c r="BO210" s="676">
        <v>1632</v>
      </c>
      <c r="BP210" s="676">
        <v>-1237</v>
      </c>
      <c r="BQ210" s="676"/>
      <c r="BR210" s="676">
        <v>26145</v>
      </c>
      <c r="BS210" s="676">
        <v>-146652</v>
      </c>
      <c r="BT210" s="676">
        <v>2049951</v>
      </c>
      <c r="BU210" s="676"/>
      <c r="BV210" s="676">
        <v>-64854</v>
      </c>
      <c r="BW210" s="676">
        <v>-340769</v>
      </c>
      <c r="BX210" s="676">
        <v>204038</v>
      </c>
      <c r="BY210" s="676">
        <v>12505</v>
      </c>
      <c r="BZ210" s="676">
        <v>-159000</v>
      </c>
      <c r="CA210" s="676">
        <v>303297.39</v>
      </c>
      <c r="CB210" s="676">
        <v>40750.19</v>
      </c>
      <c r="CC210" s="676">
        <v>-115000</v>
      </c>
      <c r="CD210" s="676"/>
      <c r="CE210" s="676"/>
      <c r="CF210" s="676"/>
      <c r="CG210" s="676">
        <v>-1527000</v>
      </c>
    </row>
    <row r="211" spans="1:85" x14ac:dyDescent="0.25">
      <c r="A211" s="320" t="s">
        <v>1323</v>
      </c>
      <c r="B211" s="320" t="s">
        <v>1324</v>
      </c>
      <c r="C211" s="320"/>
      <c r="D211" s="320" t="s">
        <v>796</v>
      </c>
      <c r="E211" s="320">
        <v>2015</v>
      </c>
      <c r="F211" s="404"/>
      <c r="G211" s="676"/>
      <c r="H211" s="676"/>
      <c r="I211" s="676"/>
      <c r="J211" s="676"/>
      <c r="K211" s="676"/>
      <c r="L211" s="676"/>
      <c r="M211" s="676"/>
      <c r="N211" s="676"/>
      <c r="O211" s="676"/>
      <c r="P211" s="676"/>
      <c r="Q211" s="676"/>
      <c r="R211" s="676"/>
      <c r="S211" s="676"/>
      <c r="T211" s="676"/>
      <c r="U211" s="676"/>
      <c r="V211" s="676"/>
      <c r="W211" s="676"/>
      <c r="X211" s="676">
        <v>0</v>
      </c>
      <c r="Y211" s="676"/>
      <c r="Z211" s="676">
        <v>0</v>
      </c>
      <c r="AA211" s="676"/>
      <c r="AB211" s="676"/>
      <c r="AC211" s="676"/>
      <c r="AD211" s="676"/>
      <c r="AE211" s="676"/>
      <c r="AF211" s="676"/>
      <c r="AG211" s="676"/>
      <c r="AH211" s="676"/>
      <c r="AI211" s="676"/>
      <c r="AJ211" s="676"/>
      <c r="AK211" s="676"/>
      <c r="AL211" s="676"/>
      <c r="AM211" s="676"/>
      <c r="AN211" s="676"/>
      <c r="AO211" s="676"/>
      <c r="AP211" s="676"/>
      <c r="AQ211" s="676">
        <v>0</v>
      </c>
      <c r="AR211" s="676"/>
      <c r="AS211" s="676"/>
      <c r="AT211" s="676">
        <v>0</v>
      </c>
      <c r="AU211" s="676"/>
      <c r="AV211" s="676"/>
      <c r="AW211" s="676"/>
      <c r="AX211" s="676"/>
      <c r="AY211" s="676"/>
      <c r="AZ211" s="676">
        <v>0</v>
      </c>
      <c r="BA211" s="676"/>
      <c r="BB211" s="676"/>
      <c r="BC211" s="676"/>
      <c r="BD211" s="676"/>
      <c r="BE211" s="676">
        <v>0</v>
      </c>
      <c r="BF211" s="676"/>
      <c r="BG211" s="676"/>
      <c r="BH211" s="676"/>
      <c r="BI211" s="676"/>
      <c r="BJ211" s="676"/>
      <c r="BK211" s="676"/>
      <c r="BL211" s="676"/>
      <c r="BM211" s="676"/>
      <c r="BN211" s="676">
        <v>0</v>
      </c>
      <c r="BO211" s="676"/>
      <c r="BP211" s="676"/>
      <c r="BQ211" s="676"/>
      <c r="BR211" s="676"/>
      <c r="BS211" s="676"/>
      <c r="BT211" s="676"/>
      <c r="BU211" s="676"/>
      <c r="BV211" s="676"/>
      <c r="BW211" s="676"/>
      <c r="BX211" s="676"/>
      <c r="BY211" s="676"/>
      <c r="BZ211" s="676"/>
      <c r="CA211" s="676"/>
      <c r="CB211" s="676">
        <v>0</v>
      </c>
      <c r="CC211" s="676"/>
      <c r="CD211" s="676"/>
      <c r="CE211" s="676"/>
      <c r="CF211" s="676"/>
      <c r="CG211" s="676"/>
    </row>
    <row r="212" spans="1:85" x14ac:dyDescent="0.25">
      <c r="A212" s="320" t="s">
        <v>1316</v>
      </c>
      <c r="B212" s="320" t="s">
        <v>1401</v>
      </c>
      <c r="C212" s="320" t="s">
        <v>1446</v>
      </c>
      <c r="D212" s="320" t="s">
        <v>476</v>
      </c>
      <c r="E212" s="320">
        <v>2015</v>
      </c>
      <c r="F212" s="404">
        <v>-1996</v>
      </c>
      <c r="G212" s="676">
        <v>84271</v>
      </c>
      <c r="H212" s="676">
        <v>136257</v>
      </c>
      <c r="I212" s="676">
        <v>637323</v>
      </c>
      <c r="J212" s="676">
        <v>1438543</v>
      </c>
      <c r="K212" s="676">
        <v>1994</v>
      </c>
      <c r="L212" s="676">
        <v>96763</v>
      </c>
      <c r="M212" s="676">
        <v>8801662</v>
      </c>
      <c r="N212" s="676">
        <v>1459744</v>
      </c>
      <c r="O212" s="676">
        <v>-167563</v>
      </c>
      <c r="P212" s="676">
        <v>1625188</v>
      </c>
      <c r="Q212" s="676">
        <v>-1502731</v>
      </c>
      <c r="R212" s="676">
        <v>1984901</v>
      </c>
      <c r="S212" s="676">
        <v>2416325</v>
      </c>
      <c r="T212" s="676">
        <v>496962</v>
      </c>
      <c r="U212" s="676">
        <v>418270000</v>
      </c>
      <c r="V212" s="676">
        <v>2225864</v>
      </c>
      <c r="W212" s="676">
        <v>217007</v>
      </c>
      <c r="X212" s="676">
        <v>-6032855.0999999996</v>
      </c>
      <c r="Y212" s="676">
        <v>5680754</v>
      </c>
      <c r="Z212" s="676">
        <v>14195930</v>
      </c>
      <c r="AA212" s="676">
        <v>86861</v>
      </c>
      <c r="AB212" s="676">
        <v>7790209</v>
      </c>
      <c r="AC212" s="676">
        <v>-446181.37</v>
      </c>
      <c r="AD212" s="676">
        <v>-1252575</v>
      </c>
      <c r="AE212" s="676">
        <v>2000693</v>
      </c>
      <c r="AF212" s="676">
        <v>-7319456</v>
      </c>
      <c r="AG212" s="676">
        <v>-450674</v>
      </c>
      <c r="AH212" s="676">
        <v>-84092</v>
      </c>
      <c r="AI212" s="676">
        <v>102900</v>
      </c>
      <c r="AJ212" s="676">
        <v>-149791</v>
      </c>
      <c r="AK212" s="676">
        <v>2043607</v>
      </c>
      <c r="AL212" s="676">
        <v>1445301</v>
      </c>
      <c r="AM212" s="676">
        <v>1080890</v>
      </c>
      <c r="AN212" s="676">
        <v>23383000</v>
      </c>
      <c r="AO212" s="676">
        <v>47299</v>
      </c>
      <c r="AP212" s="676">
        <v>2388085</v>
      </c>
      <c r="AQ212" s="676">
        <v>1031412</v>
      </c>
      <c r="AR212" s="676">
        <v>-37468</v>
      </c>
      <c r="AS212" s="676">
        <v>296729</v>
      </c>
      <c r="AT212" s="676">
        <v>-6247575.5199999996</v>
      </c>
      <c r="AU212" s="676">
        <v>49255</v>
      </c>
      <c r="AV212" s="676">
        <v>185770</v>
      </c>
      <c r="AW212" s="676">
        <v>31383</v>
      </c>
      <c r="AX212" s="676">
        <v>8925276</v>
      </c>
      <c r="AY212" s="676">
        <v>2053058</v>
      </c>
      <c r="AZ212" s="676">
        <v>8662</v>
      </c>
      <c r="BA212" s="676">
        <v>648062</v>
      </c>
      <c r="BB212" s="676">
        <v>1656473</v>
      </c>
      <c r="BC212" s="676">
        <v>927824</v>
      </c>
      <c r="BD212" s="676">
        <v>72984344</v>
      </c>
      <c r="BE212" s="676">
        <v>2454362.17</v>
      </c>
      <c r="BF212" s="676">
        <v>2183000</v>
      </c>
      <c r="BG212" s="676">
        <v>23239000</v>
      </c>
      <c r="BH212" s="676">
        <v>435119000</v>
      </c>
      <c r="BI212" s="676">
        <v>-4509479</v>
      </c>
      <c r="BJ212" s="676">
        <v>2065321</v>
      </c>
      <c r="BK212" s="676">
        <v>48216</v>
      </c>
      <c r="BL212" s="676">
        <v>242570</v>
      </c>
      <c r="BM212" s="676">
        <v>65646000</v>
      </c>
      <c r="BN212" s="676">
        <v>748408</v>
      </c>
      <c r="BO212" s="676">
        <v>240414</v>
      </c>
      <c r="BP212" s="676">
        <v>90612</v>
      </c>
      <c r="BQ212" s="676">
        <v>208282</v>
      </c>
      <c r="BR212" s="676">
        <v>127629</v>
      </c>
      <c r="BS212" s="676">
        <v>7299828</v>
      </c>
      <c r="BT212" s="676">
        <v>7130143</v>
      </c>
      <c r="BU212" s="676">
        <v>747820</v>
      </c>
      <c r="BV212" s="676">
        <v>810108</v>
      </c>
      <c r="BW212" s="676">
        <v>922698</v>
      </c>
      <c r="BX212" s="676">
        <v>253447</v>
      </c>
      <c r="BY212" s="676">
        <v>326825</v>
      </c>
      <c r="BZ212" s="676">
        <v>22702000</v>
      </c>
      <c r="CA212" s="676">
        <v>1012091.78</v>
      </c>
      <c r="CB212" s="676">
        <v>1063449.3600000001</v>
      </c>
      <c r="CC212" s="676">
        <v>57944000</v>
      </c>
      <c r="CD212" s="676">
        <v>3373</v>
      </c>
      <c r="CE212" s="676">
        <v>17189000</v>
      </c>
      <c r="CF212" s="676">
        <v>77000</v>
      </c>
      <c r="CG212" s="676">
        <v>-5889000</v>
      </c>
    </row>
    <row r="213" spans="1:85" s="307" customFormat="1" ht="15.75" thickBot="1" x14ac:dyDescent="0.3">
      <c r="A213" s="320"/>
      <c r="B213" s="320"/>
      <c r="C213" s="320"/>
      <c r="D213" s="320"/>
      <c r="E213" s="320"/>
      <c r="F213" s="321"/>
      <c r="G213" s="332"/>
      <c r="H213" s="332"/>
      <c r="I213" s="332"/>
      <c r="J213" s="332"/>
      <c r="K213" s="332"/>
      <c r="L213" s="332"/>
      <c r="M213" s="332"/>
      <c r="N213" s="332"/>
      <c r="O213" s="332"/>
      <c r="P213" s="332"/>
      <c r="Q213" s="332"/>
      <c r="R213" s="332"/>
      <c r="S213" s="332"/>
      <c r="T213" s="332"/>
      <c r="U213" s="332"/>
      <c r="V213" s="332"/>
      <c r="W213" s="332"/>
      <c r="X213" s="332"/>
      <c r="Y213" s="332"/>
      <c r="Z213" s="332"/>
      <c r="AA213" s="332"/>
      <c r="AB213" s="332"/>
      <c r="AC213" s="332"/>
      <c r="AD213" s="332"/>
      <c r="AE213" s="332"/>
      <c r="AF213" s="332"/>
      <c r="AG213" s="332"/>
      <c r="AH213" s="332"/>
      <c r="AI213" s="332"/>
      <c r="AJ213" s="332"/>
      <c r="AK213" s="332"/>
      <c r="AL213" s="332"/>
      <c r="AM213" s="332"/>
      <c r="AN213" s="332"/>
      <c r="AO213" s="332"/>
      <c r="AP213" s="332"/>
      <c r="AQ213" s="332"/>
      <c r="AR213" s="332"/>
      <c r="AS213" s="332"/>
      <c r="AT213" s="332"/>
      <c r="AU213" s="332"/>
      <c r="AV213" s="332"/>
      <c r="AW213" s="332"/>
      <c r="AX213" s="332"/>
      <c r="AY213" s="332"/>
      <c r="AZ213" s="332"/>
      <c r="BA213" s="332"/>
      <c r="BB213" s="332"/>
      <c r="BC213" s="332"/>
      <c r="BD213" s="332"/>
      <c r="BE213" s="332"/>
      <c r="BF213" s="332"/>
      <c r="BG213" s="332"/>
      <c r="BH213" s="332"/>
      <c r="BI213" s="332"/>
      <c r="BJ213" s="332"/>
      <c r="BK213" s="332"/>
      <c r="BL213" s="332"/>
      <c r="BM213" s="332"/>
      <c r="BN213" s="332"/>
      <c r="BO213" s="332"/>
      <c r="BP213" s="332"/>
      <c r="BQ213" s="332"/>
      <c r="BR213" s="332"/>
      <c r="BS213" s="332"/>
      <c r="BT213" s="332"/>
      <c r="BU213" s="332"/>
      <c r="BV213" s="332"/>
      <c r="BW213" s="332"/>
      <c r="BX213" s="332"/>
      <c r="BY213" s="332"/>
      <c r="BZ213" s="332"/>
      <c r="CA213" s="332"/>
      <c r="CB213" s="332"/>
      <c r="CC213" s="332"/>
      <c r="CD213" s="332"/>
      <c r="CE213" s="332"/>
      <c r="CF213" s="332"/>
      <c r="CG213" s="332"/>
    </row>
    <row r="214" spans="1:85" s="449" customFormat="1" x14ac:dyDescent="0.25">
      <c r="A214" s="448"/>
      <c r="D214" s="448"/>
      <c r="E214" s="448"/>
      <c r="F214" s="450"/>
      <c r="G214" s="451"/>
      <c r="H214" s="451"/>
      <c r="I214" s="451"/>
      <c r="J214" s="451"/>
      <c r="K214" s="451"/>
      <c r="L214" s="451"/>
      <c r="M214" s="451"/>
      <c r="N214" s="451"/>
      <c r="O214" s="451"/>
      <c r="P214" s="451"/>
      <c r="Q214" s="451"/>
      <c r="R214" s="451"/>
      <c r="S214" s="451"/>
      <c r="T214" s="451"/>
      <c r="U214" s="451"/>
      <c r="V214" s="451"/>
      <c r="W214" s="451"/>
      <c r="X214" s="451"/>
      <c r="Y214" s="451"/>
      <c r="Z214" s="451"/>
      <c r="AA214" s="451"/>
      <c r="AB214" s="451"/>
      <c r="AC214" s="451"/>
      <c r="AD214" s="451"/>
      <c r="AE214" s="451"/>
      <c r="AF214" s="451"/>
      <c r="AG214" s="451"/>
      <c r="AH214" s="451"/>
      <c r="AI214" s="451"/>
      <c r="AJ214" s="451"/>
      <c r="AK214" s="451"/>
      <c r="AL214" s="451"/>
      <c r="AM214" s="451"/>
      <c r="AN214" s="451"/>
      <c r="AO214" s="451"/>
      <c r="AP214" s="451"/>
      <c r="AQ214" s="451"/>
      <c r="AR214" s="451"/>
      <c r="AS214" s="451"/>
      <c r="AT214" s="451"/>
      <c r="AU214" s="451"/>
      <c r="AV214" s="451"/>
      <c r="AW214" s="451"/>
      <c r="AX214" s="451"/>
      <c r="AY214" s="451"/>
      <c r="AZ214" s="451"/>
      <c r="BA214" s="451"/>
      <c r="BB214" s="451"/>
      <c r="BC214" s="451"/>
      <c r="BD214" s="451"/>
      <c r="BE214" s="451"/>
      <c r="BF214" s="451"/>
      <c r="BG214" s="451"/>
      <c r="BH214" s="451"/>
      <c r="BI214" s="451"/>
      <c r="BJ214" s="451"/>
      <c r="BK214" s="451"/>
      <c r="BL214" s="451"/>
      <c r="BM214" s="451"/>
      <c r="BN214" s="451"/>
      <c r="BO214" s="451"/>
      <c r="BP214" s="451"/>
      <c r="BQ214" s="451"/>
      <c r="BR214" s="451"/>
      <c r="BS214" s="451"/>
      <c r="BT214" s="451"/>
      <c r="BU214" s="451"/>
      <c r="BV214" s="451"/>
      <c r="BW214" s="451"/>
      <c r="BX214" s="451"/>
      <c r="BY214" s="451"/>
      <c r="BZ214" s="451"/>
      <c r="CA214" s="451"/>
      <c r="CB214" s="451"/>
      <c r="CC214" s="451"/>
      <c r="CD214" s="451"/>
      <c r="CE214" s="451"/>
      <c r="CF214" s="451"/>
      <c r="CG214" s="451"/>
    </row>
    <row r="215" spans="1:85" s="453" customFormat="1" x14ac:dyDescent="0.25">
      <c r="A215" s="452" t="s">
        <v>642</v>
      </c>
      <c r="B215" s="452" t="s">
        <v>864</v>
      </c>
      <c r="C215" s="452"/>
      <c r="D215" s="452" t="s">
        <v>865</v>
      </c>
      <c r="E215" s="452" t="s">
        <v>1457</v>
      </c>
      <c r="F215" s="319">
        <v>2016</v>
      </c>
      <c r="G215" s="322">
        <v>2016</v>
      </c>
      <c r="H215" s="324">
        <v>2016</v>
      </c>
      <c r="I215" s="325">
        <v>2016</v>
      </c>
      <c r="J215" s="326">
        <v>2016</v>
      </c>
      <c r="K215" s="327">
        <v>2016</v>
      </c>
      <c r="L215" s="328">
        <v>2016</v>
      </c>
      <c r="M215" s="329">
        <v>2016</v>
      </c>
      <c r="N215" s="330">
        <v>2016</v>
      </c>
      <c r="O215" s="331">
        <v>2016</v>
      </c>
      <c r="P215" s="333">
        <v>2016</v>
      </c>
      <c r="Q215" s="334">
        <v>2016</v>
      </c>
      <c r="R215" s="335">
        <v>2016</v>
      </c>
      <c r="S215" s="336">
        <v>2016</v>
      </c>
      <c r="T215" s="337">
        <v>2016</v>
      </c>
      <c r="U215" s="338">
        <v>2016</v>
      </c>
      <c r="V215" s="339">
        <v>2016</v>
      </c>
      <c r="W215" s="340">
        <v>2016</v>
      </c>
      <c r="X215" s="341">
        <v>2016</v>
      </c>
      <c r="Y215" s="342">
        <v>2016</v>
      </c>
      <c r="Z215" s="343">
        <v>2016</v>
      </c>
      <c r="AA215" s="344">
        <v>2016</v>
      </c>
      <c r="AB215" s="345">
        <v>2016</v>
      </c>
      <c r="AC215" s="346">
        <v>2016</v>
      </c>
      <c r="AD215" s="347">
        <v>2016</v>
      </c>
      <c r="AE215" s="348">
        <v>2016</v>
      </c>
      <c r="AF215" s="349">
        <v>2016</v>
      </c>
      <c r="AG215" s="350">
        <v>2016</v>
      </c>
      <c r="AH215" s="351">
        <v>2016</v>
      </c>
      <c r="AI215" s="352">
        <v>2016</v>
      </c>
      <c r="AJ215" s="353">
        <v>2016</v>
      </c>
      <c r="AK215" s="354">
        <v>2016</v>
      </c>
      <c r="AL215" s="355">
        <v>2016</v>
      </c>
      <c r="AM215" s="356">
        <v>2016</v>
      </c>
      <c r="AN215" s="357">
        <v>2016</v>
      </c>
      <c r="AO215" s="358">
        <v>2016</v>
      </c>
      <c r="AP215" s="359">
        <v>2016</v>
      </c>
      <c r="AQ215" s="360">
        <v>2016</v>
      </c>
      <c r="AR215" s="361">
        <v>2016</v>
      </c>
      <c r="AS215" s="362">
        <v>2016</v>
      </c>
      <c r="AT215" s="363">
        <v>2016</v>
      </c>
      <c r="AU215" s="364">
        <v>2016</v>
      </c>
      <c r="AV215" s="365">
        <v>2016</v>
      </c>
      <c r="AW215" s="366">
        <v>2016</v>
      </c>
      <c r="AX215" s="367">
        <v>2016</v>
      </c>
      <c r="AY215" s="368">
        <v>2016</v>
      </c>
      <c r="AZ215" s="369">
        <v>2016</v>
      </c>
      <c r="BA215" s="370">
        <v>2016</v>
      </c>
      <c r="BB215" s="371">
        <v>2016</v>
      </c>
      <c r="BC215" s="372">
        <v>2016</v>
      </c>
      <c r="BD215" s="373">
        <v>2016</v>
      </c>
      <c r="BE215" s="374">
        <v>2016</v>
      </c>
      <c r="BF215" s="375">
        <v>2016</v>
      </c>
      <c r="BG215" s="376">
        <v>2016</v>
      </c>
      <c r="BH215" s="377">
        <v>2016</v>
      </c>
      <c r="BI215" s="378">
        <v>2016</v>
      </c>
      <c r="BJ215" s="379">
        <v>2016</v>
      </c>
      <c r="BK215" s="380">
        <v>2016</v>
      </c>
      <c r="BL215" s="381">
        <v>2016</v>
      </c>
      <c r="BM215" s="382">
        <v>2016</v>
      </c>
      <c r="BN215" s="383">
        <v>2016</v>
      </c>
      <c r="BO215" s="384">
        <v>2016</v>
      </c>
      <c r="BP215" s="385">
        <v>2016</v>
      </c>
      <c r="BQ215" s="386">
        <v>2016</v>
      </c>
      <c r="BR215" s="387">
        <v>2016</v>
      </c>
      <c r="BS215" s="388">
        <v>2016</v>
      </c>
      <c r="BT215" s="389">
        <v>2016</v>
      </c>
      <c r="BU215" s="390">
        <v>2016</v>
      </c>
      <c r="BV215" s="391">
        <v>2016</v>
      </c>
      <c r="BW215" s="392">
        <v>2016</v>
      </c>
      <c r="BX215" s="393">
        <v>2016</v>
      </c>
      <c r="BY215" s="394">
        <v>2016</v>
      </c>
      <c r="BZ215" s="395">
        <v>2016</v>
      </c>
      <c r="CA215" s="396">
        <v>2016</v>
      </c>
      <c r="CB215" s="397">
        <v>2016</v>
      </c>
      <c r="CC215" s="398">
        <v>2016</v>
      </c>
      <c r="CD215" s="399">
        <v>2016</v>
      </c>
      <c r="CE215" s="400">
        <v>2016</v>
      </c>
      <c r="CF215" s="401">
        <v>2016</v>
      </c>
      <c r="CG215" s="402">
        <v>2016</v>
      </c>
    </row>
    <row r="216" spans="1:85" x14ac:dyDescent="0.25">
      <c r="A216" s="320" t="s">
        <v>642</v>
      </c>
      <c r="B216" s="320" t="s">
        <v>1325</v>
      </c>
      <c r="C216" s="320" t="s">
        <v>1326</v>
      </c>
      <c r="D216" s="320" t="s">
        <v>866</v>
      </c>
      <c r="E216" s="320">
        <v>2016</v>
      </c>
      <c r="F216" s="404">
        <v>2533184</v>
      </c>
      <c r="G216" s="676">
        <v>25898614</v>
      </c>
      <c r="H216" s="676">
        <v>24895137</v>
      </c>
      <c r="I216" s="676">
        <v>23945911</v>
      </c>
      <c r="J216" s="676">
        <v>36020302</v>
      </c>
      <c r="K216" s="676">
        <v>16896185</v>
      </c>
      <c r="L216" s="676">
        <v>7167451</v>
      </c>
      <c r="M216" s="676">
        <v>66280878</v>
      </c>
      <c r="N216" s="676">
        <v>50313330</v>
      </c>
      <c r="O216" s="676">
        <v>19401482</v>
      </c>
      <c r="P216" s="676">
        <v>11971533</v>
      </c>
      <c r="Q216" s="676">
        <v>25960621</v>
      </c>
      <c r="R216" s="676">
        <v>17630509</v>
      </c>
      <c r="S216" s="676">
        <v>53162351</v>
      </c>
      <c r="T216" s="676">
        <v>44307359</v>
      </c>
      <c r="U216" s="676">
        <v>4997340000</v>
      </c>
      <c r="V216" s="676">
        <v>9731138</v>
      </c>
      <c r="W216" s="676">
        <v>19503848</v>
      </c>
      <c r="X216" s="676">
        <v>48561169.460000001</v>
      </c>
      <c r="Y216" s="676">
        <v>55693494</v>
      </c>
      <c r="Z216" s="676">
        <v>1506879928.28</v>
      </c>
      <c r="AA216" s="676">
        <v>27189928</v>
      </c>
      <c r="AB216" s="676">
        <v>902869723</v>
      </c>
      <c r="AC216" s="676">
        <v>3568650.19</v>
      </c>
      <c r="AD216" s="676">
        <v>34434255</v>
      </c>
      <c r="AE216" s="676">
        <v>54270234</v>
      </c>
      <c r="AF216" s="676">
        <v>311080930</v>
      </c>
      <c r="AG216" s="676">
        <v>22101771</v>
      </c>
      <c r="AH216" s="676">
        <v>25925898</v>
      </c>
      <c r="AI216" s="676">
        <v>3203469</v>
      </c>
      <c r="AJ216" s="676">
        <v>6641178</v>
      </c>
      <c r="AK216" s="676">
        <v>98024148</v>
      </c>
      <c r="AL216" s="676">
        <v>19157909</v>
      </c>
      <c r="AM216" s="676">
        <v>28889342</v>
      </c>
      <c r="AN216" s="676">
        <v>8702837000</v>
      </c>
      <c r="AO216" s="676">
        <v>111095746</v>
      </c>
      <c r="AP216" s="676">
        <v>12414987</v>
      </c>
      <c r="AQ216" s="676">
        <v>47259058</v>
      </c>
      <c r="AR216" s="676">
        <v>11036185</v>
      </c>
      <c r="AS216" s="676">
        <v>4695778</v>
      </c>
      <c r="AT216" s="676">
        <v>87279581.950000003</v>
      </c>
      <c r="AU216" s="676">
        <v>4201660</v>
      </c>
      <c r="AV216" s="676">
        <v>6309751</v>
      </c>
      <c r="AW216" s="676">
        <v>1901222</v>
      </c>
      <c r="AX216" s="676">
        <v>60313999</v>
      </c>
      <c r="AY216" s="676">
        <v>21506010</v>
      </c>
      <c r="AZ216" s="676">
        <v>2572355</v>
      </c>
      <c r="BA216" s="676">
        <v>58804619</v>
      </c>
      <c r="BB216" s="676">
        <v>24160216</v>
      </c>
      <c r="BC216" s="676">
        <v>36926479</v>
      </c>
      <c r="BD216" s="676">
        <v>902814621</v>
      </c>
      <c r="BE216" s="676">
        <v>50936811.07</v>
      </c>
      <c r="BF216" s="676">
        <v>436367000</v>
      </c>
      <c r="BG216" s="676">
        <v>9488645000</v>
      </c>
      <c r="BH216" s="676">
        <v>3265033000</v>
      </c>
      <c r="BI216" s="676">
        <v>1420830469</v>
      </c>
      <c r="BJ216" s="676">
        <v>62345664</v>
      </c>
      <c r="BK216" s="676">
        <v>6361143</v>
      </c>
      <c r="BL216" s="676">
        <v>56331679</v>
      </c>
      <c r="BM216" s="676">
        <v>979530000</v>
      </c>
      <c r="BN216" s="676">
        <v>47660901</v>
      </c>
      <c r="BO216" s="676">
        <v>4953500</v>
      </c>
      <c r="BP216" s="676">
        <v>4010823</v>
      </c>
      <c r="BQ216" s="676">
        <v>3469532</v>
      </c>
      <c r="BR216" s="676">
        <v>4089476</v>
      </c>
      <c r="BS216" s="676">
        <v>63136753</v>
      </c>
      <c r="BT216" s="676">
        <v>345464583</v>
      </c>
      <c r="BU216" s="676">
        <v>14361325</v>
      </c>
      <c r="BV216" s="676">
        <v>592140733</v>
      </c>
      <c r="BW216" s="676">
        <v>1336643261</v>
      </c>
      <c r="BX216" s="676">
        <v>90728283</v>
      </c>
      <c r="BY216" s="676">
        <v>5754472</v>
      </c>
      <c r="BZ216" s="676">
        <v>913479000</v>
      </c>
      <c r="CA216" s="676">
        <v>25931615.170000002</v>
      </c>
      <c r="CB216" s="676">
        <v>51670445.539999999</v>
      </c>
      <c r="CC216" s="676">
        <v>1055851000</v>
      </c>
      <c r="CD216" s="676">
        <v>4316723</v>
      </c>
      <c r="CE216" s="676">
        <v>3516381000</v>
      </c>
      <c r="CF216" s="676">
        <v>342260000</v>
      </c>
      <c r="CG216" s="676">
        <v>1013941000</v>
      </c>
    </row>
    <row r="217" spans="1:85" x14ac:dyDescent="0.25">
      <c r="A217" s="320" t="s">
        <v>428</v>
      </c>
      <c r="B217" s="320" t="s">
        <v>1327</v>
      </c>
      <c r="C217" s="320" t="s">
        <v>1328</v>
      </c>
      <c r="D217" s="320" t="s">
        <v>867</v>
      </c>
      <c r="E217" s="320">
        <v>2016</v>
      </c>
      <c r="F217" s="404">
        <v>1366889</v>
      </c>
      <c r="G217" s="676">
        <v>21840603</v>
      </c>
      <c r="H217" s="676">
        <v>18370345</v>
      </c>
      <c r="I217" s="676">
        <v>18719269</v>
      </c>
      <c r="J217" s="676">
        <v>30268192</v>
      </c>
      <c r="K217" s="676">
        <v>13869931</v>
      </c>
      <c r="L217" s="676">
        <v>5409941</v>
      </c>
      <c r="M217" s="676">
        <v>19768865</v>
      </c>
      <c r="N217" s="676">
        <v>6227</v>
      </c>
      <c r="O217" s="676">
        <v>1754223</v>
      </c>
      <c r="P217" s="676">
        <v>2291738</v>
      </c>
      <c r="Q217" s="676">
        <v>25055485</v>
      </c>
      <c r="R217" s="676">
        <v>10005961</v>
      </c>
      <c r="S217" s="676">
        <v>721309</v>
      </c>
      <c r="T217" s="676">
        <v>36527356</v>
      </c>
      <c r="U217" s="676">
        <v>4405802000</v>
      </c>
      <c r="V217" s="676">
        <v>974495</v>
      </c>
      <c r="W217" s="676">
        <v>18771772</v>
      </c>
      <c r="X217" s="676">
        <v>47588969.609999999</v>
      </c>
      <c r="Y217" s="676">
        <v>239032</v>
      </c>
      <c r="Z217" s="676">
        <v>259757100.61000001</v>
      </c>
      <c r="AA217" s="676">
        <v>24609748</v>
      </c>
      <c r="AB217" s="676">
        <v>801107766</v>
      </c>
      <c r="AC217" s="676">
        <v>2735069.92</v>
      </c>
      <c r="AD217" s="676">
        <v>31110616</v>
      </c>
      <c r="AE217" s="676">
        <v>36857854</v>
      </c>
      <c r="AF217" s="676">
        <v>303828126</v>
      </c>
      <c r="AG217" s="676">
        <v>21924362</v>
      </c>
      <c r="AH217" s="676">
        <v>25231210</v>
      </c>
      <c r="AI217" s="676">
        <v>2341022</v>
      </c>
      <c r="AJ217" s="676">
        <v>6618529</v>
      </c>
      <c r="AK217" s="676">
        <v>49381985</v>
      </c>
      <c r="AL217" s="676">
        <v>1667053</v>
      </c>
      <c r="AM217" s="676">
        <v>11564058</v>
      </c>
      <c r="AN217" s="676">
        <v>8136472000</v>
      </c>
      <c r="AO217" s="676">
        <v>50221814</v>
      </c>
      <c r="AP217" s="676">
        <v>3790817</v>
      </c>
      <c r="AQ217" s="676">
        <v>37114278</v>
      </c>
      <c r="AR217" s="676">
        <v>7505906</v>
      </c>
      <c r="AS217" s="676">
        <v>140753</v>
      </c>
      <c r="AT217" s="676">
        <v>82578120.060000002</v>
      </c>
      <c r="AU217" s="676">
        <v>914533</v>
      </c>
      <c r="AV217" s="676">
        <v>1729384</v>
      </c>
      <c r="AW217" s="676">
        <v>965364</v>
      </c>
      <c r="AX217" s="676">
        <v>29030599</v>
      </c>
      <c r="AY217" s="676">
        <v>12770113</v>
      </c>
      <c r="AZ217" s="676">
        <v>729302</v>
      </c>
      <c r="BA217" s="676">
        <v>35393747</v>
      </c>
      <c r="BB217" s="676">
        <v>17150119</v>
      </c>
      <c r="BC217" s="676">
        <v>19822435</v>
      </c>
      <c r="BD217" s="676">
        <v>825215340</v>
      </c>
      <c r="BE217" s="676">
        <v>1108947.33</v>
      </c>
      <c r="BF217" s="676">
        <v>257178000</v>
      </c>
      <c r="BG217" s="676">
        <v>7590195000</v>
      </c>
      <c r="BH217" s="676">
        <v>2169787000</v>
      </c>
      <c r="BI217" s="676">
        <v>1367728870</v>
      </c>
      <c r="BJ217" s="676">
        <v>51458910</v>
      </c>
      <c r="BK217" s="676">
        <v>4185985</v>
      </c>
      <c r="BL217" s="676">
        <v>51367219</v>
      </c>
      <c r="BM217" s="676">
        <v>872228000</v>
      </c>
      <c r="BN217" s="676">
        <v>33611704</v>
      </c>
      <c r="BO217" s="676">
        <v>1747591</v>
      </c>
      <c r="BP217" s="676">
        <v>323907</v>
      </c>
      <c r="BQ217" s="676">
        <v>2540294</v>
      </c>
      <c r="BR217" s="676">
        <v>2565154</v>
      </c>
      <c r="BS217" s="676">
        <v>5983780</v>
      </c>
      <c r="BT217" s="676">
        <v>311327138</v>
      </c>
      <c r="BU217" s="676">
        <v>200104</v>
      </c>
      <c r="BV217" s="676">
        <v>588842922</v>
      </c>
      <c r="BW217" s="676">
        <v>1159301704</v>
      </c>
      <c r="BX217" s="676">
        <v>87832196</v>
      </c>
      <c r="BY217" s="676">
        <v>2541120</v>
      </c>
      <c r="BZ217" s="676">
        <v>902169000</v>
      </c>
      <c r="CA217" s="676">
        <v>16732005.609999999</v>
      </c>
      <c r="CB217" s="676">
        <v>28785392.879999999</v>
      </c>
      <c r="CC217" s="676">
        <v>967416000</v>
      </c>
      <c r="CD217" s="676">
        <v>3609953</v>
      </c>
      <c r="CE217" s="676">
        <v>3319938000</v>
      </c>
      <c r="CF217" s="676">
        <v>287956000</v>
      </c>
      <c r="CG217" s="676">
        <v>932299000</v>
      </c>
    </row>
    <row r="218" spans="1:85" x14ac:dyDescent="0.25">
      <c r="A218" s="320" t="s">
        <v>868</v>
      </c>
      <c r="B218" s="320" t="s">
        <v>1329</v>
      </c>
      <c r="C218" s="320" t="s">
        <v>1330</v>
      </c>
      <c r="D218" s="320" t="s">
        <v>869</v>
      </c>
      <c r="E218" s="320">
        <v>2016</v>
      </c>
      <c r="F218" s="404"/>
      <c r="G218" s="676">
        <v>10383</v>
      </c>
      <c r="H218" s="676">
        <v>4999</v>
      </c>
      <c r="I218" s="676">
        <v>8602</v>
      </c>
      <c r="J218" s="676">
        <v>6540782</v>
      </c>
      <c r="K218" s="676">
        <v>0</v>
      </c>
      <c r="L218" s="676">
        <v>26469</v>
      </c>
      <c r="M218" s="676">
        <v>279440</v>
      </c>
      <c r="N218" s="676"/>
      <c r="O218" s="676">
        <v>19402</v>
      </c>
      <c r="P218" s="676">
        <v>614513</v>
      </c>
      <c r="Q218" s="676">
        <v>6698426</v>
      </c>
      <c r="R218" s="676">
        <v>294100</v>
      </c>
      <c r="S218" s="676">
        <v>5969</v>
      </c>
      <c r="T218" s="676">
        <v>15519</v>
      </c>
      <c r="U218" s="676">
        <v>4389000</v>
      </c>
      <c r="V218" s="676">
        <v>9654</v>
      </c>
      <c r="W218" s="676">
        <v>7171</v>
      </c>
      <c r="X218" s="676">
        <v>0</v>
      </c>
      <c r="Y218" s="676"/>
      <c r="Z218" s="676">
        <v>3153490.8</v>
      </c>
      <c r="AA218" s="676">
        <v>1864</v>
      </c>
      <c r="AB218" s="676">
        <v>12031029</v>
      </c>
      <c r="AC218" s="676">
        <v>0</v>
      </c>
      <c r="AD218" s="676">
        <v>4626</v>
      </c>
      <c r="AE218" s="676">
        <v>82471</v>
      </c>
      <c r="AF218" s="676">
        <v>408580</v>
      </c>
      <c r="AG218" s="676">
        <v>0</v>
      </c>
      <c r="AH218" s="676">
        <v>13935</v>
      </c>
      <c r="AI218" s="676"/>
      <c r="AJ218" s="676">
        <v>995990</v>
      </c>
      <c r="AK218" s="676">
        <v>1672496</v>
      </c>
      <c r="AL218" s="676">
        <v>178316</v>
      </c>
      <c r="AM218" s="676">
        <v>81152</v>
      </c>
      <c r="AN218" s="676">
        <v>1623000</v>
      </c>
      <c r="AO218" s="676">
        <v>25756</v>
      </c>
      <c r="AP218" s="676">
        <v>9914</v>
      </c>
      <c r="AQ218" s="676">
        <v>61842</v>
      </c>
      <c r="AR218" s="676"/>
      <c r="AS218" s="676">
        <v>433</v>
      </c>
      <c r="AT218" s="676">
        <v>359038.23</v>
      </c>
      <c r="AU218" s="676">
        <v>27403</v>
      </c>
      <c r="AV218" s="676">
        <v>67900</v>
      </c>
      <c r="AW218" s="676"/>
      <c r="AX218" s="676">
        <v>31620</v>
      </c>
      <c r="AY218" s="676">
        <v>109422</v>
      </c>
      <c r="AZ218" s="676">
        <v>0</v>
      </c>
      <c r="BA218" s="676">
        <v>1026</v>
      </c>
      <c r="BB218" s="676">
        <v>16772</v>
      </c>
      <c r="BC218" s="676">
        <v>10297</v>
      </c>
      <c r="BD218" s="676">
        <v>11043439</v>
      </c>
      <c r="BE218" s="676">
        <v>262891.44</v>
      </c>
      <c r="BF218" s="676">
        <v>10022000</v>
      </c>
      <c r="BG218" s="676">
        <v>5645000</v>
      </c>
      <c r="BH218" s="676">
        <v>5109000</v>
      </c>
      <c r="BI218" s="676">
        <v>15088014</v>
      </c>
      <c r="BJ218" s="676">
        <v>169064</v>
      </c>
      <c r="BK218" s="676">
        <v>5648</v>
      </c>
      <c r="BL218" s="676">
        <v>7951</v>
      </c>
      <c r="BM218" s="676">
        <v>495000</v>
      </c>
      <c r="BN218" s="676">
        <v>206798</v>
      </c>
      <c r="BO218" s="676"/>
      <c r="BP218" s="676">
        <v>4732</v>
      </c>
      <c r="BQ218" s="676">
        <v>7807</v>
      </c>
      <c r="BR218" s="676">
        <v>43</v>
      </c>
      <c r="BS218" s="676">
        <v>817591</v>
      </c>
      <c r="BT218" s="676">
        <v>10024991</v>
      </c>
      <c r="BU218" s="676">
        <v>119344</v>
      </c>
      <c r="BV218" s="676">
        <v>50905</v>
      </c>
      <c r="BW218" s="676">
        <v>1411219</v>
      </c>
      <c r="BX218" s="676">
        <v>1322200</v>
      </c>
      <c r="BY218" s="676">
        <v>62002</v>
      </c>
      <c r="BZ218" s="676">
        <v>1854000</v>
      </c>
      <c r="CA218" s="676">
        <v>696.91</v>
      </c>
      <c r="CB218" s="676">
        <v>60295.55</v>
      </c>
      <c r="CC218" s="676">
        <v>661000</v>
      </c>
      <c r="CD218" s="676">
        <v>970</v>
      </c>
      <c r="CE218" s="676">
        <v>10321000</v>
      </c>
      <c r="CF218" s="676">
        <v>9649000</v>
      </c>
      <c r="CG218" s="676">
        <v>9226000</v>
      </c>
    </row>
    <row r="219" spans="1:85" x14ac:dyDescent="0.25">
      <c r="A219" s="320" t="s">
        <v>870</v>
      </c>
      <c r="B219" s="320" t="s">
        <v>871</v>
      </c>
      <c r="C219" s="320"/>
      <c r="D219" s="320" t="s">
        <v>872</v>
      </c>
      <c r="E219" s="320">
        <v>2016</v>
      </c>
      <c r="F219" s="404"/>
      <c r="G219" s="676"/>
      <c r="H219" s="676"/>
      <c r="I219" s="676"/>
      <c r="J219" s="676"/>
      <c r="K219" s="676"/>
      <c r="L219" s="676"/>
      <c r="M219" s="676"/>
      <c r="N219" s="676"/>
      <c r="O219" s="676"/>
      <c r="P219" s="676"/>
      <c r="Q219" s="676"/>
      <c r="R219" s="676"/>
      <c r="S219" s="676"/>
      <c r="T219" s="676"/>
      <c r="U219" s="676"/>
      <c r="V219" s="676"/>
      <c r="W219" s="676"/>
      <c r="X219" s="676">
        <v>0</v>
      </c>
      <c r="Y219" s="676"/>
      <c r="Z219" s="676">
        <v>0</v>
      </c>
      <c r="AA219" s="676"/>
      <c r="AB219" s="676">
        <v>916</v>
      </c>
      <c r="AC219" s="676">
        <v>0</v>
      </c>
      <c r="AD219" s="676"/>
      <c r="AE219" s="676"/>
      <c r="AF219" s="676"/>
      <c r="AG219" s="676"/>
      <c r="AH219" s="676"/>
      <c r="AI219" s="676"/>
      <c r="AJ219" s="676"/>
      <c r="AK219" s="676"/>
      <c r="AL219" s="676"/>
      <c r="AM219" s="676"/>
      <c r="AN219" s="676"/>
      <c r="AO219" s="676"/>
      <c r="AP219" s="676"/>
      <c r="AQ219" s="676"/>
      <c r="AR219" s="676"/>
      <c r="AS219" s="676"/>
      <c r="AT219" s="676">
        <v>0</v>
      </c>
      <c r="AU219" s="676"/>
      <c r="AV219" s="676"/>
      <c r="AW219" s="676"/>
      <c r="AX219" s="676"/>
      <c r="AY219" s="676"/>
      <c r="AZ219" s="676">
        <v>0</v>
      </c>
      <c r="BA219" s="676"/>
      <c r="BB219" s="676"/>
      <c r="BC219" s="676"/>
      <c r="BD219" s="676"/>
      <c r="BE219" s="676">
        <v>0</v>
      </c>
      <c r="BF219" s="676"/>
      <c r="BG219" s="676"/>
      <c r="BH219" s="676"/>
      <c r="BI219" s="676">
        <v>821904</v>
      </c>
      <c r="BJ219" s="676"/>
      <c r="BK219" s="676"/>
      <c r="BL219" s="676"/>
      <c r="BM219" s="676"/>
      <c r="BN219" s="676">
        <v>0</v>
      </c>
      <c r="BO219" s="676"/>
      <c r="BP219" s="676"/>
      <c r="BQ219" s="676"/>
      <c r="BR219" s="676"/>
      <c r="BS219" s="676"/>
      <c r="BT219" s="676"/>
      <c r="BU219" s="676"/>
      <c r="BV219" s="676"/>
      <c r="BW219" s="676"/>
      <c r="BX219" s="676"/>
      <c r="BY219" s="676"/>
      <c r="BZ219" s="676"/>
      <c r="CA219" s="676"/>
      <c r="CB219" s="676"/>
      <c r="CC219" s="676"/>
      <c r="CD219" s="676"/>
      <c r="CE219" s="676">
        <v>1000</v>
      </c>
      <c r="CF219" s="676"/>
      <c r="CG219" s="676"/>
    </row>
    <row r="220" spans="1:85" x14ac:dyDescent="0.25">
      <c r="A220" s="320" t="s">
        <v>873</v>
      </c>
      <c r="B220" s="320" t="s">
        <v>874</v>
      </c>
      <c r="C220" s="320"/>
      <c r="D220" s="320" t="s">
        <v>875</v>
      </c>
      <c r="E220" s="320">
        <v>2016</v>
      </c>
      <c r="F220" s="404"/>
      <c r="G220" s="676">
        <v>10383</v>
      </c>
      <c r="H220" s="676">
        <v>4999</v>
      </c>
      <c r="I220" s="676">
        <v>8602</v>
      </c>
      <c r="J220" s="676">
        <v>14036</v>
      </c>
      <c r="K220" s="676"/>
      <c r="L220" s="676">
        <v>14340</v>
      </c>
      <c r="M220" s="676">
        <v>279440</v>
      </c>
      <c r="N220" s="676"/>
      <c r="O220" s="676">
        <v>19402</v>
      </c>
      <c r="P220" s="676">
        <v>283365</v>
      </c>
      <c r="Q220" s="676"/>
      <c r="R220" s="676">
        <v>57817</v>
      </c>
      <c r="S220" s="676">
        <v>5969</v>
      </c>
      <c r="T220" s="676">
        <v>15519</v>
      </c>
      <c r="U220" s="676">
        <v>4168000</v>
      </c>
      <c r="V220" s="676">
        <v>9654</v>
      </c>
      <c r="W220" s="676">
        <v>7171</v>
      </c>
      <c r="X220" s="676">
        <v>0</v>
      </c>
      <c r="Y220" s="676"/>
      <c r="Z220" s="676">
        <v>2509775.4300000002</v>
      </c>
      <c r="AA220" s="676">
        <v>1864</v>
      </c>
      <c r="AB220" s="676">
        <v>1245863</v>
      </c>
      <c r="AC220" s="676">
        <v>0</v>
      </c>
      <c r="AD220" s="676"/>
      <c r="AE220" s="676">
        <v>73758</v>
      </c>
      <c r="AF220" s="676">
        <v>391660</v>
      </c>
      <c r="AG220" s="676">
        <v>0</v>
      </c>
      <c r="AH220" s="676">
        <v>1124</v>
      </c>
      <c r="AI220" s="676"/>
      <c r="AJ220" s="676"/>
      <c r="AK220" s="676">
        <v>1283799</v>
      </c>
      <c r="AL220" s="676">
        <v>178316</v>
      </c>
      <c r="AM220" s="676">
        <v>81152</v>
      </c>
      <c r="AN220" s="676"/>
      <c r="AO220" s="676">
        <v>24768</v>
      </c>
      <c r="AP220" s="676">
        <v>9914</v>
      </c>
      <c r="AQ220" s="676">
        <v>59714</v>
      </c>
      <c r="AR220" s="676"/>
      <c r="AS220" s="676">
        <v>433</v>
      </c>
      <c r="AT220" s="676">
        <v>274413.25</v>
      </c>
      <c r="AU220" s="676">
        <v>27403</v>
      </c>
      <c r="AV220" s="676">
        <v>55900</v>
      </c>
      <c r="AW220" s="676"/>
      <c r="AX220" s="676">
        <v>31620</v>
      </c>
      <c r="AY220" s="676">
        <v>76112</v>
      </c>
      <c r="AZ220" s="676">
        <v>0</v>
      </c>
      <c r="BA220" s="676">
        <v>1026</v>
      </c>
      <c r="BB220" s="676">
        <v>16772</v>
      </c>
      <c r="BC220" s="676">
        <v>10297</v>
      </c>
      <c r="BD220" s="676"/>
      <c r="BE220" s="676">
        <v>199380.53</v>
      </c>
      <c r="BF220" s="676">
        <v>9973000</v>
      </c>
      <c r="BG220" s="676">
        <v>5307000</v>
      </c>
      <c r="BH220" s="676">
        <v>1838000</v>
      </c>
      <c r="BI220" s="676">
        <v>5535828</v>
      </c>
      <c r="BJ220" s="676">
        <v>86809</v>
      </c>
      <c r="BK220" s="676">
        <v>5648</v>
      </c>
      <c r="BL220" s="676">
        <v>7951</v>
      </c>
      <c r="BM220" s="676">
        <v>495000</v>
      </c>
      <c r="BN220" s="676">
        <v>206798</v>
      </c>
      <c r="BO220" s="676"/>
      <c r="BP220" s="676">
        <v>4732</v>
      </c>
      <c r="BQ220" s="676">
        <v>7807</v>
      </c>
      <c r="BR220" s="676"/>
      <c r="BS220" s="676">
        <v>142394</v>
      </c>
      <c r="BT220" s="676">
        <v>7931043</v>
      </c>
      <c r="BU220" s="676">
        <v>117594</v>
      </c>
      <c r="BV220" s="676"/>
      <c r="BW220" s="676">
        <v>1409739</v>
      </c>
      <c r="BX220" s="676">
        <v>919864</v>
      </c>
      <c r="BY220" s="676">
        <v>54105</v>
      </c>
      <c r="BZ220" s="676">
        <v>1136000</v>
      </c>
      <c r="CA220" s="676">
        <v>696.91</v>
      </c>
      <c r="CB220" s="676">
        <v>60295.55</v>
      </c>
      <c r="CC220" s="676">
        <v>572000</v>
      </c>
      <c r="CD220" s="676"/>
      <c r="CE220" s="676">
        <v>7566000</v>
      </c>
      <c r="CF220" s="676">
        <v>8974000</v>
      </c>
      <c r="CG220" s="676"/>
    </row>
    <row r="221" spans="1:85" x14ac:dyDescent="0.25">
      <c r="A221" s="320" t="s">
        <v>876</v>
      </c>
      <c r="B221" s="320" t="s">
        <v>877</v>
      </c>
      <c r="C221" s="320"/>
      <c r="D221" s="320" t="s">
        <v>878</v>
      </c>
      <c r="E221" s="320">
        <v>2016</v>
      </c>
      <c r="F221" s="404"/>
      <c r="G221" s="676"/>
      <c r="H221" s="676"/>
      <c r="I221" s="676"/>
      <c r="J221" s="676"/>
      <c r="K221" s="676"/>
      <c r="L221" s="676">
        <v>146</v>
      </c>
      <c r="M221" s="676"/>
      <c r="N221" s="676"/>
      <c r="O221" s="676"/>
      <c r="P221" s="676"/>
      <c r="Q221" s="676">
        <v>6698426</v>
      </c>
      <c r="R221" s="676"/>
      <c r="S221" s="676"/>
      <c r="T221" s="676">
        <v>0</v>
      </c>
      <c r="U221" s="676"/>
      <c r="V221" s="676"/>
      <c r="W221" s="676"/>
      <c r="X221" s="676">
        <v>0</v>
      </c>
      <c r="Y221" s="676"/>
      <c r="Z221" s="676">
        <v>382328.57</v>
      </c>
      <c r="AA221" s="676"/>
      <c r="AB221" s="676">
        <v>2445</v>
      </c>
      <c r="AC221" s="676">
        <v>0</v>
      </c>
      <c r="AD221" s="676">
        <v>4626</v>
      </c>
      <c r="AE221" s="676"/>
      <c r="AF221" s="676"/>
      <c r="AG221" s="676"/>
      <c r="AH221" s="676">
        <v>3084</v>
      </c>
      <c r="AI221" s="676"/>
      <c r="AJ221" s="676">
        <v>995990</v>
      </c>
      <c r="AK221" s="676">
        <v>139396</v>
      </c>
      <c r="AL221" s="676"/>
      <c r="AM221" s="676"/>
      <c r="AN221" s="676"/>
      <c r="AO221" s="676"/>
      <c r="AP221" s="676"/>
      <c r="AQ221" s="676"/>
      <c r="AR221" s="676"/>
      <c r="AS221" s="676"/>
      <c r="AT221" s="676">
        <v>0</v>
      </c>
      <c r="AU221" s="676"/>
      <c r="AV221" s="676"/>
      <c r="AW221" s="676"/>
      <c r="AX221" s="676"/>
      <c r="AY221" s="676">
        <v>1430</v>
      </c>
      <c r="AZ221" s="676">
        <v>0</v>
      </c>
      <c r="BA221" s="676"/>
      <c r="BB221" s="676"/>
      <c r="BC221" s="676"/>
      <c r="BD221" s="676"/>
      <c r="BE221" s="676">
        <v>0</v>
      </c>
      <c r="BF221" s="676">
        <v>49000</v>
      </c>
      <c r="BG221" s="676"/>
      <c r="BH221" s="676"/>
      <c r="BI221" s="676"/>
      <c r="BJ221" s="676"/>
      <c r="BK221" s="676"/>
      <c r="BL221" s="676"/>
      <c r="BM221" s="676"/>
      <c r="BN221" s="676">
        <v>0</v>
      </c>
      <c r="BO221" s="676"/>
      <c r="BP221" s="676"/>
      <c r="BQ221" s="676"/>
      <c r="BR221" s="676"/>
      <c r="BS221" s="676">
        <v>656852</v>
      </c>
      <c r="BT221" s="676"/>
      <c r="BU221" s="676"/>
      <c r="BV221" s="676"/>
      <c r="BW221" s="676"/>
      <c r="BX221" s="676"/>
      <c r="BY221" s="676"/>
      <c r="BZ221" s="676"/>
      <c r="CA221" s="676"/>
      <c r="CB221" s="676"/>
      <c r="CC221" s="676"/>
      <c r="CD221" s="676"/>
      <c r="CE221" s="676"/>
      <c r="CF221" s="676"/>
      <c r="CG221" s="676">
        <v>6928000</v>
      </c>
    </row>
    <row r="222" spans="1:85" x14ac:dyDescent="0.25">
      <c r="A222" s="320" t="s">
        <v>879</v>
      </c>
      <c r="B222" s="320" t="s">
        <v>880</v>
      </c>
      <c r="C222" s="320"/>
      <c r="D222" s="320" t="s">
        <v>881</v>
      </c>
      <c r="E222" s="320">
        <v>2016</v>
      </c>
      <c r="F222" s="404"/>
      <c r="G222" s="676"/>
      <c r="H222" s="676"/>
      <c r="I222" s="676"/>
      <c r="J222" s="676">
        <v>6526746</v>
      </c>
      <c r="K222" s="676"/>
      <c r="L222" s="676"/>
      <c r="M222" s="676"/>
      <c r="N222" s="676"/>
      <c r="O222" s="676"/>
      <c r="P222" s="676"/>
      <c r="Q222" s="676"/>
      <c r="R222" s="676">
        <v>233196</v>
      </c>
      <c r="S222" s="676"/>
      <c r="T222" s="676"/>
      <c r="U222" s="676"/>
      <c r="V222" s="676"/>
      <c r="W222" s="676"/>
      <c r="X222" s="676">
        <v>0</v>
      </c>
      <c r="Y222" s="676"/>
      <c r="Z222" s="676">
        <v>0</v>
      </c>
      <c r="AA222" s="676"/>
      <c r="AB222" s="676"/>
      <c r="AC222" s="676">
        <v>0</v>
      </c>
      <c r="AD222" s="676"/>
      <c r="AE222" s="676"/>
      <c r="AF222" s="676"/>
      <c r="AG222" s="676"/>
      <c r="AH222" s="676"/>
      <c r="AI222" s="676"/>
      <c r="AJ222" s="676"/>
      <c r="AK222" s="676"/>
      <c r="AL222" s="676"/>
      <c r="AM222" s="676"/>
      <c r="AN222" s="676"/>
      <c r="AO222" s="676"/>
      <c r="AP222" s="676"/>
      <c r="AQ222" s="676"/>
      <c r="AR222" s="676"/>
      <c r="AS222" s="676"/>
      <c r="AT222" s="676">
        <v>0</v>
      </c>
      <c r="AU222" s="676"/>
      <c r="AV222" s="676"/>
      <c r="AW222" s="676"/>
      <c r="AX222" s="676"/>
      <c r="AY222" s="676"/>
      <c r="AZ222" s="676">
        <v>0</v>
      </c>
      <c r="BA222" s="676"/>
      <c r="BB222" s="676"/>
      <c r="BC222" s="676"/>
      <c r="BD222" s="676"/>
      <c r="BE222" s="676">
        <v>0</v>
      </c>
      <c r="BF222" s="676"/>
      <c r="BG222" s="676"/>
      <c r="BH222" s="676"/>
      <c r="BI222" s="676"/>
      <c r="BJ222" s="676">
        <v>82255</v>
      </c>
      <c r="BK222" s="676"/>
      <c r="BL222" s="676"/>
      <c r="BM222" s="676"/>
      <c r="BN222" s="676">
        <v>0</v>
      </c>
      <c r="BO222" s="676"/>
      <c r="BP222" s="676"/>
      <c r="BQ222" s="676"/>
      <c r="BR222" s="676"/>
      <c r="BS222" s="676"/>
      <c r="BT222" s="676"/>
      <c r="BU222" s="676"/>
      <c r="BV222" s="676"/>
      <c r="BW222" s="676"/>
      <c r="BX222" s="676"/>
      <c r="BY222" s="676"/>
      <c r="BZ222" s="676"/>
      <c r="CA222" s="676"/>
      <c r="CB222" s="676"/>
      <c r="CC222" s="676"/>
      <c r="CD222" s="676"/>
      <c r="CE222" s="676"/>
      <c r="CF222" s="676"/>
      <c r="CG222" s="676"/>
    </row>
    <row r="223" spans="1:85" x14ac:dyDescent="0.25">
      <c r="A223" s="320" t="s">
        <v>882</v>
      </c>
      <c r="B223" s="320" t="s">
        <v>883</v>
      </c>
      <c r="C223" s="320"/>
      <c r="D223" s="320" t="s">
        <v>884</v>
      </c>
      <c r="E223" s="320">
        <v>2016</v>
      </c>
      <c r="F223" s="404"/>
      <c r="G223" s="676"/>
      <c r="H223" s="676"/>
      <c r="I223" s="676"/>
      <c r="J223" s="676"/>
      <c r="K223" s="676"/>
      <c r="L223" s="676"/>
      <c r="M223" s="676"/>
      <c r="N223" s="676"/>
      <c r="O223" s="676"/>
      <c r="P223" s="676"/>
      <c r="Q223" s="676"/>
      <c r="R223" s="676"/>
      <c r="S223" s="676"/>
      <c r="T223" s="676"/>
      <c r="U223" s="676">
        <v>13000</v>
      </c>
      <c r="V223" s="676"/>
      <c r="W223" s="676"/>
      <c r="X223" s="676">
        <v>0</v>
      </c>
      <c r="Y223" s="676"/>
      <c r="Z223" s="676">
        <v>180766.02</v>
      </c>
      <c r="AA223" s="676"/>
      <c r="AB223" s="676">
        <v>1332875</v>
      </c>
      <c r="AC223" s="676">
        <v>0</v>
      </c>
      <c r="AD223" s="676"/>
      <c r="AE223" s="676"/>
      <c r="AF223" s="676"/>
      <c r="AG223" s="676"/>
      <c r="AH223" s="676">
        <v>9727</v>
      </c>
      <c r="AI223" s="676"/>
      <c r="AJ223" s="676"/>
      <c r="AK223" s="676"/>
      <c r="AL223" s="676"/>
      <c r="AM223" s="676"/>
      <c r="AN223" s="676"/>
      <c r="AO223" s="676"/>
      <c r="AP223" s="676"/>
      <c r="AQ223" s="676">
        <v>2128</v>
      </c>
      <c r="AR223" s="676"/>
      <c r="AS223" s="676"/>
      <c r="AT223" s="676">
        <v>76621.19</v>
      </c>
      <c r="AU223" s="676"/>
      <c r="AV223" s="676"/>
      <c r="AW223" s="676"/>
      <c r="AX223" s="676"/>
      <c r="AY223" s="676"/>
      <c r="AZ223" s="676">
        <v>0</v>
      </c>
      <c r="BA223" s="676"/>
      <c r="BB223" s="676"/>
      <c r="BC223" s="676"/>
      <c r="BD223" s="676">
        <v>5993566</v>
      </c>
      <c r="BE223" s="676">
        <v>0</v>
      </c>
      <c r="BF223" s="676"/>
      <c r="BG223" s="676">
        <v>24000</v>
      </c>
      <c r="BH223" s="676">
        <v>529000</v>
      </c>
      <c r="BI223" s="676">
        <v>8605167</v>
      </c>
      <c r="BJ223" s="676"/>
      <c r="BK223" s="676"/>
      <c r="BL223" s="676"/>
      <c r="BM223" s="676"/>
      <c r="BN223" s="676">
        <v>0</v>
      </c>
      <c r="BO223" s="676"/>
      <c r="BP223" s="676"/>
      <c r="BQ223" s="676"/>
      <c r="BR223" s="676">
        <v>43</v>
      </c>
      <c r="BS223" s="676"/>
      <c r="BT223" s="676">
        <v>838366</v>
      </c>
      <c r="BU223" s="676"/>
      <c r="BV223" s="676">
        <v>30755</v>
      </c>
      <c r="BW223" s="676">
        <v>0</v>
      </c>
      <c r="BX223" s="676"/>
      <c r="BY223" s="676"/>
      <c r="BZ223" s="676"/>
      <c r="CA223" s="676"/>
      <c r="CB223" s="676"/>
      <c r="CC223" s="676"/>
      <c r="CD223" s="676"/>
      <c r="CE223" s="676"/>
      <c r="CF223" s="676"/>
      <c r="CG223" s="676"/>
    </row>
    <row r="224" spans="1:85" x14ac:dyDescent="0.25">
      <c r="A224" s="320" t="s">
        <v>885</v>
      </c>
      <c r="B224" s="320" t="s">
        <v>886</v>
      </c>
      <c r="C224" s="320"/>
      <c r="D224" s="320" t="s">
        <v>887</v>
      </c>
      <c r="E224" s="320">
        <v>2016</v>
      </c>
      <c r="F224" s="404"/>
      <c r="G224" s="676"/>
      <c r="H224" s="676"/>
      <c r="I224" s="676"/>
      <c r="J224" s="676"/>
      <c r="K224" s="676"/>
      <c r="L224" s="676">
        <v>11983</v>
      </c>
      <c r="M224" s="676"/>
      <c r="N224" s="676"/>
      <c r="O224" s="676"/>
      <c r="P224" s="676">
        <v>331148</v>
      </c>
      <c r="Q224" s="676"/>
      <c r="R224" s="676">
        <v>3087</v>
      </c>
      <c r="S224" s="676"/>
      <c r="T224" s="676"/>
      <c r="U224" s="676">
        <v>208000</v>
      </c>
      <c r="V224" s="676"/>
      <c r="W224" s="676"/>
      <c r="X224" s="676">
        <v>0</v>
      </c>
      <c r="Y224" s="676"/>
      <c r="Z224" s="676">
        <v>80620.78</v>
      </c>
      <c r="AA224" s="676"/>
      <c r="AB224" s="676">
        <v>9448930</v>
      </c>
      <c r="AC224" s="676">
        <v>0</v>
      </c>
      <c r="AD224" s="676"/>
      <c r="AE224" s="676">
        <v>8713</v>
      </c>
      <c r="AF224" s="676">
        <v>16920</v>
      </c>
      <c r="AG224" s="676"/>
      <c r="AH224" s="676"/>
      <c r="AI224" s="676"/>
      <c r="AJ224" s="676"/>
      <c r="AK224" s="676">
        <v>77361</v>
      </c>
      <c r="AL224" s="676"/>
      <c r="AM224" s="676"/>
      <c r="AN224" s="676"/>
      <c r="AO224" s="676">
        <v>988</v>
      </c>
      <c r="AP224" s="676"/>
      <c r="AQ224" s="676"/>
      <c r="AR224" s="676"/>
      <c r="AS224" s="676"/>
      <c r="AT224" s="676">
        <v>8003.79</v>
      </c>
      <c r="AU224" s="676"/>
      <c r="AV224" s="676">
        <v>12000</v>
      </c>
      <c r="AW224" s="676"/>
      <c r="AX224" s="676"/>
      <c r="AY224" s="676">
        <v>31880</v>
      </c>
      <c r="AZ224" s="676">
        <v>0</v>
      </c>
      <c r="BA224" s="676"/>
      <c r="BB224" s="676"/>
      <c r="BC224" s="676"/>
      <c r="BD224" s="676">
        <v>5049873</v>
      </c>
      <c r="BE224" s="676">
        <v>63510.91</v>
      </c>
      <c r="BF224" s="676"/>
      <c r="BG224" s="676">
        <v>314000</v>
      </c>
      <c r="BH224" s="676">
        <v>2742000</v>
      </c>
      <c r="BI224" s="676">
        <v>125115</v>
      </c>
      <c r="BJ224" s="676"/>
      <c r="BK224" s="676"/>
      <c r="BL224" s="676"/>
      <c r="BM224" s="676"/>
      <c r="BN224" s="676">
        <v>0</v>
      </c>
      <c r="BO224" s="676"/>
      <c r="BP224" s="676"/>
      <c r="BQ224" s="676"/>
      <c r="BR224" s="676"/>
      <c r="BS224" s="676">
        <v>18345</v>
      </c>
      <c r="BT224" s="676">
        <v>1255582</v>
      </c>
      <c r="BU224" s="676">
        <v>1750</v>
      </c>
      <c r="BV224" s="676">
        <v>20150</v>
      </c>
      <c r="BW224" s="676">
        <v>1480</v>
      </c>
      <c r="BX224" s="676">
        <v>402336</v>
      </c>
      <c r="BY224" s="676">
        <v>7897</v>
      </c>
      <c r="BZ224" s="676">
        <v>718000</v>
      </c>
      <c r="CA224" s="676"/>
      <c r="CB224" s="676"/>
      <c r="CC224" s="676">
        <v>89000</v>
      </c>
      <c r="CD224" s="676">
        <v>970</v>
      </c>
      <c r="CE224" s="676">
        <v>2754000</v>
      </c>
      <c r="CF224" s="676">
        <v>675000</v>
      </c>
      <c r="CG224" s="676">
        <v>2298000</v>
      </c>
    </row>
    <row r="225" spans="1:85" x14ac:dyDescent="0.25">
      <c r="A225" s="320" t="s">
        <v>888</v>
      </c>
      <c r="B225" s="320" t="s">
        <v>889</v>
      </c>
      <c r="C225" s="320"/>
      <c r="D225" s="320" t="s">
        <v>890</v>
      </c>
      <c r="E225" s="320">
        <v>2016</v>
      </c>
      <c r="F225" s="404"/>
      <c r="G225" s="676"/>
      <c r="H225" s="676"/>
      <c r="I225" s="676"/>
      <c r="J225" s="676"/>
      <c r="K225" s="676"/>
      <c r="L225" s="676"/>
      <c r="M225" s="676"/>
      <c r="N225" s="676"/>
      <c r="O225" s="676"/>
      <c r="P225" s="676"/>
      <c r="Q225" s="676"/>
      <c r="R225" s="676"/>
      <c r="S225" s="676"/>
      <c r="T225" s="676"/>
      <c r="U225" s="676"/>
      <c r="V225" s="676"/>
      <c r="W225" s="676"/>
      <c r="X225" s="676">
        <v>0</v>
      </c>
      <c r="Y225" s="676"/>
      <c r="Z225" s="676">
        <v>0</v>
      </c>
      <c r="AA225" s="676"/>
      <c r="AB225" s="676"/>
      <c r="AC225" s="676">
        <v>0</v>
      </c>
      <c r="AD225" s="676"/>
      <c r="AE225" s="676"/>
      <c r="AF225" s="676"/>
      <c r="AG225" s="676"/>
      <c r="AH225" s="676"/>
      <c r="AI225" s="676"/>
      <c r="AJ225" s="676"/>
      <c r="AK225" s="676">
        <v>171940</v>
      </c>
      <c r="AL225" s="676"/>
      <c r="AM225" s="676"/>
      <c r="AN225" s="676"/>
      <c r="AO225" s="676"/>
      <c r="AP225" s="676"/>
      <c r="AQ225" s="676"/>
      <c r="AR225" s="676"/>
      <c r="AS225" s="676"/>
      <c r="AT225" s="676">
        <v>0</v>
      </c>
      <c r="AU225" s="676"/>
      <c r="AV225" s="676"/>
      <c r="AW225" s="676"/>
      <c r="AX225" s="676"/>
      <c r="AY225" s="676"/>
      <c r="AZ225" s="676">
        <v>0</v>
      </c>
      <c r="BA225" s="676"/>
      <c r="BB225" s="676"/>
      <c r="BC225" s="676"/>
      <c r="BD225" s="676"/>
      <c r="BE225" s="676">
        <v>0</v>
      </c>
      <c r="BF225" s="676"/>
      <c r="BG225" s="676"/>
      <c r="BH225" s="676"/>
      <c r="BI225" s="676"/>
      <c r="BJ225" s="676"/>
      <c r="BK225" s="676"/>
      <c r="BL225" s="676"/>
      <c r="BM225" s="676"/>
      <c r="BN225" s="676">
        <v>0</v>
      </c>
      <c r="BO225" s="676"/>
      <c r="BP225" s="676"/>
      <c r="BQ225" s="676"/>
      <c r="BR225" s="676"/>
      <c r="BS225" s="676"/>
      <c r="BT225" s="676"/>
      <c r="BU225" s="676"/>
      <c r="BV225" s="676"/>
      <c r="BW225" s="676"/>
      <c r="BX225" s="676"/>
      <c r="BY225" s="676"/>
      <c r="BZ225" s="676"/>
      <c r="CA225" s="676"/>
      <c r="CB225" s="676"/>
      <c r="CC225" s="676"/>
      <c r="CD225" s="676"/>
      <c r="CE225" s="676"/>
      <c r="CF225" s="676"/>
      <c r="CG225" s="676"/>
    </row>
    <row r="226" spans="1:85" x14ac:dyDescent="0.25">
      <c r="A226" s="320" t="s">
        <v>891</v>
      </c>
      <c r="B226" s="320" t="s">
        <v>1331</v>
      </c>
      <c r="C226" s="320" t="s">
        <v>1332</v>
      </c>
      <c r="D226" s="320" t="s">
        <v>892</v>
      </c>
      <c r="E226" s="320">
        <v>2016</v>
      </c>
      <c r="F226" s="404">
        <v>1366889</v>
      </c>
      <c r="G226" s="676">
        <v>21830220</v>
      </c>
      <c r="H226" s="676">
        <v>18308073</v>
      </c>
      <c r="I226" s="676">
        <v>18710667</v>
      </c>
      <c r="J226" s="676">
        <v>1527982</v>
      </c>
      <c r="K226" s="676">
        <v>13869931</v>
      </c>
      <c r="L226" s="676">
        <v>5383472</v>
      </c>
      <c r="M226" s="676">
        <v>1134413</v>
      </c>
      <c r="N226" s="676">
        <v>6227</v>
      </c>
      <c r="O226" s="676">
        <v>1734821</v>
      </c>
      <c r="P226" s="676">
        <v>1677225</v>
      </c>
      <c r="Q226" s="676">
        <v>2929488</v>
      </c>
      <c r="R226" s="676">
        <v>9682732</v>
      </c>
      <c r="S226" s="676">
        <v>410058</v>
      </c>
      <c r="T226" s="676">
        <v>36511837</v>
      </c>
      <c r="U226" s="676">
        <v>4393147000</v>
      </c>
      <c r="V226" s="676">
        <v>964841</v>
      </c>
      <c r="W226" s="676">
        <v>18764601</v>
      </c>
      <c r="X226" s="676">
        <v>47588969.609999999</v>
      </c>
      <c r="Y226" s="676">
        <v>239032</v>
      </c>
      <c r="Z226" s="676">
        <v>147091360.81</v>
      </c>
      <c r="AA226" s="676">
        <v>24607884</v>
      </c>
      <c r="AB226" s="676">
        <v>789076737</v>
      </c>
      <c r="AC226" s="676">
        <v>2735069.92</v>
      </c>
      <c r="AD226" s="676">
        <v>31105990</v>
      </c>
      <c r="AE226" s="676">
        <v>36768744</v>
      </c>
      <c r="AF226" s="676">
        <v>303419546</v>
      </c>
      <c r="AG226" s="676">
        <v>21924362</v>
      </c>
      <c r="AH226" s="676">
        <v>25217275</v>
      </c>
      <c r="AI226" s="676">
        <v>2341022</v>
      </c>
      <c r="AJ226" s="676">
        <v>5622539</v>
      </c>
      <c r="AK226" s="676">
        <v>47693489</v>
      </c>
      <c r="AL226" s="676">
        <v>1381115</v>
      </c>
      <c r="AM226" s="676">
        <v>11480586</v>
      </c>
      <c r="AN226" s="676">
        <v>8134849000</v>
      </c>
      <c r="AO226" s="676">
        <v>50196058</v>
      </c>
      <c r="AP226" s="676">
        <v>3774903</v>
      </c>
      <c r="AQ226" s="676">
        <v>37052436</v>
      </c>
      <c r="AR226" s="676">
        <v>7505906</v>
      </c>
      <c r="AS226" s="676">
        <v>140320</v>
      </c>
      <c r="AT226" s="676">
        <v>82219081.829999998</v>
      </c>
      <c r="AU226" s="676">
        <v>882130</v>
      </c>
      <c r="AV226" s="676">
        <v>1661484</v>
      </c>
      <c r="AW226" s="676">
        <v>965364</v>
      </c>
      <c r="AX226" s="676">
        <v>612998</v>
      </c>
      <c r="AY226" s="676">
        <v>3489698</v>
      </c>
      <c r="AZ226" s="676">
        <v>729302</v>
      </c>
      <c r="BA226" s="676">
        <v>16267090</v>
      </c>
      <c r="BB226" s="676">
        <v>17133347</v>
      </c>
      <c r="BC226" s="676">
        <v>19562138</v>
      </c>
      <c r="BD226" s="676">
        <v>809324086</v>
      </c>
      <c r="BE226" s="676">
        <v>846055.89</v>
      </c>
      <c r="BF226" s="676">
        <v>227712000</v>
      </c>
      <c r="BG226" s="676">
        <v>7569391000</v>
      </c>
      <c r="BH226" s="676">
        <v>85884000</v>
      </c>
      <c r="BI226" s="676">
        <v>1352640856</v>
      </c>
      <c r="BJ226" s="676">
        <v>51289846</v>
      </c>
      <c r="BK226" s="676">
        <v>4180337</v>
      </c>
      <c r="BL226" s="676">
        <v>51359268</v>
      </c>
      <c r="BM226" s="676">
        <v>19083000</v>
      </c>
      <c r="BN226" s="676">
        <v>33404906</v>
      </c>
      <c r="BO226" s="676">
        <v>1747591</v>
      </c>
      <c r="BP226" s="676">
        <v>202002</v>
      </c>
      <c r="BQ226" s="676">
        <v>2532487</v>
      </c>
      <c r="BR226" s="676">
        <v>2565111</v>
      </c>
      <c r="BS226" s="676">
        <v>1319147</v>
      </c>
      <c r="BT226" s="676">
        <v>227850428</v>
      </c>
      <c r="BU226" s="676">
        <v>80760</v>
      </c>
      <c r="BV226" s="676">
        <v>588792017</v>
      </c>
      <c r="BW226" s="676">
        <v>1156864254</v>
      </c>
      <c r="BX226" s="676">
        <v>86509996</v>
      </c>
      <c r="BY226" s="676">
        <v>2479118</v>
      </c>
      <c r="BZ226" s="676">
        <v>4893000</v>
      </c>
      <c r="CA226" s="676">
        <v>16731308.699999999</v>
      </c>
      <c r="CB226" s="676">
        <v>28725097.329999998</v>
      </c>
      <c r="CC226" s="676">
        <v>39011000</v>
      </c>
      <c r="CD226" s="676">
        <v>3608983</v>
      </c>
      <c r="CE226" s="676">
        <v>3270738000</v>
      </c>
      <c r="CF226" s="676">
        <v>261128000</v>
      </c>
      <c r="CG226" s="676">
        <v>916055000</v>
      </c>
    </row>
    <row r="227" spans="1:85" x14ac:dyDescent="0.25">
      <c r="A227" s="320" t="s">
        <v>893</v>
      </c>
      <c r="B227" s="320" t="s">
        <v>894</v>
      </c>
      <c r="C227" s="320"/>
      <c r="D227" s="320" t="s">
        <v>895</v>
      </c>
      <c r="E227" s="320">
        <v>2016</v>
      </c>
      <c r="F227" s="404">
        <v>192334</v>
      </c>
      <c r="G227" s="676">
        <v>7828084</v>
      </c>
      <c r="H227" s="676">
        <v>1143877</v>
      </c>
      <c r="I227" s="676">
        <v>544326</v>
      </c>
      <c r="J227" s="676">
        <v>44200</v>
      </c>
      <c r="K227" s="676">
        <v>4633747</v>
      </c>
      <c r="L227" s="676">
        <v>510461</v>
      </c>
      <c r="M227" s="676">
        <v>105760</v>
      </c>
      <c r="N227" s="676"/>
      <c r="O227" s="676"/>
      <c r="P227" s="676"/>
      <c r="Q227" s="676">
        <v>891789</v>
      </c>
      <c r="R227" s="676">
        <v>1452991</v>
      </c>
      <c r="S227" s="676"/>
      <c r="T227" s="676">
        <v>4752726</v>
      </c>
      <c r="U227" s="676">
        <v>63294000</v>
      </c>
      <c r="V227" s="676"/>
      <c r="W227" s="676">
        <v>6091623</v>
      </c>
      <c r="X227" s="676">
        <v>1438540.84</v>
      </c>
      <c r="Y227" s="676"/>
      <c r="Z227" s="676">
        <v>2034159.47</v>
      </c>
      <c r="AA227" s="676">
        <v>17716719</v>
      </c>
      <c r="AB227" s="676">
        <v>522416112</v>
      </c>
      <c r="AC227" s="676">
        <v>500294.76</v>
      </c>
      <c r="AD227" s="676">
        <v>16899372</v>
      </c>
      <c r="AE227" s="676">
        <v>24356046</v>
      </c>
      <c r="AF227" s="676">
        <v>146445759</v>
      </c>
      <c r="AG227" s="676">
        <v>19947355</v>
      </c>
      <c r="AH227" s="676">
        <v>19555268</v>
      </c>
      <c r="AI227" s="676">
        <v>335259</v>
      </c>
      <c r="AJ227" s="676">
        <v>1566392</v>
      </c>
      <c r="AK227" s="676">
        <v>2775661</v>
      </c>
      <c r="AL227" s="676"/>
      <c r="AM227" s="676">
        <v>220512</v>
      </c>
      <c r="AN227" s="676">
        <v>1001837000</v>
      </c>
      <c r="AO227" s="676">
        <v>6448259</v>
      </c>
      <c r="AP227" s="676"/>
      <c r="AQ227" s="676">
        <v>3447935</v>
      </c>
      <c r="AR227" s="676">
        <v>1908496</v>
      </c>
      <c r="AS227" s="676"/>
      <c r="AT227" s="676">
        <v>18341263.670000002</v>
      </c>
      <c r="AU227" s="676"/>
      <c r="AV227" s="676">
        <v>227589</v>
      </c>
      <c r="AW227" s="676">
        <v>560032</v>
      </c>
      <c r="AX227" s="676">
        <v>87124</v>
      </c>
      <c r="AY227" s="676"/>
      <c r="AZ227" s="676">
        <v>639786</v>
      </c>
      <c r="BA227" s="676"/>
      <c r="BB227" s="676">
        <v>4865896</v>
      </c>
      <c r="BC227" s="676"/>
      <c r="BD227" s="676">
        <v>16001280</v>
      </c>
      <c r="BE227" s="676">
        <v>87968.03</v>
      </c>
      <c r="BF227" s="676">
        <v>21512000</v>
      </c>
      <c r="BG227" s="676">
        <v>40931000</v>
      </c>
      <c r="BH227" s="676">
        <v>3906000</v>
      </c>
      <c r="BI227" s="676">
        <v>261760945</v>
      </c>
      <c r="BJ227" s="676">
        <v>698015</v>
      </c>
      <c r="BK227" s="676">
        <v>292501</v>
      </c>
      <c r="BL227" s="676">
        <v>9723826</v>
      </c>
      <c r="BM227" s="676">
        <v>809000</v>
      </c>
      <c r="BN227" s="676">
        <v>1451288</v>
      </c>
      <c r="BO227" s="676">
        <v>20075</v>
      </c>
      <c r="BP227" s="676"/>
      <c r="BQ227" s="676">
        <v>730215</v>
      </c>
      <c r="BR227" s="676">
        <v>334239</v>
      </c>
      <c r="BS227" s="676">
        <v>317220</v>
      </c>
      <c r="BT227" s="676">
        <v>3421846</v>
      </c>
      <c r="BU227" s="676"/>
      <c r="BV227" s="676">
        <v>585724687</v>
      </c>
      <c r="BW227" s="676">
        <v>23875112</v>
      </c>
      <c r="BX227" s="676">
        <v>53983280</v>
      </c>
      <c r="BY227" s="676">
        <v>51400</v>
      </c>
      <c r="BZ227" s="676">
        <v>485000</v>
      </c>
      <c r="CA227" s="676">
        <v>661845.55000000005</v>
      </c>
      <c r="CB227" s="676">
        <v>1127056.29</v>
      </c>
      <c r="CC227" s="676">
        <v>4114000</v>
      </c>
      <c r="CD227" s="676">
        <v>2004702</v>
      </c>
      <c r="CE227" s="676"/>
      <c r="CF227" s="676">
        <v>43639000</v>
      </c>
      <c r="CG227" s="676"/>
    </row>
    <row r="228" spans="1:85" x14ac:dyDescent="0.25">
      <c r="A228" s="320" t="s">
        <v>896</v>
      </c>
      <c r="B228" s="320" t="s">
        <v>897</v>
      </c>
      <c r="C228" s="320"/>
      <c r="D228" s="320" t="s">
        <v>898</v>
      </c>
      <c r="E228" s="320">
        <v>2016</v>
      </c>
      <c r="F228" s="404">
        <v>1095348</v>
      </c>
      <c r="G228" s="676">
        <v>13143677</v>
      </c>
      <c r="H228" s="676">
        <v>1499188</v>
      </c>
      <c r="I228" s="676">
        <v>1477988</v>
      </c>
      <c r="J228" s="676">
        <v>801776</v>
      </c>
      <c r="K228" s="676">
        <v>8398992</v>
      </c>
      <c r="L228" s="676">
        <v>3829747</v>
      </c>
      <c r="M228" s="676">
        <v>2394</v>
      </c>
      <c r="N228" s="676"/>
      <c r="O228" s="676">
        <v>172721</v>
      </c>
      <c r="P228" s="676">
        <v>7347</v>
      </c>
      <c r="Q228" s="676">
        <v>1988498</v>
      </c>
      <c r="R228" s="676">
        <v>4805679</v>
      </c>
      <c r="S228" s="676">
        <v>237059</v>
      </c>
      <c r="T228" s="676">
        <v>13780279</v>
      </c>
      <c r="U228" s="676"/>
      <c r="V228" s="676">
        <v>59698</v>
      </c>
      <c r="W228" s="676">
        <v>10987399</v>
      </c>
      <c r="X228" s="676">
        <v>46111912.189999998</v>
      </c>
      <c r="Y228" s="676"/>
      <c r="Z228" s="676">
        <v>46156567.899999999</v>
      </c>
      <c r="AA228" s="676">
        <v>4817952</v>
      </c>
      <c r="AB228" s="676">
        <v>216044314</v>
      </c>
      <c r="AC228" s="676">
        <v>2018083.71</v>
      </c>
      <c r="AD228" s="676">
        <v>13389400</v>
      </c>
      <c r="AE228" s="676">
        <v>10718605</v>
      </c>
      <c r="AF228" s="676">
        <v>144708063</v>
      </c>
      <c r="AG228" s="676">
        <v>1936123</v>
      </c>
      <c r="AH228" s="676">
        <v>4833561</v>
      </c>
      <c r="AI228" s="676">
        <v>1312895</v>
      </c>
      <c r="AJ228" s="676">
        <v>4053915</v>
      </c>
      <c r="AK228" s="676">
        <v>30609013</v>
      </c>
      <c r="AL228" s="676">
        <v>83280</v>
      </c>
      <c r="AM228" s="676">
        <v>4819850</v>
      </c>
      <c r="AN228" s="676">
        <v>5683845000</v>
      </c>
      <c r="AO228" s="676">
        <v>36282995</v>
      </c>
      <c r="AP228" s="676">
        <v>334418</v>
      </c>
      <c r="AQ228" s="676">
        <v>24359447</v>
      </c>
      <c r="AR228" s="676">
        <v>3706668</v>
      </c>
      <c r="AS228" s="676">
        <v>37169</v>
      </c>
      <c r="AT228" s="676">
        <v>48170149.82</v>
      </c>
      <c r="AU228" s="676">
        <v>430572</v>
      </c>
      <c r="AV228" s="676">
        <v>515119</v>
      </c>
      <c r="AW228" s="676">
        <v>375577</v>
      </c>
      <c r="AX228" s="676">
        <v>285243</v>
      </c>
      <c r="AY228" s="676"/>
      <c r="AZ228" s="676">
        <v>8002</v>
      </c>
      <c r="BA228" s="676"/>
      <c r="BB228" s="676">
        <v>9674991</v>
      </c>
      <c r="BC228" s="676">
        <v>22541</v>
      </c>
      <c r="BD228" s="676">
        <v>423334384</v>
      </c>
      <c r="BE228" s="676">
        <v>549741.72</v>
      </c>
      <c r="BF228" s="676">
        <v>147836000</v>
      </c>
      <c r="BG228" s="676">
        <v>1436348000</v>
      </c>
      <c r="BH228" s="676">
        <v>76921000</v>
      </c>
      <c r="BI228" s="676">
        <v>1030810496</v>
      </c>
      <c r="BJ228" s="676">
        <v>9845600</v>
      </c>
      <c r="BK228" s="676">
        <v>3581032</v>
      </c>
      <c r="BL228" s="676">
        <v>40884748</v>
      </c>
      <c r="BM228" s="676">
        <v>16136000</v>
      </c>
      <c r="BN228" s="676">
        <v>26031797</v>
      </c>
      <c r="BO228" s="676">
        <v>1639970</v>
      </c>
      <c r="BP228" s="676">
        <v>5904</v>
      </c>
      <c r="BQ228" s="676">
        <v>1466638</v>
      </c>
      <c r="BR228" s="676">
        <v>1309273</v>
      </c>
      <c r="BS228" s="676">
        <v>325555</v>
      </c>
      <c r="BT228" s="676">
        <v>183396315</v>
      </c>
      <c r="BU228" s="676"/>
      <c r="BV228" s="676">
        <v>2556414</v>
      </c>
      <c r="BW228" s="676">
        <v>840262251</v>
      </c>
      <c r="BX228" s="676">
        <v>29539663</v>
      </c>
      <c r="BY228" s="676">
        <v>1330957</v>
      </c>
      <c r="BZ228" s="676">
        <v>1854000</v>
      </c>
      <c r="CA228" s="676">
        <v>5040096.1900000004</v>
      </c>
      <c r="CB228" s="676">
        <v>22468084.030000001</v>
      </c>
      <c r="CC228" s="676">
        <v>21135000</v>
      </c>
      <c r="CD228" s="676">
        <v>427763</v>
      </c>
      <c r="CE228" s="676">
        <v>2475695000</v>
      </c>
      <c r="CF228" s="676"/>
      <c r="CG228" s="676">
        <v>41646000</v>
      </c>
    </row>
    <row r="229" spans="1:85" x14ac:dyDescent="0.25">
      <c r="A229" s="320" t="s">
        <v>899</v>
      </c>
      <c r="B229" s="320" t="s">
        <v>900</v>
      </c>
      <c r="C229" s="320"/>
      <c r="D229" s="320" t="s">
        <v>901</v>
      </c>
      <c r="E229" s="320">
        <v>2016</v>
      </c>
      <c r="F229" s="404">
        <v>54092</v>
      </c>
      <c r="G229" s="676">
        <v>256872</v>
      </c>
      <c r="H229" s="676">
        <v>14011165</v>
      </c>
      <c r="I229" s="676">
        <v>16216622</v>
      </c>
      <c r="J229" s="676">
        <v>652761</v>
      </c>
      <c r="K229" s="676">
        <v>804869</v>
      </c>
      <c r="L229" s="676">
        <v>919285</v>
      </c>
      <c r="M229" s="676">
        <v>884060</v>
      </c>
      <c r="N229" s="676">
        <v>6227</v>
      </c>
      <c r="O229" s="676">
        <v>1515733</v>
      </c>
      <c r="P229" s="676">
        <v>1663810</v>
      </c>
      <c r="Q229" s="676">
        <v>4078</v>
      </c>
      <c r="R229" s="676">
        <v>3308296</v>
      </c>
      <c r="S229" s="676">
        <v>172999</v>
      </c>
      <c r="T229" s="676">
        <v>17967356</v>
      </c>
      <c r="U229" s="676">
        <v>8453000</v>
      </c>
      <c r="V229" s="676">
        <v>433372</v>
      </c>
      <c r="W229" s="676">
        <v>1543143</v>
      </c>
      <c r="X229" s="676">
        <v>21603.59</v>
      </c>
      <c r="Y229" s="676">
        <v>238882</v>
      </c>
      <c r="Z229" s="676">
        <v>75616693.780000001</v>
      </c>
      <c r="AA229" s="676">
        <v>1854065</v>
      </c>
      <c r="AB229" s="676">
        <v>26902557</v>
      </c>
      <c r="AC229" s="676">
        <v>216691.45</v>
      </c>
      <c r="AD229" s="676">
        <v>606578</v>
      </c>
      <c r="AE229" s="676">
        <v>1666184</v>
      </c>
      <c r="AF229" s="676">
        <v>12186487</v>
      </c>
      <c r="AG229" s="676">
        <v>40884</v>
      </c>
      <c r="AH229" s="676">
        <v>822000</v>
      </c>
      <c r="AI229" s="676">
        <v>547316</v>
      </c>
      <c r="AJ229" s="676">
        <v>2232</v>
      </c>
      <c r="AK229" s="676">
        <v>11483213</v>
      </c>
      <c r="AL229" s="676">
        <v>1025913</v>
      </c>
      <c r="AM229" s="676">
        <v>6418410</v>
      </c>
      <c r="AN229" s="676"/>
      <c r="AO229" s="676">
        <v>4813569</v>
      </c>
      <c r="AP229" s="676">
        <v>3411085</v>
      </c>
      <c r="AQ229" s="676">
        <v>8757077</v>
      </c>
      <c r="AR229" s="676">
        <v>1679576</v>
      </c>
      <c r="AS229" s="676">
        <v>95423</v>
      </c>
      <c r="AT229" s="676">
        <v>15215951.630000001</v>
      </c>
      <c r="AU229" s="676">
        <v>321607</v>
      </c>
      <c r="AV229" s="676">
        <v>890228</v>
      </c>
      <c r="AW229" s="676">
        <v>24855</v>
      </c>
      <c r="AX229" s="676">
        <v>155168</v>
      </c>
      <c r="AY229" s="676">
        <v>3489698</v>
      </c>
      <c r="AZ229" s="676">
        <v>75232</v>
      </c>
      <c r="BA229" s="676">
        <v>15452545</v>
      </c>
      <c r="BB229" s="676">
        <v>2585979</v>
      </c>
      <c r="BC229" s="676">
        <v>19168756</v>
      </c>
      <c r="BD229" s="676">
        <v>223443217</v>
      </c>
      <c r="BE229" s="676">
        <v>186100.87</v>
      </c>
      <c r="BF229" s="676">
        <v>58364000</v>
      </c>
      <c r="BG229" s="676">
        <v>1928286000</v>
      </c>
      <c r="BH229" s="676">
        <v>3730000</v>
      </c>
      <c r="BI229" s="676">
        <v>33881082</v>
      </c>
      <c r="BJ229" s="676">
        <v>29011225</v>
      </c>
      <c r="BK229" s="676">
        <v>175900</v>
      </c>
      <c r="BL229" s="676">
        <v>241356</v>
      </c>
      <c r="BM229" s="676">
        <v>1887000</v>
      </c>
      <c r="BN229" s="676">
        <v>4946473</v>
      </c>
      <c r="BO229" s="676">
        <v>76622</v>
      </c>
      <c r="BP229" s="676">
        <v>139773</v>
      </c>
      <c r="BQ229" s="676">
        <v>324565</v>
      </c>
      <c r="BR229" s="676">
        <v>920217</v>
      </c>
      <c r="BS229" s="676">
        <v>645294</v>
      </c>
      <c r="BT229" s="676">
        <v>30334350</v>
      </c>
      <c r="BU229" s="676">
        <v>77502</v>
      </c>
      <c r="BV229" s="676">
        <v>8566</v>
      </c>
      <c r="BW229" s="676">
        <v>117390297</v>
      </c>
      <c r="BX229" s="676">
        <v>2715186</v>
      </c>
      <c r="BY229" s="676">
        <v>690474</v>
      </c>
      <c r="BZ229" s="676">
        <v>2051000</v>
      </c>
      <c r="CA229" s="676">
        <v>3596528.77</v>
      </c>
      <c r="CB229" s="676">
        <v>3212951.38</v>
      </c>
      <c r="CC229" s="676">
        <v>8920000</v>
      </c>
      <c r="CD229" s="676">
        <v>43116</v>
      </c>
      <c r="CE229" s="676">
        <v>260561000</v>
      </c>
      <c r="CF229" s="676">
        <v>212409000</v>
      </c>
      <c r="CG229" s="676">
        <v>845661000</v>
      </c>
    </row>
    <row r="230" spans="1:85" x14ac:dyDescent="0.25">
      <c r="A230" s="320" t="s">
        <v>902</v>
      </c>
      <c r="B230" s="320" t="s">
        <v>903</v>
      </c>
      <c r="C230" s="320"/>
      <c r="D230" s="320" t="s">
        <v>904</v>
      </c>
      <c r="E230" s="320">
        <v>2016</v>
      </c>
      <c r="F230" s="404"/>
      <c r="G230" s="676"/>
      <c r="H230" s="676"/>
      <c r="I230" s="676"/>
      <c r="J230" s="676"/>
      <c r="K230" s="676"/>
      <c r="L230" s="676"/>
      <c r="M230" s="676"/>
      <c r="N230" s="676"/>
      <c r="O230" s="676"/>
      <c r="P230" s="676"/>
      <c r="Q230" s="676"/>
      <c r="R230" s="676"/>
      <c r="S230" s="676"/>
      <c r="T230" s="676"/>
      <c r="U230" s="676"/>
      <c r="V230" s="676"/>
      <c r="W230" s="676"/>
      <c r="X230" s="676">
        <v>0</v>
      </c>
      <c r="Y230" s="676"/>
      <c r="Z230" s="676">
        <v>0</v>
      </c>
      <c r="AA230" s="676"/>
      <c r="AB230" s="676">
        <v>51052</v>
      </c>
      <c r="AC230" s="676">
        <v>0</v>
      </c>
      <c r="AD230" s="676"/>
      <c r="AE230" s="676"/>
      <c r="AF230" s="676"/>
      <c r="AG230" s="676"/>
      <c r="AH230" s="676"/>
      <c r="AI230" s="676"/>
      <c r="AJ230" s="676"/>
      <c r="AK230" s="676"/>
      <c r="AL230" s="676"/>
      <c r="AM230" s="676"/>
      <c r="AN230" s="676"/>
      <c r="AO230" s="676"/>
      <c r="AP230" s="676"/>
      <c r="AQ230" s="676"/>
      <c r="AR230" s="676"/>
      <c r="AS230" s="676"/>
      <c r="AT230" s="676">
        <v>0</v>
      </c>
      <c r="AU230" s="676"/>
      <c r="AV230" s="676"/>
      <c r="AW230" s="676"/>
      <c r="AX230" s="676"/>
      <c r="AY230" s="676"/>
      <c r="AZ230" s="676">
        <v>0</v>
      </c>
      <c r="BA230" s="676"/>
      <c r="BB230" s="676"/>
      <c r="BC230" s="676"/>
      <c r="BD230" s="676"/>
      <c r="BE230" s="676">
        <v>0</v>
      </c>
      <c r="BF230" s="676"/>
      <c r="BG230" s="676"/>
      <c r="BH230" s="676"/>
      <c r="BI230" s="676"/>
      <c r="BJ230" s="676"/>
      <c r="BK230" s="676"/>
      <c r="BL230" s="676"/>
      <c r="BM230" s="676"/>
      <c r="BN230" s="676">
        <v>0</v>
      </c>
      <c r="BO230" s="676"/>
      <c r="BP230" s="676"/>
      <c r="BQ230" s="676"/>
      <c r="BR230" s="676"/>
      <c r="BS230" s="676"/>
      <c r="BT230" s="676"/>
      <c r="BU230" s="676"/>
      <c r="BV230" s="676"/>
      <c r="BW230" s="676"/>
      <c r="BX230" s="676"/>
      <c r="BY230" s="676"/>
      <c r="BZ230" s="676"/>
      <c r="CA230" s="676"/>
      <c r="CB230" s="676"/>
      <c r="CC230" s="676"/>
      <c r="CD230" s="676"/>
      <c r="CE230" s="676"/>
      <c r="CF230" s="676"/>
      <c r="CG230" s="676"/>
    </row>
    <row r="231" spans="1:85" x14ac:dyDescent="0.25">
      <c r="A231" s="320" t="s">
        <v>905</v>
      </c>
      <c r="B231" s="320" t="s">
        <v>906</v>
      </c>
      <c r="C231" s="320"/>
      <c r="D231" s="320" t="s">
        <v>907</v>
      </c>
      <c r="E231" s="320">
        <v>2016</v>
      </c>
      <c r="F231" s="404"/>
      <c r="G231" s="676"/>
      <c r="H231" s="676"/>
      <c r="I231" s="676"/>
      <c r="J231" s="676"/>
      <c r="K231" s="676"/>
      <c r="L231" s="676"/>
      <c r="M231" s="676"/>
      <c r="N231" s="676"/>
      <c r="O231" s="676"/>
      <c r="P231" s="676"/>
      <c r="Q231" s="676"/>
      <c r="R231" s="676"/>
      <c r="S231" s="676"/>
      <c r="T231" s="676"/>
      <c r="U231" s="676"/>
      <c r="V231" s="676"/>
      <c r="W231" s="676">
        <v>14916</v>
      </c>
      <c r="X231" s="676">
        <v>0</v>
      </c>
      <c r="Y231" s="676"/>
      <c r="Z231" s="676">
        <v>0</v>
      </c>
      <c r="AA231" s="676">
        <v>107104</v>
      </c>
      <c r="AB231" s="676">
        <v>34465</v>
      </c>
      <c r="AC231" s="676">
        <v>0</v>
      </c>
      <c r="AD231" s="676"/>
      <c r="AE231" s="676"/>
      <c r="AF231" s="676"/>
      <c r="AG231" s="676"/>
      <c r="AH231" s="676"/>
      <c r="AI231" s="676"/>
      <c r="AJ231" s="676"/>
      <c r="AK231" s="676"/>
      <c r="AL231" s="676"/>
      <c r="AM231" s="676"/>
      <c r="AN231" s="676"/>
      <c r="AO231" s="676"/>
      <c r="AP231" s="676"/>
      <c r="AQ231" s="676"/>
      <c r="AR231" s="676"/>
      <c r="AS231" s="676"/>
      <c r="AT231" s="676">
        <v>0</v>
      </c>
      <c r="AU231" s="676"/>
      <c r="AV231" s="676"/>
      <c r="AW231" s="676"/>
      <c r="AX231" s="676"/>
      <c r="AY231" s="676"/>
      <c r="AZ231" s="676">
        <v>0</v>
      </c>
      <c r="BA231" s="676"/>
      <c r="BB231" s="676"/>
      <c r="BC231" s="676"/>
      <c r="BD231" s="676"/>
      <c r="BE231" s="676">
        <v>0</v>
      </c>
      <c r="BF231" s="676"/>
      <c r="BG231" s="676"/>
      <c r="BH231" s="676"/>
      <c r="BI231" s="676"/>
      <c r="BJ231" s="676"/>
      <c r="BK231" s="676"/>
      <c r="BL231" s="676"/>
      <c r="BM231" s="676"/>
      <c r="BN231" s="676">
        <v>0</v>
      </c>
      <c r="BO231" s="676"/>
      <c r="BP231" s="676"/>
      <c r="BQ231" s="676"/>
      <c r="BR231" s="676"/>
      <c r="BS231" s="676"/>
      <c r="BT231" s="676"/>
      <c r="BU231" s="676"/>
      <c r="BV231" s="676"/>
      <c r="BW231" s="676"/>
      <c r="BX231" s="676"/>
      <c r="BY231" s="676"/>
      <c r="BZ231" s="676"/>
      <c r="CA231" s="676"/>
      <c r="CB231" s="676"/>
      <c r="CC231" s="676"/>
      <c r="CD231" s="676"/>
      <c r="CE231" s="676"/>
      <c r="CF231" s="676"/>
      <c r="CG231" s="676"/>
    </row>
    <row r="232" spans="1:85" x14ac:dyDescent="0.25">
      <c r="A232" s="320" t="s">
        <v>908</v>
      </c>
      <c r="B232" s="320" t="s">
        <v>909</v>
      </c>
      <c r="C232" s="320"/>
      <c r="D232" s="320" t="s">
        <v>910</v>
      </c>
      <c r="E232" s="320">
        <v>2016</v>
      </c>
      <c r="F232" s="404">
        <v>25115</v>
      </c>
      <c r="G232" s="676">
        <v>429255</v>
      </c>
      <c r="H232" s="676"/>
      <c r="I232" s="676">
        <v>80230</v>
      </c>
      <c r="J232" s="676">
        <v>7275</v>
      </c>
      <c r="K232" s="676">
        <v>8493</v>
      </c>
      <c r="L232" s="676">
        <v>6903</v>
      </c>
      <c r="M232" s="676">
        <v>142199</v>
      </c>
      <c r="N232" s="676"/>
      <c r="O232" s="676"/>
      <c r="P232" s="676"/>
      <c r="Q232" s="676">
        <v>9497</v>
      </c>
      <c r="R232" s="676">
        <v>41728</v>
      </c>
      <c r="S232" s="676"/>
      <c r="T232" s="676">
        <v>8136</v>
      </c>
      <c r="U232" s="676">
        <v>4314300000</v>
      </c>
      <c r="V232" s="676"/>
      <c r="W232" s="676">
        <v>20416</v>
      </c>
      <c r="X232" s="676">
        <v>11119.98</v>
      </c>
      <c r="Y232" s="676"/>
      <c r="Z232" s="676">
        <v>12494.31</v>
      </c>
      <c r="AA232" s="676"/>
      <c r="AB232" s="676">
        <v>409267</v>
      </c>
      <c r="AC232" s="676">
        <v>0</v>
      </c>
      <c r="AD232" s="676">
        <v>10976</v>
      </c>
      <c r="AE232" s="676">
        <v>5975</v>
      </c>
      <c r="AF232" s="676">
        <v>9977</v>
      </c>
      <c r="AG232" s="676"/>
      <c r="AH232" s="676">
        <v>3140</v>
      </c>
      <c r="AI232" s="676">
        <v>1684</v>
      </c>
      <c r="AJ232" s="676"/>
      <c r="AK232" s="676">
        <v>4575</v>
      </c>
      <c r="AL232" s="676"/>
      <c r="AM232" s="676"/>
      <c r="AN232" s="676">
        <v>130967000</v>
      </c>
      <c r="AO232" s="676">
        <v>52411</v>
      </c>
      <c r="AP232" s="676"/>
      <c r="AQ232" s="676">
        <v>382916</v>
      </c>
      <c r="AR232" s="676"/>
      <c r="AS232" s="676"/>
      <c r="AT232" s="676">
        <v>473245.27</v>
      </c>
      <c r="AU232" s="676"/>
      <c r="AV232" s="676"/>
      <c r="AW232" s="676"/>
      <c r="AX232" s="676">
        <v>85463</v>
      </c>
      <c r="AY232" s="676"/>
      <c r="AZ232" s="676">
        <v>6282</v>
      </c>
      <c r="BA232" s="676">
        <v>814545</v>
      </c>
      <c r="BB232" s="676">
        <v>184</v>
      </c>
      <c r="BC232" s="676"/>
      <c r="BD232" s="676">
        <v>27310475</v>
      </c>
      <c r="BE232" s="676">
        <v>6791.48</v>
      </c>
      <c r="BF232" s="676"/>
      <c r="BG232" s="676">
        <v>56000</v>
      </c>
      <c r="BH232" s="676">
        <v>577000</v>
      </c>
      <c r="BI232" s="676">
        <v>31099</v>
      </c>
      <c r="BJ232" s="676"/>
      <c r="BK232" s="676">
        <v>130904</v>
      </c>
      <c r="BL232" s="676">
        <v>278017</v>
      </c>
      <c r="BM232" s="676"/>
      <c r="BN232" s="676">
        <v>0</v>
      </c>
      <c r="BO232" s="676">
        <v>8851</v>
      </c>
      <c r="BP232" s="676"/>
      <c r="BQ232" s="676"/>
      <c r="BR232" s="676">
        <v>1212</v>
      </c>
      <c r="BS232" s="676"/>
      <c r="BT232" s="676">
        <v>705274</v>
      </c>
      <c r="BU232" s="676">
        <v>258</v>
      </c>
      <c r="BV232" s="676">
        <v>2749</v>
      </c>
      <c r="BW232" s="676">
        <v>90874324</v>
      </c>
      <c r="BX232" s="676">
        <v>2244</v>
      </c>
      <c r="BY232" s="676"/>
      <c r="BZ232" s="676"/>
      <c r="CA232" s="676">
        <v>7424558.1900000004</v>
      </c>
      <c r="CB232" s="676">
        <v>6465</v>
      </c>
      <c r="CC232" s="676"/>
      <c r="CD232" s="676"/>
      <c r="CE232" s="676"/>
      <c r="CF232" s="676"/>
      <c r="CG232" s="676">
        <v>6136000</v>
      </c>
    </row>
    <row r="233" spans="1:85" x14ac:dyDescent="0.25">
      <c r="A233" s="320" t="s">
        <v>911</v>
      </c>
      <c r="B233" s="320" t="s">
        <v>912</v>
      </c>
      <c r="C233" s="320"/>
      <c r="D233" s="320" t="s">
        <v>913</v>
      </c>
      <c r="E233" s="320">
        <v>2016</v>
      </c>
      <c r="F233" s="404"/>
      <c r="G233" s="676">
        <v>172332</v>
      </c>
      <c r="H233" s="676">
        <v>1651772</v>
      </c>
      <c r="I233" s="676">
        <v>382751</v>
      </c>
      <c r="J233" s="676">
        <v>21970</v>
      </c>
      <c r="K233" s="676">
        <v>23830</v>
      </c>
      <c r="L233" s="676">
        <v>117076</v>
      </c>
      <c r="M233" s="676"/>
      <c r="N233" s="676"/>
      <c r="O233" s="676">
        <v>46367</v>
      </c>
      <c r="P233" s="676">
        <v>6068</v>
      </c>
      <c r="Q233" s="676">
        <v>35626</v>
      </c>
      <c r="R233" s="676">
        <v>74038</v>
      </c>
      <c r="S233" s="676"/>
      <c r="T233" s="676">
        <v>3340</v>
      </c>
      <c r="U233" s="676">
        <v>7100000</v>
      </c>
      <c r="V233" s="676">
        <v>191124</v>
      </c>
      <c r="W233" s="676">
        <v>107104</v>
      </c>
      <c r="X233" s="676">
        <v>5793.01</v>
      </c>
      <c r="Y233" s="676">
        <v>150</v>
      </c>
      <c r="Z233" s="676">
        <v>21563824.25</v>
      </c>
      <c r="AA233" s="676">
        <v>112044</v>
      </c>
      <c r="AB233" s="676">
        <v>23218970</v>
      </c>
      <c r="AC233" s="676">
        <v>0</v>
      </c>
      <c r="AD233" s="676">
        <v>121647</v>
      </c>
      <c r="AE233" s="676">
        <v>21934</v>
      </c>
      <c r="AF233" s="676">
        <v>69260</v>
      </c>
      <c r="AG233" s="676"/>
      <c r="AH233" s="676">
        <v>3306</v>
      </c>
      <c r="AI233" s="676">
        <v>143868</v>
      </c>
      <c r="AJ233" s="676"/>
      <c r="AK233" s="676">
        <v>2556384</v>
      </c>
      <c r="AL233" s="676">
        <v>271922</v>
      </c>
      <c r="AM233" s="676">
        <v>21814</v>
      </c>
      <c r="AN233" s="676">
        <v>1318200000</v>
      </c>
      <c r="AO233" s="676">
        <v>2598824</v>
      </c>
      <c r="AP233" s="676">
        <v>29400</v>
      </c>
      <c r="AQ233" s="676">
        <v>105061</v>
      </c>
      <c r="AR233" s="676">
        <v>211166</v>
      </c>
      <c r="AS233" s="676">
        <v>7728</v>
      </c>
      <c r="AT233" s="676">
        <v>18471.439999999999</v>
      </c>
      <c r="AU233" s="676">
        <v>129951</v>
      </c>
      <c r="AV233" s="676">
        <v>28548</v>
      </c>
      <c r="AW233" s="676">
        <v>4900</v>
      </c>
      <c r="AX233" s="676"/>
      <c r="AY233" s="676"/>
      <c r="AZ233" s="676">
        <v>0</v>
      </c>
      <c r="BA233" s="676"/>
      <c r="BB233" s="676">
        <v>4365</v>
      </c>
      <c r="BC233" s="676">
        <v>370841</v>
      </c>
      <c r="BD233" s="676"/>
      <c r="BE233" s="676">
        <v>15453.79</v>
      </c>
      <c r="BF233" s="676"/>
      <c r="BG233" s="676">
        <v>4136106000</v>
      </c>
      <c r="BH233" s="676">
        <v>750000</v>
      </c>
      <c r="BI233" s="676">
        <v>26157234</v>
      </c>
      <c r="BJ233" s="676">
        <v>11267906</v>
      </c>
      <c r="BK233" s="676"/>
      <c r="BL233" s="676">
        <v>231105</v>
      </c>
      <c r="BM233" s="676">
        <v>251000</v>
      </c>
      <c r="BN233" s="676">
        <v>975348</v>
      </c>
      <c r="BO233" s="676">
        <v>2073</v>
      </c>
      <c r="BP233" s="676">
        <v>56325</v>
      </c>
      <c r="BQ233" s="676">
        <v>11069</v>
      </c>
      <c r="BR233" s="676">
        <v>170</v>
      </c>
      <c r="BS233" s="676">
        <v>31078</v>
      </c>
      <c r="BT233" s="676">
        <v>8416447</v>
      </c>
      <c r="BU233" s="676">
        <v>3000</v>
      </c>
      <c r="BV233" s="676">
        <v>499601</v>
      </c>
      <c r="BW233" s="676">
        <v>84462270</v>
      </c>
      <c r="BX233" s="676">
        <v>269623</v>
      </c>
      <c r="BY233" s="676">
        <v>406287</v>
      </c>
      <c r="BZ233" s="676">
        <v>503000</v>
      </c>
      <c r="CA233" s="676">
        <v>8280</v>
      </c>
      <c r="CB233" s="676">
        <v>1910540.63</v>
      </c>
      <c r="CC233" s="676">
        <v>4842000</v>
      </c>
      <c r="CD233" s="676">
        <v>1133402</v>
      </c>
      <c r="CE233" s="676">
        <v>526971000</v>
      </c>
      <c r="CF233" s="676">
        <v>4600000</v>
      </c>
      <c r="CG233" s="676">
        <v>20126000</v>
      </c>
    </row>
    <row r="234" spans="1:85" x14ac:dyDescent="0.25">
      <c r="A234" s="320" t="s">
        <v>914</v>
      </c>
      <c r="B234" s="320" t="s">
        <v>915</v>
      </c>
      <c r="C234" s="320"/>
      <c r="D234" s="320" t="s">
        <v>916</v>
      </c>
      <c r="E234" s="320">
        <v>2016</v>
      </c>
      <c r="F234" s="404"/>
      <c r="G234" s="676"/>
      <c r="H234" s="676">
        <v>2071</v>
      </c>
      <c r="I234" s="676">
        <v>8750</v>
      </c>
      <c r="J234" s="676"/>
      <c r="K234" s="676"/>
      <c r="L234" s="676"/>
      <c r="M234" s="676"/>
      <c r="N234" s="676"/>
      <c r="O234" s="676"/>
      <c r="P234" s="676"/>
      <c r="Q234" s="676"/>
      <c r="R234" s="676"/>
      <c r="S234" s="676"/>
      <c r="T234" s="676"/>
      <c r="U234" s="676"/>
      <c r="V234" s="676">
        <v>280647</v>
      </c>
      <c r="W234" s="676"/>
      <c r="X234" s="676">
        <v>0</v>
      </c>
      <c r="Y234" s="676"/>
      <c r="Z234" s="676">
        <v>1707621.1</v>
      </c>
      <c r="AA234" s="676"/>
      <c r="AB234" s="676"/>
      <c r="AC234" s="676">
        <v>0</v>
      </c>
      <c r="AD234" s="676">
        <v>78017</v>
      </c>
      <c r="AE234" s="676"/>
      <c r="AF234" s="676"/>
      <c r="AG234" s="676"/>
      <c r="AH234" s="676"/>
      <c r="AI234" s="676"/>
      <c r="AJ234" s="676"/>
      <c r="AK234" s="676">
        <v>264643</v>
      </c>
      <c r="AL234" s="676"/>
      <c r="AM234" s="676"/>
      <c r="AN234" s="676"/>
      <c r="AO234" s="676"/>
      <c r="AP234" s="676"/>
      <c r="AQ234" s="676"/>
      <c r="AR234" s="676"/>
      <c r="AS234" s="676"/>
      <c r="AT234" s="676">
        <v>0</v>
      </c>
      <c r="AU234" s="676"/>
      <c r="AV234" s="676"/>
      <c r="AW234" s="676"/>
      <c r="AX234" s="676"/>
      <c r="AY234" s="676"/>
      <c r="AZ234" s="676">
        <v>0</v>
      </c>
      <c r="BA234" s="676"/>
      <c r="BB234" s="676">
        <v>1932</v>
      </c>
      <c r="BC234" s="676"/>
      <c r="BD234" s="676">
        <v>119234730</v>
      </c>
      <c r="BE234" s="676">
        <v>0</v>
      </c>
      <c r="BF234" s="676"/>
      <c r="BG234" s="676">
        <v>27664000</v>
      </c>
      <c r="BH234" s="676"/>
      <c r="BI234" s="676"/>
      <c r="BJ234" s="676">
        <v>467100</v>
      </c>
      <c r="BK234" s="676"/>
      <c r="BL234" s="676">
        <v>216</v>
      </c>
      <c r="BM234" s="676"/>
      <c r="BN234" s="676">
        <v>0</v>
      </c>
      <c r="BO234" s="676"/>
      <c r="BP234" s="676"/>
      <c r="BQ234" s="676"/>
      <c r="BR234" s="676"/>
      <c r="BS234" s="676"/>
      <c r="BT234" s="676">
        <v>1576196</v>
      </c>
      <c r="BU234" s="676"/>
      <c r="BV234" s="676"/>
      <c r="BW234" s="676">
        <v>0</v>
      </c>
      <c r="BX234" s="676"/>
      <c r="BY234" s="676"/>
      <c r="BZ234" s="676"/>
      <c r="CA234" s="676"/>
      <c r="CB234" s="676"/>
      <c r="CC234" s="676"/>
      <c r="CD234" s="676"/>
      <c r="CE234" s="676">
        <v>7511000</v>
      </c>
      <c r="CF234" s="676">
        <v>480000</v>
      </c>
      <c r="CG234" s="676">
        <v>2486000</v>
      </c>
    </row>
    <row r="235" spans="1:85" x14ac:dyDescent="0.25">
      <c r="A235" s="320" t="s">
        <v>917</v>
      </c>
      <c r="B235" s="320" t="s">
        <v>918</v>
      </c>
      <c r="C235" s="320"/>
      <c r="D235" s="320" t="s">
        <v>919</v>
      </c>
      <c r="E235" s="320">
        <v>2016</v>
      </c>
      <c r="F235" s="404"/>
      <c r="G235" s="676"/>
      <c r="H235" s="676"/>
      <c r="I235" s="676"/>
      <c r="J235" s="676"/>
      <c r="K235" s="676"/>
      <c r="L235" s="676"/>
      <c r="M235" s="676"/>
      <c r="N235" s="676"/>
      <c r="O235" s="676"/>
      <c r="P235" s="676"/>
      <c r="Q235" s="676"/>
      <c r="R235" s="676"/>
      <c r="S235" s="676"/>
      <c r="T235" s="676"/>
      <c r="U235" s="676"/>
      <c r="V235" s="676"/>
      <c r="W235" s="676"/>
      <c r="X235" s="676">
        <v>0</v>
      </c>
      <c r="Y235" s="676"/>
      <c r="Z235" s="676">
        <v>0</v>
      </c>
      <c r="AA235" s="676"/>
      <c r="AB235" s="676"/>
      <c r="AC235" s="676">
        <v>0</v>
      </c>
      <c r="AD235" s="676"/>
      <c r="AE235" s="676"/>
      <c r="AF235" s="676"/>
      <c r="AG235" s="676"/>
      <c r="AH235" s="676"/>
      <c r="AI235" s="676"/>
      <c r="AJ235" s="676"/>
      <c r="AK235" s="676"/>
      <c r="AL235" s="676"/>
      <c r="AM235" s="676"/>
      <c r="AN235" s="676"/>
      <c r="AO235" s="676"/>
      <c r="AP235" s="676"/>
      <c r="AQ235" s="676"/>
      <c r="AR235" s="676"/>
      <c r="AS235" s="676"/>
      <c r="AT235" s="676">
        <v>0</v>
      </c>
      <c r="AU235" s="676"/>
      <c r="AV235" s="676"/>
      <c r="AW235" s="676"/>
      <c r="AX235" s="676"/>
      <c r="AY235" s="676"/>
      <c r="AZ235" s="676">
        <v>0</v>
      </c>
      <c r="BA235" s="676"/>
      <c r="BB235" s="676"/>
      <c r="BC235" s="676"/>
      <c r="BD235" s="676"/>
      <c r="BE235" s="676">
        <v>0</v>
      </c>
      <c r="BF235" s="676"/>
      <c r="BG235" s="676"/>
      <c r="BH235" s="676"/>
      <c r="BI235" s="676"/>
      <c r="BJ235" s="676"/>
      <c r="BK235" s="676"/>
      <c r="BL235" s="676"/>
      <c r="BM235" s="676"/>
      <c r="BN235" s="676">
        <v>0</v>
      </c>
      <c r="BO235" s="676"/>
      <c r="BP235" s="676"/>
      <c r="BQ235" s="676"/>
      <c r="BR235" s="676"/>
      <c r="BS235" s="676"/>
      <c r="BT235" s="676"/>
      <c r="BU235" s="676"/>
      <c r="BV235" s="676"/>
      <c r="BW235" s="676"/>
      <c r="BX235" s="676"/>
      <c r="BY235" s="676"/>
      <c r="BZ235" s="676"/>
      <c r="CA235" s="676"/>
      <c r="CB235" s="676"/>
      <c r="CC235" s="676"/>
      <c r="CD235" s="676"/>
      <c r="CE235" s="676"/>
      <c r="CF235" s="676"/>
      <c r="CG235" s="676"/>
    </row>
    <row r="236" spans="1:85" x14ac:dyDescent="0.25">
      <c r="A236" s="320" t="s">
        <v>920</v>
      </c>
      <c r="B236" s="320" t="s">
        <v>1333</v>
      </c>
      <c r="C236" s="320" t="s">
        <v>1334</v>
      </c>
      <c r="D236" s="320" t="s">
        <v>921</v>
      </c>
      <c r="E236" s="320">
        <v>2016</v>
      </c>
      <c r="F236" s="404"/>
      <c r="G236" s="676"/>
      <c r="H236" s="676">
        <v>57273</v>
      </c>
      <c r="I236" s="676"/>
      <c r="J236" s="676">
        <v>22199428</v>
      </c>
      <c r="K236" s="676"/>
      <c r="L236" s="676"/>
      <c r="M236" s="676">
        <v>18355012</v>
      </c>
      <c r="N236" s="676"/>
      <c r="O236" s="676"/>
      <c r="P236" s="676"/>
      <c r="Q236" s="676">
        <v>15427571</v>
      </c>
      <c r="R236" s="676">
        <v>29129</v>
      </c>
      <c r="S236" s="676">
        <v>305282</v>
      </c>
      <c r="T236" s="676"/>
      <c r="U236" s="676">
        <v>8266000</v>
      </c>
      <c r="V236" s="676"/>
      <c r="W236" s="676"/>
      <c r="X236" s="676">
        <v>0</v>
      </c>
      <c r="Y236" s="676"/>
      <c r="Z236" s="676">
        <v>109512249</v>
      </c>
      <c r="AA236" s="676"/>
      <c r="AB236" s="676"/>
      <c r="AC236" s="676">
        <v>0</v>
      </c>
      <c r="AD236" s="676"/>
      <c r="AE236" s="676">
        <v>6639</v>
      </c>
      <c r="AF236" s="676"/>
      <c r="AG236" s="676"/>
      <c r="AH236" s="676"/>
      <c r="AI236" s="676"/>
      <c r="AJ236" s="676"/>
      <c r="AK236" s="676">
        <v>16000</v>
      </c>
      <c r="AL236" s="676">
        <v>107622</v>
      </c>
      <c r="AM236" s="676">
        <v>2320</v>
      </c>
      <c r="AN236" s="676"/>
      <c r="AO236" s="676"/>
      <c r="AP236" s="676">
        <v>6000</v>
      </c>
      <c r="AQ236" s="676"/>
      <c r="AR236" s="676"/>
      <c r="AS236" s="676"/>
      <c r="AT236" s="676">
        <v>0</v>
      </c>
      <c r="AU236" s="676">
        <v>5000</v>
      </c>
      <c r="AV236" s="676"/>
      <c r="AW236" s="676"/>
      <c r="AX236" s="676">
        <v>28385981</v>
      </c>
      <c r="AY236" s="676">
        <v>9170993</v>
      </c>
      <c r="AZ236" s="676">
        <v>0</v>
      </c>
      <c r="BA236" s="676">
        <v>19125631</v>
      </c>
      <c r="BB236" s="676"/>
      <c r="BC236" s="676">
        <v>250000</v>
      </c>
      <c r="BD236" s="676">
        <v>4847815</v>
      </c>
      <c r="BE236" s="676">
        <v>0</v>
      </c>
      <c r="BF236" s="676">
        <v>19444000</v>
      </c>
      <c r="BG236" s="676">
        <v>15159000</v>
      </c>
      <c r="BH236" s="676">
        <v>2078794000</v>
      </c>
      <c r="BI236" s="676"/>
      <c r="BJ236" s="676"/>
      <c r="BK236" s="676"/>
      <c r="BL236" s="676"/>
      <c r="BM236" s="676">
        <v>852650000</v>
      </c>
      <c r="BN236" s="676">
        <v>0</v>
      </c>
      <c r="BO236" s="676"/>
      <c r="BP236" s="676">
        <v>117173</v>
      </c>
      <c r="BQ236" s="676"/>
      <c r="BR236" s="676"/>
      <c r="BS236" s="676">
        <v>3847042</v>
      </c>
      <c r="BT236" s="676">
        <v>73451719</v>
      </c>
      <c r="BU236" s="676"/>
      <c r="BV236" s="676"/>
      <c r="BW236" s="676">
        <v>1026231</v>
      </c>
      <c r="BX236" s="676"/>
      <c r="BY236" s="676"/>
      <c r="BZ236" s="676">
        <v>895422000</v>
      </c>
      <c r="CA236" s="676"/>
      <c r="CB236" s="676"/>
      <c r="CC236" s="676">
        <v>927744000</v>
      </c>
      <c r="CD236" s="676"/>
      <c r="CE236" s="676">
        <v>38879000</v>
      </c>
      <c r="CF236" s="676">
        <v>17179000</v>
      </c>
      <c r="CG236" s="676">
        <v>7018000</v>
      </c>
    </row>
    <row r="237" spans="1:85" x14ac:dyDescent="0.25">
      <c r="A237" s="320" t="s">
        <v>922</v>
      </c>
      <c r="B237" s="320" t="s">
        <v>1335</v>
      </c>
      <c r="C237" s="320" t="s">
        <v>1336</v>
      </c>
      <c r="D237" s="320" t="s">
        <v>923</v>
      </c>
      <c r="E237" s="320">
        <v>2016</v>
      </c>
      <c r="F237" s="404"/>
      <c r="G237" s="676"/>
      <c r="H237" s="676">
        <v>57273</v>
      </c>
      <c r="I237" s="676"/>
      <c r="J237" s="676">
        <v>22199428</v>
      </c>
      <c r="K237" s="676"/>
      <c r="L237" s="676"/>
      <c r="M237" s="676">
        <v>16346732</v>
      </c>
      <c r="N237" s="676"/>
      <c r="O237" s="676"/>
      <c r="P237" s="676"/>
      <c r="Q237" s="676">
        <v>11199012</v>
      </c>
      <c r="R237" s="676">
        <v>29129</v>
      </c>
      <c r="S237" s="676">
        <v>305282</v>
      </c>
      <c r="T237" s="676"/>
      <c r="U237" s="676">
        <v>6607000</v>
      </c>
      <c r="V237" s="676"/>
      <c r="W237" s="676"/>
      <c r="X237" s="676">
        <v>0</v>
      </c>
      <c r="Y237" s="676"/>
      <c r="Z237" s="676">
        <v>0</v>
      </c>
      <c r="AA237" s="676"/>
      <c r="AB237" s="676"/>
      <c r="AC237" s="676">
        <v>0</v>
      </c>
      <c r="AD237" s="676"/>
      <c r="AE237" s="676">
        <v>6639</v>
      </c>
      <c r="AF237" s="676"/>
      <c r="AG237" s="676"/>
      <c r="AH237" s="676"/>
      <c r="AI237" s="676"/>
      <c r="AJ237" s="676"/>
      <c r="AK237" s="676"/>
      <c r="AL237" s="676">
        <v>5122</v>
      </c>
      <c r="AM237" s="676"/>
      <c r="AN237" s="676"/>
      <c r="AO237" s="676"/>
      <c r="AP237" s="676">
        <v>6000</v>
      </c>
      <c r="AQ237" s="676"/>
      <c r="AR237" s="676"/>
      <c r="AS237" s="676"/>
      <c r="AT237" s="676">
        <v>0</v>
      </c>
      <c r="AU237" s="676">
        <v>5000</v>
      </c>
      <c r="AV237" s="676"/>
      <c r="AW237" s="676"/>
      <c r="AX237" s="676">
        <v>14507043</v>
      </c>
      <c r="AY237" s="676">
        <v>9161876</v>
      </c>
      <c r="AZ237" s="676">
        <v>0</v>
      </c>
      <c r="BA237" s="676">
        <v>19125631</v>
      </c>
      <c r="BB237" s="676"/>
      <c r="BC237" s="676"/>
      <c r="BD237" s="676"/>
      <c r="BE237" s="676">
        <v>0</v>
      </c>
      <c r="BF237" s="676"/>
      <c r="BG237" s="676">
        <v>15159000</v>
      </c>
      <c r="BH237" s="676">
        <v>4944000</v>
      </c>
      <c r="BI237" s="676"/>
      <c r="BJ237" s="676"/>
      <c r="BK237" s="676"/>
      <c r="BL237" s="676"/>
      <c r="BM237" s="676">
        <v>835040000</v>
      </c>
      <c r="BN237" s="676">
        <v>0</v>
      </c>
      <c r="BO237" s="676"/>
      <c r="BP237" s="676">
        <v>117173</v>
      </c>
      <c r="BQ237" s="676"/>
      <c r="BR237" s="676"/>
      <c r="BS237" s="676"/>
      <c r="BT237" s="676">
        <v>72040184</v>
      </c>
      <c r="BU237" s="676"/>
      <c r="BV237" s="676"/>
      <c r="BW237" s="676"/>
      <c r="BX237" s="676"/>
      <c r="BY237" s="676"/>
      <c r="BZ237" s="676">
        <v>895422000</v>
      </c>
      <c r="CA237" s="676"/>
      <c r="CB237" s="676"/>
      <c r="CC237" s="676">
        <v>287337000</v>
      </c>
      <c r="CD237" s="676"/>
      <c r="CE237" s="676">
        <v>1009000</v>
      </c>
      <c r="CF237" s="676">
        <v>28000</v>
      </c>
      <c r="CG237" s="676"/>
    </row>
    <row r="238" spans="1:85" x14ac:dyDescent="0.25">
      <c r="A238" s="320" t="s">
        <v>924</v>
      </c>
      <c r="B238" s="320" t="s">
        <v>1337</v>
      </c>
      <c r="C238" s="320" t="s">
        <v>1338</v>
      </c>
      <c r="D238" s="320" t="s">
        <v>925</v>
      </c>
      <c r="E238" s="320">
        <v>2016</v>
      </c>
      <c r="F238" s="404"/>
      <c r="G238" s="676"/>
      <c r="H238" s="676"/>
      <c r="I238" s="676"/>
      <c r="J238" s="676"/>
      <c r="K238" s="676"/>
      <c r="L238" s="676"/>
      <c r="M238" s="676"/>
      <c r="N238" s="676"/>
      <c r="O238" s="676"/>
      <c r="P238" s="676"/>
      <c r="Q238" s="676">
        <v>4228559</v>
      </c>
      <c r="R238" s="676"/>
      <c r="S238" s="676"/>
      <c r="T238" s="676"/>
      <c r="U238" s="676"/>
      <c r="V238" s="676"/>
      <c r="W238" s="676"/>
      <c r="X238" s="676">
        <v>0</v>
      </c>
      <c r="Y238" s="676"/>
      <c r="Z238" s="676">
        <v>109512249</v>
      </c>
      <c r="AA238" s="676"/>
      <c r="AB238" s="676"/>
      <c r="AC238" s="676">
        <v>0</v>
      </c>
      <c r="AD238" s="676"/>
      <c r="AE238" s="676"/>
      <c r="AF238" s="676"/>
      <c r="AG238" s="676"/>
      <c r="AH238" s="676"/>
      <c r="AI238" s="676"/>
      <c r="AJ238" s="676"/>
      <c r="AK238" s="676"/>
      <c r="AL238" s="676"/>
      <c r="AM238" s="676"/>
      <c r="AN238" s="676"/>
      <c r="AO238" s="676"/>
      <c r="AP238" s="676"/>
      <c r="AQ238" s="676"/>
      <c r="AR238" s="676"/>
      <c r="AS238" s="676"/>
      <c r="AT238" s="676">
        <v>0</v>
      </c>
      <c r="AU238" s="676"/>
      <c r="AV238" s="676"/>
      <c r="AW238" s="676"/>
      <c r="AX238" s="676"/>
      <c r="AY238" s="676">
        <v>9117</v>
      </c>
      <c r="AZ238" s="676">
        <v>0</v>
      </c>
      <c r="BA238" s="676"/>
      <c r="BB238" s="676"/>
      <c r="BC238" s="676"/>
      <c r="BD238" s="676"/>
      <c r="BE238" s="676">
        <v>0</v>
      </c>
      <c r="BF238" s="676"/>
      <c r="BG238" s="676"/>
      <c r="BH238" s="676">
        <v>2026551000</v>
      </c>
      <c r="BI238" s="676"/>
      <c r="BJ238" s="676"/>
      <c r="BK238" s="676"/>
      <c r="BL238" s="676"/>
      <c r="BM238" s="676"/>
      <c r="BN238" s="676">
        <v>0</v>
      </c>
      <c r="BO238" s="676"/>
      <c r="BP238" s="676"/>
      <c r="BQ238" s="676"/>
      <c r="BR238" s="676"/>
      <c r="BS238" s="676"/>
      <c r="BT238" s="676">
        <v>1411535</v>
      </c>
      <c r="BU238" s="676"/>
      <c r="BV238" s="676"/>
      <c r="BW238" s="676">
        <v>1026231</v>
      </c>
      <c r="BX238" s="676"/>
      <c r="BY238" s="676"/>
      <c r="BZ238" s="676"/>
      <c r="CA238" s="676"/>
      <c r="CB238" s="676"/>
      <c r="CC238" s="676"/>
      <c r="CD238" s="676"/>
      <c r="CE238" s="676">
        <v>3740000</v>
      </c>
      <c r="CF238" s="676">
        <v>6243000</v>
      </c>
      <c r="CG238" s="676"/>
    </row>
    <row r="239" spans="1:85" x14ac:dyDescent="0.25">
      <c r="A239" s="320" t="s">
        <v>926</v>
      </c>
      <c r="B239" s="320" t="s">
        <v>1339</v>
      </c>
      <c r="C239" s="320" t="s">
        <v>1340</v>
      </c>
      <c r="D239" s="320" t="s">
        <v>927</v>
      </c>
      <c r="E239" s="320">
        <v>2016</v>
      </c>
      <c r="F239" s="404"/>
      <c r="G239" s="676"/>
      <c r="H239" s="676"/>
      <c r="I239" s="676"/>
      <c r="J239" s="676"/>
      <c r="K239" s="676"/>
      <c r="L239" s="676"/>
      <c r="M239" s="676">
        <v>166</v>
      </c>
      <c r="N239" s="676"/>
      <c r="O239" s="676"/>
      <c r="P239" s="676"/>
      <c r="Q239" s="676"/>
      <c r="R239" s="676"/>
      <c r="S239" s="676"/>
      <c r="T239" s="676"/>
      <c r="U239" s="676"/>
      <c r="V239" s="676"/>
      <c r="W239" s="676"/>
      <c r="X239" s="676">
        <v>0</v>
      </c>
      <c r="Y239" s="676"/>
      <c r="Z239" s="676">
        <v>0</v>
      </c>
      <c r="AA239" s="676"/>
      <c r="AB239" s="676"/>
      <c r="AC239" s="676">
        <v>0</v>
      </c>
      <c r="AD239" s="676"/>
      <c r="AE239" s="676"/>
      <c r="AF239" s="676"/>
      <c r="AG239" s="676"/>
      <c r="AH239" s="676"/>
      <c r="AI239" s="676"/>
      <c r="AJ239" s="676"/>
      <c r="AK239" s="676">
        <v>6000</v>
      </c>
      <c r="AL239" s="676"/>
      <c r="AM239" s="676"/>
      <c r="AN239" s="676"/>
      <c r="AO239" s="676"/>
      <c r="AP239" s="676"/>
      <c r="AQ239" s="676"/>
      <c r="AR239" s="676"/>
      <c r="AS239" s="676"/>
      <c r="AT239" s="676">
        <v>0</v>
      </c>
      <c r="AU239" s="676"/>
      <c r="AV239" s="676"/>
      <c r="AW239" s="676"/>
      <c r="AX239" s="676"/>
      <c r="AY239" s="676"/>
      <c r="AZ239" s="676">
        <v>0</v>
      </c>
      <c r="BA239" s="676"/>
      <c r="BB239" s="676"/>
      <c r="BC239" s="676"/>
      <c r="BD239" s="676">
        <v>4847815</v>
      </c>
      <c r="BE239" s="676">
        <v>0</v>
      </c>
      <c r="BF239" s="676">
        <v>9562000</v>
      </c>
      <c r="BG239" s="676"/>
      <c r="BH239" s="676"/>
      <c r="BI239" s="676"/>
      <c r="BJ239" s="676"/>
      <c r="BK239" s="676"/>
      <c r="BL239" s="676"/>
      <c r="BM239" s="676"/>
      <c r="BN239" s="676">
        <v>0</v>
      </c>
      <c r="BO239" s="676"/>
      <c r="BP239" s="676"/>
      <c r="BQ239" s="676"/>
      <c r="BR239" s="676"/>
      <c r="BS239" s="676"/>
      <c r="BT239" s="676"/>
      <c r="BU239" s="676"/>
      <c r="BV239" s="676"/>
      <c r="BW239" s="676">
        <v>0</v>
      </c>
      <c r="BX239" s="676"/>
      <c r="BY239" s="676"/>
      <c r="BZ239" s="676"/>
      <c r="CA239" s="676"/>
      <c r="CB239" s="676"/>
      <c r="CC239" s="676"/>
      <c r="CD239" s="676"/>
      <c r="CE239" s="676">
        <v>155000</v>
      </c>
      <c r="CF239" s="676"/>
      <c r="CG239" s="676">
        <v>5676000</v>
      </c>
    </row>
    <row r="240" spans="1:85" x14ac:dyDescent="0.25">
      <c r="A240" s="320" t="s">
        <v>928</v>
      </c>
      <c r="B240" s="320" t="s">
        <v>1341</v>
      </c>
      <c r="C240" s="320" t="s">
        <v>1342</v>
      </c>
      <c r="D240" s="320" t="s">
        <v>929</v>
      </c>
      <c r="E240" s="320">
        <v>2016</v>
      </c>
      <c r="F240" s="404"/>
      <c r="G240" s="676"/>
      <c r="H240" s="676"/>
      <c r="I240" s="676"/>
      <c r="J240" s="676"/>
      <c r="K240" s="676"/>
      <c r="L240" s="676"/>
      <c r="M240" s="676"/>
      <c r="N240" s="676"/>
      <c r="O240" s="676"/>
      <c r="P240" s="676"/>
      <c r="Q240" s="676"/>
      <c r="R240" s="676"/>
      <c r="S240" s="676"/>
      <c r="T240" s="676"/>
      <c r="U240" s="676">
        <v>25000</v>
      </c>
      <c r="V240" s="676"/>
      <c r="W240" s="676"/>
      <c r="X240" s="676">
        <v>0</v>
      </c>
      <c r="Y240" s="676"/>
      <c r="Z240" s="676">
        <v>0</v>
      </c>
      <c r="AA240" s="676"/>
      <c r="AB240" s="676"/>
      <c r="AC240" s="676">
        <v>0</v>
      </c>
      <c r="AD240" s="676"/>
      <c r="AE240" s="676"/>
      <c r="AF240" s="676"/>
      <c r="AG240" s="676"/>
      <c r="AH240" s="676"/>
      <c r="AI240" s="676"/>
      <c r="AJ240" s="676"/>
      <c r="AK240" s="676"/>
      <c r="AL240" s="676">
        <v>102500</v>
      </c>
      <c r="AM240" s="676"/>
      <c r="AN240" s="676"/>
      <c r="AO240" s="676"/>
      <c r="AP240" s="676"/>
      <c r="AQ240" s="676"/>
      <c r="AR240" s="676"/>
      <c r="AS240" s="676"/>
      <c r="AT240" s="676">
        <v>0</v>
      </c>
      <c r="AU240" s="676"/>
      <c r="AV240" s="676"/>
      <c r="AW240" s="676"/>
      <c r="AX240" s="676"/>
      <c r="AY240" s="676"/>
      <c r="AZ240" s="676">
        <v>0</v>
      </c>
      <c r="BA240" s="676"/>
      <c r="BB240" s="676"/>
      <c r="BC240" s="676"/>
      <c r="BD240" s="676"/>
      <c r="BE240" s="676">
        <v>0</v>
      </c>
      <c r="BF240" s="676"/>
      <c r="BG240" s="676"/>
      <c r="BH240" s="676"/>
      <c r="BI240" s="676"/>
      <c r="BJ240" s="676"/>
      <c r="BK240" s="676"/>
      <c r="BL240" s="676"/>
      <c r="BM240" s="676">
        <v>17610000</v>
      </c>
      <c r="BN240" s="676">
        <v>0</v>
      </c>
      <c r="BO240" s="676"/>
      <c r="BP240" s="676"/>
      <c r="BQ240" s="676"/>
      <c r="BR240" s="676"/>
      <c r="BS240" s="676"/>
      <c r="BT240" s="676"/>
      <c r="BU240" s="676"/>
      <c r="BV240" s="676"/>
      <c r="BW240" s="676"/>
      <c r="BX240" s="676"/>
      <c r="BY240" s="676"/>
      <c r="BZ240" s="676"/>
      <c r="CA240" s="676"/>
      <c r="CB240" s="676"/>
      <c r="CC240" s="676">
        <v>630000000</v>
      </c>
      <c r="CD240" s="676"/>
      <c r="CE240" s="676"/>
      <c r="CF240" s="676">
        <v>10908000</v>
      </c>
      <c r="CG240" s="676"/>
    </row>
    <row r="241" spans="1:85" x14ac:dyDescent="0.25">
      <c r="A241" s="320" t="s">
        <v>930</v>
      </c>
      <c r="B241" s="320" t="s">
        <v>1343</v>
      </c>
      <c r="C241" s="320" t="s">
        <v>1342</v>
      </c>
      <c r="D241" s="320" t="s">
        <v>931</v>
      </c>
      <c r="E241" s="320">
        <v>2016</v>
      </c>
      <c r="F241" s="404"/>
      <c r="G241" s="676"/>
      <c r="H241" s="676"/>
      <c r="I241" s="676"/>
      <c r="J241" s="676"/>
      <c r="K241" s="676"/>
      <c r="L241" s="676"/>
      <c r="M241" s="676"/>
      <c r="N241" s="676"/>
      <c r="O241" s="676"/>
      <c r="P241" s="676"/>
      <c r="Q241" s="676"/>
      <c r="R241" s="676"/>
      <c r="S241" s="676"/>
      <c r="T241" s="676"/>
      <c r="U241" s="676"/>
      <c r="V241" s="676"/>
      <c r="W241" s="676"/>
      <c r="X241" s="676">
        <v>0</v>
      </c>
      <c r="Y241" s="676"/>
      <c r="Z241" s="676">
        <v>0</v>
      </c>
      <c r="AA241" s="676"/>
      <c r="AB241" s="676"/>
      <c r="AC241" s="676">
        <v>0</v>
      </c>
      <c r="AD241" s="676"/>
      <c r="AE241" s="676"/>
      <c r="AF241" s="676"/>
      <c r="AG241" s="676"/>
      <c r="AH241" s="676"/>
      <c r="AI241" s="676"/>
      <c r="AJ241" s="676"/>
      <c r="AK241" s="676"/>
      <c r="AL241" s="676"/>
      <c r="AM241" s="676"/>
      <c r="AN241" s="676"/>
      <c r="AO241" s="676"/>
      <c r="AP241" s="676"/>
      <c r="AQ241" s="676"/>
      <c r="AR241" s="676"/>
      <c r="AS241" s="676"/>
      <c r="AT241" s="676">
        <v>0</v>
      </c>
      <c r="AU241" s="676"/>
      <c r="AV241" s="676"/>
      <c r="AW241" s="676"/>
      <c r="AX241" s="676">
        <v>130688</v>
      </c>
      <c r="AY241" s="676"/>
      <c r="AZ241" s="676">
        <v>0</v>
      </c>
      <c r="BA241" s="676"/>
      <c r="BB241" s="676"/>
      <c r="BC241" s="676"/>
      <c r="BD241" s="676"/>
      <c r="BE241" s="676">
        <v>0</v>
      </c>
      <c r="BF241" s="676"/>
      <c r="BG241" s="676"/>
      <c r="BH241" s="676"/>
      <c r="BI241" s="676"/>
      <c r="BJ241" s="676"/>
      <c r="BK241" s="676"/>
      <c r="BL241" s="676"/>
      <c r="BM241" s="676"/>
      <c r="BN241" s="676">
        <v>0</v>
      </c>
      <c r="BO241" s="676"/>
      <c r="BP241" s="676"/>
      <c r="BQ241" s="676"/>
      <c r="BR241" s="676"/>
      <c r="BS241" s="676"/>
      <c r="BT241" s="676"/>
      <c r="BU241" s="676"/>
      <c r="BV241" s="676"/>
      <c r="BW241" s="676"/>
      <c r="BX241" s="676"/>
      <c r="BY241" s="676"/>
      <c r="BZ241" s="676"/>
      <c r="CA241" s="676"/>
      <c r="CB241" s="676"/>
      <c r="CC241" s="676"/>
      <c r="CD241" s="676"/>
      <c r="CE241" s="676"/>
      <c r="CF241" s="676"/>
      <c r="CG241" s="676"/>
    </row>
    <row r="242" spans="1:85" x14ac:dyDescent="0.25">
      <c r="A242" s="320" t="s">
        <v>932</v>
      </c>
      <c r="B242" s="320" t="s">
        <v>1344</v>
      </c>
      <c r="C242" s="320" t="s">
        <v>1345</v>
      </c>
      <c r="D242" s="320" t="s">
        <v>933</v>
      </c>
      <c r="E242" s="320">
        <v>2016</v>
      </c>
      <c r="F242" s="404"/>
      <c r="G242" s="676"/>
      <c r="H242" s="676"/>
      <c r="I242" s="676"/>
      <c r="J242" s="676"/>
      <c r="K242" s="676"/>
      <c r="L242" s="676"/>
      <c r="M242" s="676">
        <v>2008114</v>
      </c>
      <c r="N242" s="676"/>
      <c r="O242" s="676"/>
      <c r="P242" s="676"/>
      <c r="Q242" s="676"/>
      <c r="R242" s="676"/>
      <c r="S242" s="676"/>
      <c r="T242" s="676"/>
      <c r="U242" s="676"/>
      <c r="V242" s="676"/>
      <c r="W242" s="676"/>
      <c r="X242" s="676">
        <v>0</v>
      </c>
      <c r="Y242" s="676"/>
      <c r="Z242" s="676">
        <v>0</v>
      </c>
      <c r="AA242" s="676"/>
      <c r="AB242" s="676"/>
      <c r="AC242" s="676">
        <v>0</v>
      </c>
      <c r="AD242" s="676"/>
      <c r="AE242" s="676"/>
      <c r="AF242" s="676"/>
      <c r="AG242" s="676"/>
      <c r="AH242" s="676"/>
      <c r="AI242" s="676"/>
      <c r="AJ242" s="676"/>
      <c r="AK242" s="676"/>
      <c r="AL242" s="676"/>
      <c r="AM242" s="676"/>
      <c r="AN242" s="676"/>
      <c r="AO242" s="676"/>
      <c r="AP242" s="676"/>
      <c r="AQ242" s="676"/>
      <c r="AR242" s="676"/>
      <c r="AS242" s="676"/>
      <c r="AT242" s="676">
        <v>0</v>
      </c>
      <c r="AU242" s="676"/>
      <c r="AV242" s="676"/>
      <c r="AW242" s="676"/>
      <c r="AX242" s="676">
        <v>13060000</v>
      </c>
      <c r="AY242" s="676"/>
      <c r="AZ242" s="676">
        <v>0</v>
      </c>
      <c r="BA242" s="676"/>
      <c r="BB242" s="676"/>
      <c r="BC242" s="676"/>
      <c r="BD242" s="676"/>
      <c r="BE242" s="676">
        <v>0</v>
      </c>
      <c r="BF242" s="676"/>
      <c r="BG242" s="676"/>
      <c r="BH242" s="676"/>
      <c r="BI242" s="676"/>
      <c r="BJ242" s="676"/>
      <c r="BK242" s="676"/>
      <c r="BL242" s="676"/>
      <c r="BM242" s="676"/>
      <c r="BN242" s="676">
        <v>0</v>
      </c>
      <c r="BO242" s="676"/>
      <c r="BP242" s="676"/>
      <c r="BQ242" s="676"/>
      <c r="BR242" s="676"/>
      <c r="BS242" s="676"/>
      <c r="BT242" s="676"/>
      <c r="BU242" s="676"/>
      <c r="BV242" s="676"/>
      <c r="BW242" s="676"/>
      <c r="BX242" s="676"/>
      <c r="BY242" s="676"/>
      <c r="BZ242" s="676"/>
      <c r="CA242" s="676"/>
      <c r="CB242" s="676"/>
      <c r="CC242" s="676"/>
      <c r="CD242" s="676"/>
      <c r="CE242" s="676"/>
      <c r="CF242" s="676"/>
      <c r="CG242" s="676"/>
    </row>
    <row r="243" spans="1:85" x14ac:dyDescent="0.25">
      <c r="A243" s="320" t="s">
        <v>934</v>
      </c>
      <c r="B243" s="320" t="s">
        <v>1346</v>
      </c>
      <c r="C243" s="320" t="s">
        <v>1347</v>
      </c>
      <c r="D243" s="320" t="s">
        <v>935</v>
      </c>
      <c r="E243" s="320">
        <v>2016</v>
      </c>
      <c r="F243" s="404"/>
      <c r="G243" s="676"/>
      <c r="H243" s="676"/>
      <c r="I243" s="676"/>
      <c r="J243" s="676"/>
      <c r="K243" s="676"/>
      <c r="L243" s="676"/>
      <c r="M243" s="676"/>
      <c r="N243" s="676"/>
      <c r="O243" s="676"/>
      <c r="P243" s="676"/>
      <c r="Q243" s="676"/>
      <c r="R243" s="676"/>
      <c r="S243" s="676"/>
      <c r="T243" s="676"/>
      <c r="U243" s="676">
        <v>1634000</v>
      </c>
      <c r="V243" s="676"/>
      <c r="W243" s="676"/>
      <c r="X243" s="676">
        <v>0</v>
      </c>
      <c r="Y243" s="676"/>
      <c r="Z243" s="676">
        <v>0</v>
      </c>
      <c r="AA243" s="676"/>
      <c r="AB243" s="676"/>
      <c r="AC243" s="676">
        <v>0</v>
      </c>
      <c r="AD243" s="676"/>
      <c r="AE243" s="676"/>
      <c r="AF243" s="676"/>
      <c r="AG243" s="676"/>
      <c r="AH243" s="676"/>
      <c r="AI243" s="676"/>
      <c r="AJ243" s="676"/>
      <c r="AK243" s="676">
        <v>10000</v>
      </c>
      <c r="AL243" s="676"/>
      <c r="AM243" s="676">
        <v>2320</v>
      </c>
      <c r="AN243" s="676"/>
      <c r="AO243" s="676"/>
      <c r="AP243" s="676"/>
      <c r="AQ243" s="676"/>
      <c r="AR243" s="676"/>
      <c r="AS243" s="676"/>
      <c r="AT243" s="676">
        <v>0</v>
      </c>
      <c r="AU243" s="676"/>
      <c r="AV243" s="676"/>
      <c r="AW243" s="676"/>
      <c r="AX243" s="676"/>
      <c r="AY243" s="676"/>
      <c r="AZ243" s="676">
        <v>0</v>
      </c>
      <c r="BA243" s="676"/>
      <c r="BB243" s="676"/>
      <c r="BC243" s="676"/>
      <c r="BD243" s="676"/>
      <c r="BE243" s="676">
        <v>0</v>
      </c>
      <c r="BF243" s="676">
        <v>9882000</v>
      </c>
      <c r="BG243" s="676"/>
      <c r="BH243" s="676">
        <v>47299000</v>
      </c>
      <c r="BI243" s="676"/>
      <c r="BJ243" s="676"/>
      <c r="BK243" s="676"/>
      <c r="BL243" s="676"/>
      <c r="BM243" s="676"/>
      <c r="BN243" s="676">
        <v>0</v>
      </c>
      <c r="BO243" s="676"/>
      <c r="BP243" s="676"/>
      <c r="BQ243" s="676"/>
      <c r="BR243" s="676"/>
      <c r="BS243" s="676"/>
      <c r="BT243" s="676"/>
      <c r="BU243" s="676"/>
      <c r="BV243" s="676"/>
      <c r="BW243" s="676"/>
      <c r="BX243" s="676"/>
      <c r="BY243" s="676"/>
      <c r="BZ243" s="676"/>
      <c r="CA243" s="676"/>
      <c r="CB243" s="676"/>
      <c r="CC243" s="676">
        <v>10407000</v>
      </c>
      <c r="CD243" s="676"/>
      <c r="CE243" s="676">
        <v>33975000</v>
      </c>
      <c r="CF243" s="676"/>
      <c r="CG243" s="676">
        <v>1342000</v>
      </c>
    </row>
    <row r="244" spans="1:85" x14ac:dyDescent="0.25">
      <c r="A244" s="320" t="s">
        <v>936</v>
      </c>
      <c r="B244" s="320" t="s">
        <v>1348</v>
      </c>
      <c r="C244" s="320" t="s">
        <v>1349</v>
      </c>
      <c r="D244" s="320" t="s">
        <v>937</v>
      </c>
      <c r="E244" s="320">
        <v>2016</v>
      </c>
      <c r="F244" s="404"/>
      <c r="G244" s="676"/>
      <c r="H244" s="676"/>
      <c r="I244" s="676"/>
      <c r="J244" s="676"/>
      <c r="K244" s="676"/>
      <c r="L244" s="676"/>
      <c r="M244" s="676"/>
      <c r="N244" s="676"/>
      <c r="O244" s="676"/>
      <c r="P244" s="676"/>
      <c r="Q244" s="676"/>
      <c r="R244" s="676"/>
      <c r="S244" s="676"/>
      <c r="T244" s="676"/>
      <c r="U244" s="676"/>
      <c r="V244" s="676"/>
      <c r="W244" s="676"/>
      <c r="X244" s="676">
        <v>0</v>
      </c>
      <c r="Y244" s="676"/>
      <c r="Z244" s="676">
        <v>0</v>
      </c>
      <c r="AA244" s="676"/>
      <c r="AB244" s="676"/>
      <c r="AC244" s="676">
        <v>0</v>
      </c>
      <c r="AD244" s="676"/>
      <c r="AE244" s="676"/>
      <c r="AF244" s="676"/>
      <c r="AG244" s="676"/>
      <c r="AH244" s="676"/>
      <c r="AI244" s="676"/>
      <c r="AJ244" s="676"/>
      <c r="AK244" s="676"/>
      <c r="AL244" s="676"/>
      <c r="AM244" s="676"/>
      <c r="AN244" s="676"/>
      <c r="AO244" s="676"/>
      <c r="AP244" s="676"/>
      <c r="AQ244" s="676"/>
      <c r="AR244" s="676"/>
      <c r="AS244" s="676"/>
      <c r="AT244" s="676">
        <v>0</v>
      </c>
      <c r="AU244" s="676"/>
      <c r="AV244" s="676"/>
      <c r="AW244" s="676"/>
      <c r="AX244" s="676">
        <v>688250</v>
      </c>
      <c r="AY244" s="676"/>
      <c r="AZ244" s="676">
        <v>0</v>
      </c>
      <c r="BA244" s="676"/>
      <c r="BB244" s="676"/>
      <c r="BC244" s="676">
        <v>250000</v>
      </c>
      <c r="BD244" s="676"/>
      <c r="BE244" s="676">
        <v>0</v>
      </c>
      <c r="BF244" s="676"/>
      <c r="BG244" s="676"/>
      <c r="BH244" s="676"/>
      <c r="BI244" s="676"/>
      <c r="BJ244" s="676"/>
      <c r="BK244" s="676"/>
      <c r="BL244" s="676"/>
      <c r="BM244" s="676"/>
      <c r="BN244" s="676">
        <v>0</v>
      </c>
      <c r="BO244" s="676"/>
      <c r="BP244" s="676"/>
      <c r="BQ244" s="676"/>
      <c r="BR244" s="676"/>
      <c r="BS244" s="676"/>
      <c r="BT244" s="676"/>
      <c r="BU244" s="676"/>
      <c r="BV244" s="676"/>
      <c r="BW244" s="676"/>
      <c r="BX244" s="676"/>
      <c r="BY244" s="676"/>
      <c r="BZ244" s="676"/>
      <c r="CA244" s="676"/>
      <c r="CB244" s="676"/>
      <c r="CC244" s="676"/>
      <c r="CD244" s="676"/>
      <c r="CE244" s="676"/>
      <c r="CF244" s="676"/>
      <c r="CG244" s="676"/>
    </row>
    <row r="245" spans="1:85" x14ac:dyDescent="0.25">
      <c r="A245" s="320" t="s">
        <v>938</v>
      </c>
      <c r="B245" s="320" t="s">
        <v>1350</v>
      </c>
      <c r="C245" s="320" t="s">
        <v>1351</v>
      </c>
      <c r="D245" s="320" t="s">
        <v>939</v>
      </c>
      <c r="E245" s="320">
        <v>2016</v>
      </c>
      <c r="F245" s="404"/>
      <c r="G245" s="676"/>
      <c r="H245" s="676"/>
      <c r="I245" s="676"/>
      <c r="J245" s="676"/>
      <c r="K245" s="676"/>
      <c r="L245" s="676"/>
      <c r="M245" s="676"/>
      <c r="N245" s="676"/>
      <c r="O245" s="676"/>
      <c r="P245" s="676"/>
      <c r="Q245" s="676"/>
      <c r="R245" s="676"/>
      <c r="S245" s="676"/>
      <c r="T245" s="676"/>
      <c r="U245" s="676"/>
      <c r="V245" s="676"/>
      <c r="W245" s="676"/>
      <c r="X245" s="676">
        <v>0</v>
      </c>
      <c r="Y245" s="676"/>
      <c r="Z245" s="676">
        <v>0</v>
      </c>
      <c r="AA245" s="676"/>
      <c r="AB245" s="676"/>
      <c r="AC245" s="676">
        <v>0</v>
      </c>
      <c r="AD245" s="676"/>
      <c r="AE245" s="676"/>
      <c r="AF245" s="676"/>
      <c r="AG245" s="676"/>
      <c r="AH245" s="676"/>
      <c r="AI245" s="676"/>
      <c r="AJ245" s="676"/>
      <c r="AK245" s="676"/>
      <c r="AL245" s="676"/>
      <c r="AM245" s="676"/>
      <c r="AN245" s="676"/>
      <c r="AO245" s="676"/>
      <c r="AP245" s="676"/>
      <c r="AQ245" s="676"/>
      <c r="AR245" s="676"/>
      <c r="AS245" s="676"/>
      <c r="AT245" s="676">
        <v>0</v>
      </c>
      <c r="AU245" s="676"/>
      <c r="AV245" s="676"/>
      <c r="AW245" s="676"/>
      <c r="AX245" s="676"/>
      <c r="AY245" s="676"/>
      <c r="AZ245" s="676">
        <v>0</v>
      </c>
      <c r="BA245" s="676"/>
      <c r="BB245" s="676"/>
      <c r="BC245" s="676"/>
      <c r="BD245" s="676"/>
      <c r="BE245" s="676">
        <v>0</v>
      </c>
      <c r="BF245" s="676"/>
      <c r="BG245" s="676"/>
      <c r="BH245" s="676"/>
      <c r="BI245" s="676"/>
      <c r="BJ245" s="676"/>
      <c r="BK245" s="676"/>
      <c r="BL245" s="676"/>
      <c r="BM245" s="676"/>
      <c r="BN245" s="676">
        <v>0</v>
      </c>
      <c r="BO245" s="676"/>
      <c r="BP245" s="676"/>
      <c r="BQ245" s="676"/>
      <c r="BR245" s="676"/>
      <c r="BS245" s="676">
        <v>3847042</v>
      </c>
      <c r="BT245" s="676"/>
      <c r="BU245" s="676"/>
      <c r="BV245" s="676"/>
      <c r="BW245" s="676"/>
      <c r="BX245" s="676"/>
      <c r="BY245" s="676"/>
      <c r="BZ245" s="676"/>
      <c r="CA245" s="676"/>
      <c r="CB245" s="676"/>
      <c r="CC245" s="676"/>
      <c r="CD245" s="676"/>
      <c r="CE245" s="676"/>
      <c r="CF245" s="676"/>
      <c r="CG245" s="676"/>
    </row>
    <row r="246" spans="1:85" x14ac:dyDescent="0.25">
      <c r="A246" s="320" t="s">
        <v>940</v>
      </c>
      <c r="B246" s="320" t="s">
        <v>1353</v>
      </c>
      <c r="C246" s="320" t="s">
        <v>1352</v>
      </c>
      <c r="D246" s="320" t="s">
        <v>941</v>
      </c>
      <c r="E246" s="320">
        <v>2016</v>
      </c>
      <c r="F246" s="404"/>
      <c r="G246" s="676"/>
      <c r="H246" s="676"/>
      <c r="I246" s="676"/>
      <c r="J246" s="676"/>
      <c r="K246" s="676"/>
      <c r="L246" s="676"/>
      <c r="M246" s="676"/>
      <c r="N246" s="676"/>
      <c r="O246" s="676"/>
      <c r="P246" s="676"/>
      <c r="Q246" s="676"/>
      <c r="R246" s="676"/>
      <c r="S246" s="676"/>
      <c r="T246" s="676"/>
      <c r="U246" s="676"/>
      <c r="V246" s="676"/>
      <c r="W246" s="676"/>
      <c r="X246" s="676">
        <v>0</v>
      </c>
      <c r="Y246" s="676"/>
      <c r="Z246" s="676">
        <v>0</v>
      </c>
      <c r="AA246" s="676"/>
      <c r="AB246" s="676"/>
      <c r="AC246" s="676">
        <v>0</v>
      </c>
      <c r="AD246" s="676"/>
      <c r="AE246" s="676"/>
      <c r="AF246" s="676"/>
      <c r="AG246" s="676"/>
      <c r="AH246" s="676"/>
      <c r="AI246" s="676"/>
      <c r="AJ246" s="676"/>
      <c r="AK246" s="676"/>
      <c r="AL246" s="676"/>
      <c r="AM246" s="676"/>
      <c r="AN246" s="676"/>
      <c r="AO246" s="676"/>
      <c r="AP246" s="676"/>
      <c r="AQ246" s="676"/>
      <c r="AR246" s="676"/>
      <c r="AS246" s="676"/>
      <c r="AT246" s="676">
        <v>0</v>
      </c>
      <c r="AU246" s="676"/>
      <c r="AV246" s="676"/>
      <c r="AW246" s="676"/>
      <c r="AX246" s="676"/>
      <c r="AY246" s="676"/>
      <c r="AZ246" s="676">
        <v>0</v>
      </c>
      <c r="BA246" s="676"/>
      <c r="BB246" s="676"/>
      <c r="BC246" s="676"/>
      <c r="BD246" s="676"/>
      <c r="BE246" s="676">
        <v>0</v>
      </c>
      <c r="BF246" s="676"/>
      <c r="BG246" s="676"/>
      <c r="BH246" s="676"/>
      <c r="BI246" s="676"/>
      <c r="BJ246" s="676"/>
      <c r="BK246" s="676"/>
      <c r="BL246" s="676"/>
      <c r="BM246" s="676"/>
      <c r="BN246" s="676">
        <v>0</v>
      </c>
      <c r="BO246" s="676"/>
      <c r="BP246" s="676"/>
      <c r="BQ246" s="676"/>
      <c r="BR246" s="676"/>
      <c r="BS246" s="676"/>
      <c r="BT246" s="676"/>
      <c r="BU246" s="676"/>
      <c r="BV246" s="676"/>
      <c r="BW246" s="676"/>
      <c r="BX246" s="676"/>
      <c r="BY246" s="676"/>
      <c r="BZ246" s="676"/>
      <c r="CA246" s="676"/>
      <c r="CB246" s="676"/>
      <c r="CC246" s="676"/>
      <c r="CD246" s="676"/>
      <c r="CE246" s="676"/>
      <c r="CF246" s="676"/>
      <c r="CG246" s="676"/>
    </row>
    <row r="247" spans="1:85" x14ac:dyDescent="0.25">
      <c r="A247" s="320" t="s">
        <v>942</v>
      </c>
      <c r="B247" s="320" t="s">
        <v>1354</v>
      </c>
      <c r="C247" s="320" t="s">
        <v>1355</v>
      </c>
      <c r="D247" s="320" t="s">
        <v>943</v>
      </c>
      <c r="E247" s="320">
        <v>2016</v>
      </c>
      <c r="F247" s="404"/>
      <c r="G247" s="676"/>
      <c r="H247" s="676"/>
      <c r="I247" s="676"/>
      <c r="J247" s="676"/>
      <c r="K247" s="676"/>
      <c r="L247" s="676"/>
      <c r="M247" s="676"/>
      <c r="N247" s="676"/>
      <c r="O247" s="676"/>
      <c r="P247" s="676"/>
      <c r="Q247" s="676"/>
      <c r="R247" s="676"/>
      <c r="S247" s="676"/>
      <c r="T247" s="676"/>
      <c r="U247" s="676"/>
      <c r="V247" s="676"/>
      <c r="W247" s="676"/>
      <c r="X247" s="676">
        <v>0</v>
      </c>
      <c r="Y247" s="676"/>
      <c r="Z247" s="676">
        <v>0</v>
      </c>
      <c r="AA247" s="676">
        <v>0</v>
      </c>
      <c r="AB247" s="676"/>
      <c r="AC247" s="676">
        <v>0</v>
      </c>
      <c r="AD247" s="676"/>
      <c r="AE247" s="676"/>
      <c r="AF247" s="676"/>
      <c r="AG247" s="676"/>
      <c r="AH247" s="676"/>
      <c r="AI247" s="676"/>
      <c r="AJ247" s="676"/>
      <c r="AK247" s="676"/>
      <c r="AL247" s="676"/>
      <c r="AM247" s="676"/>
      <c r="AN247" s="676"/>
      <c r="AO247" s="676"/>
      <c r="AP247" s="676"/>
      <c r="AQ247" s="676"/>
      <c r="AR247" s="676"/>
      <c r="AS247" s="676"/>
      <c r="AT247" s="676">
        <v>0</v>
      </c>
      <c r="AU247" s="676"/>
      <c r="AV247" s="676"/>
      <c r="AW247" s="676"/>
      <c r="AX247" s="676"/>
      <c r="AY247" s="676"/>
      <c r="AZ247" s="676">
        <v>0</v>
      </c>
      <c r="BA247" s="676"/>
      <c r="BB247" s="676"/>
      <c r="BC247" s="676"/>
      <c r="BD247" s="676"/>
      <c r="BE247" s="676">
        <v>0</v>
      </c>
      <c r="BF247" s="676"/>
      <c r="BG247" s="676"/>
      <c r="BH247" s="676"/>
      <c r="BI247" s="676"/>
      <c r="BJ247" s="676"/>
      <c r="BK247" s="676"/>
      <c r="BL247" s="676"/>
      <c r="BM247" s="676"/>
      <c r="BN247" s="676">
        <v>0</v>
      </c>
      <c r="BO247" s="676"/>
      <c r="BP247" s="676"/>
      <c r="BQ247" s="676"/>
      <c r="BR247" s="676"/>
      <c r="BS247" s="676"/>
      <c r="BT247" s="676"/>
      <c r="BU247" s="676"/>
      <c r="BV247" s="676"/>
      <c r="BW247" s="676"/>
      <c r="BX247" s="676"/>
      <c r="BY247" s="676"/>
      <c r="BZ247" s="676"/>
      <c r="CA247" s="676"/>
      <c r="CB247" s="676"/>
      <c r="CC247" s="676"/>
      <c r="CD247" s="676"/>
      <c r="CE247" s="676"/>
      <c r="CF247" s="676"/>
      <c r="CG247" s="676"/>
    </row>
    <row r="248" spans="1:85" x14ac:dyDescent="0.25">
      <c r="A248" s="320" t="s">
        <v>710</v>
      </c>
      <c r="B248" s="320" t="s">
        <v>1356</v>
      </c>
      <c r="C248" s="320" t="s">
        <v>1357</v>
      </c>
      <c r="D248" s="320" t="s">
        <v>944</v>
      </c>
      <c r="E248" s="320">
        <v>2016</v>
      </c>
      <c r="F248" s="404">
        <v>1149043</v>
      </c>
      <c r="G248" s="676">
        <v>4042185</v>
      </c>
      <c r="H248" s="676">
        <v>6399432</v>
      </c>
      <c r="I248" s="676">
        <v>5150801</v>
      </c>
      <c r="J248" s="676">
        <v>5738107</v>
      </c>
      <c r="K248" s="676">
        <v>3010293</v>
      </c>
      <c r="L248" s="676">
        <v>1603888</v>
      </c>
      <c r="M248" s="676">
        <v>46428401</v>
      </c>
      <c r="N248" s="676">
        <v>50280236</v>
      </c>
      <c r="O248" s="676">
        <v>17624696</v>
      </c>
      <c r="P248" s="676">
        <v>9366111</v>
      </c>
      <c r="Q248" s="676">
        <v>896984</v>
      </c>
      <c r="R248" s="676">
        <v>7438568</v>
      </c>
      <c r="S248" s="676">
        <v>47464925</v>
      </c>
      <c r="T248" s="676">
        <v>7579996</v>
      </c>
      <c r="U248" s="676">
        <v>591538000</v>
      </c>
      <c r="V248" s="676">
        <v>8730386</v>
      </c>
      <c r="W248" s="676">
        <v>715602</v>
      </c>
      <c r="X248" s="676">
        <v>245246.16</v>
      </c>
      <c r="Y248" s="676">
        <v>55437352</v>
      </c>
      <c r="Z248" s="676">
        <v>1244722863.6600001</v>
      </c>
      <c r="AA248" s="676">
        <v>2577659</v>
      </c>
      <c r="AB248" s="676">
        <v>100814103</v>
      </c>
      <c r="AC248" s="676">
        <v>774132.81</v>
      </c>
      <c r="AD248" s="676">
        <v>3267274</v>
      </c>
      <c r="AE248" s="676">
        <v>17385567</v>
      </c>
      <c r="AF248" s="676">
        <v>7125680</v>
      </c>
      <c r="AG248" s="676">
        <v>173647</v>
      </c>
      <c r="AH248" s="676">
        <v>658254</v>
      </c>
      <c r="AI248" s="676">
        <v>857008</v>
      </c>
      <c r="AJ248" s="676">
        <v>21766</v>
      </c>
      <c r="AK248" s="676">
        <v>45613817</v>
      </c>
      <c r="AL248" s="676">
        <v>16655680</v>
      </c>
      <c r="AM248" s="676">
        <v>17301776</v>
      </c>
      <c r="AN248" s="676">
        <v>421168000</v>
      </c>
      <c r="AO248" s="676">
        <v>60784428</v>
      </c>
      <c r="AP248" s="676">
        <v>8485519</v>
      </c>
      <c r="AQ248" s="676">
        <v>9999422</v>
      </c>
      <c r="AR248" s="676">
        <v>3522534</v>
      </c>
      <c r="AS248" s="676">
        <v>4550446</v>
      </c>
      <c r="AT248" s="676">
        <v>4681682.13</v>
      </c>
      <c r="AU248" s="676">
        <v>3149527</v>
      </c>
      <c r="AV248" s="676">
        <v>4524343</v>
      </c>
      <c r="AW248" s="676">
        <v>926388</v>
      </c>
      <c r="AX248" s="676">
        <v>30038616</v>
      </c>
      <c r="AY248" s="676">
        <v>8598441</v>
      </c>
      <c r="AZ248" s="676">
        <v>1833085</v>
      </c>
      <c r="BA248" s="676">
        <v>23371102</v>
      </c>
      <c r="BB248" s="676">
        <v>6951631</v>
      </c>
      <c r="BC248" s="676">
        <v>17076047</v>
      </c>
      <c r="BD248" s="676">
        <v>76853410</v>
      </c>
      <c r="BE248" s="676">
        <v>49815798.100000001</v>
      </c>
      <c r="BF248" s="676">
        <v>179189000</v>
      </c>
      <c r="BG248" s="676">
        <v>1870185000</v>
      </c>
      <c r="BH248" s="676">
        <v>1095242000</v>
      </c>
      <c r="BI248" s="676">
        <v>52682244</v>
      </c>
      <c r="BJ248" s="676">
        <v>10845730</v>
      </c>
      <c r="BK248" s="676">
        <v>2142773</v>
      </c>
      <c r="BL248" s="676">
        <v>4952375</v>
      </c>
      <c r="BM248" s="676">
        <v>107302000</v>
      </c>
      <c r="BN248" s="676">
        <v>14020859</v>
      </c>
      <c r="BO248" s="676">
        <v>3199171</v>
      </c>
      <c r="BP248" s="676">
        <v>3611293</v>
      </c>
      <c r="BQ248" s="676">
        <v>907591</v>
      </c>
      <c r="BR248" s="676">
        <v>1514694</v>
      </c>
      <c r="BS248" s="676">
        <v>54116798</v>
      </c>
      <c r="BT248" s="676">
        <v>32333777</v>
      </c>
      <c r="BU248" s="676">
        <v>14109074</v>
      </c>
      <c r="BV248" s="676">
        <v>3096130</v>
      </c>
      <c r="BW248" s="676">
        <v>174027839</v>
      </c>
      <c r="BX248" s="676">
        <v>2585893</v>
      </c>
      <c r="BY248" s="676">
        <v>3209569</v>
      </c>
      <c r="BZ248" s="676">
        <v>10872000</v>
      </c>
      <c r="CA248" s="676">
        <v>9142995.3399999999</v>
      </c>
      <c r="CB248" s="676">
        <v>22852376.030000001</v>
      </c>
      <c r="CC248" s="676">
        <v>88435000</v>
      </c>
      <c r="CD248" s="676">
        <v>704510</v>
      </c>
      <c r="CE248" s="676">
        <v>194777000</v>
      </c>
      <c r="CF248" s="676">
        <v>54292000</v>
      </c>
      <c r="CG248" s="676">
        <v>81642000</v>
      </c>
    </row>
    <row r="249" spans="1:85" x14ac:dyDescent="0.25">
      <c r="A249" s="320" t="s">
        <v>945</v>
      </c>
      <c r="B249" s="320" t="s">
        <v>1358</v>
      </c>
      <c r="C249" s="320" t="s">
        <v>1359</v>
      </c>
      <c r="D249" s="320" t="s">
        <v>946</v>
      </c>
      <c r="E249" s="320">
        <v>2016</v>
      </c>
      <c r="F249" s="404"/>
      <c r="G249" s="676">
        <v>91011</v>
      </c>
      <c r="H249" s="676">
        <v>74637</v>
      </c>
      <c r="I249" s="676">
        <v>232532</v>
      </c>
      <c r="J249" s="676">
        <v>377058</v>
      </c>
      <c r="K249" s="676">
        <v>878076</v>
      </c>
      <c r="L249" s="676">
        <v>56053</v>
      </c>
      <c r="M249" s="676">
        <v>1775935</v>
      </c>
      <c r="N249" s="676">
        <v>2159056</v>
      </c>
      <c r="O249" s="676">
        <v>11307</v>
      </c>
      <c r="P249" s="676">
        <v>166168</v>
      </c>
      <c r="Q249" s="676"/>
      <c r="R249" s="676">
        <v>173204</v>
      </c>
      <c r="S249" s="676">
        <v>3121043</v>
      </c>
      <c r="T249" s="676">
        <v>146435</v>
      </c>
      <c r="U249" s="676">
        <v>26807000</v>
      </c>
      <c r="V249" s="676">
        <v>17597</v>
      </c>
      <c r="W249" s="676">
        <v>78167</v>
      </c>
      <c r="X249" s="676">
        <v>9717.2000000000007</v>
      </c>
      <c r="Y249" s="676">
        <v>190013</v>
      </c>
      <c r="Z249" s="676">
        <v>1457723.36</v>
      </c>
      <c r="AA249" s="676">
        <v>836666</v>
      </c>
      <c r="AB249" s="676">
        <v>23161746</v>
      </c>
      <c r="AC249" s="676">
        <v>35009.08</v>
      </c>
      <c r="AD249" s="676">
        <v>923420</v>
      </c>
      <c r="AE249" s="676">
        <v>198958</v>
      </c>
      <c r="AF249" s="676">
        <v>325048</v>
      </c>
      <c r="AG249" s="676">
        <v>26360</v>
      </c>
      <c r="AH249" s="676">
        <v>73184</v>
      </c>
      <c r="AI249" s="676">
        <v>17360</v>
      </c>
      <c r="AJ249" s="676">
        <v>9702</v>
      </c>
      <c r="AK249" s="676">
        <v>2516541</v>
      </c>
      <c r="AL249" s="676">
        <v>34012</v>
      </c>
      <c r="AM249" s="676">
        <v>9789790</v>
      </c>
      <c r="AN249" s="676">
        <v>3557000</v>
      </c>
      <c r="AO249" s="676">
        <v>7920105</v>
      </c>
      <c r="AP249" s="676">
        <v>534107</v>
      </c>
      <c r="AQ249" s="676">
        <v>1798269</v>
      </c>
      <c r="AR249" s="676">
        <v>524232</v>
      </c>
      <c r="AS249" s="676">
        <v>376589</v>
      </c>
      <c r="AT249" s="676">
        <v>1407533.96</v>
      </c>
      <c r="AU249" s="676">
        <v>501973</v>
      </c>
      <c r="AV249" s="676">
        <v>248101</v>
      </c>
      <c r="AW249" s="676">
        <v>208019</v>
      </c>
      <c r="AX249" s="676">
        <v>27509</v>
      </c>
      <c r="AY249" s="676"/>
      <c r="AZ249" s="676">
        <v>23119</v>
      </c>
      <c r="BA249" s="676"/>
      <c r="BB249" s="676">
        <v>79915</v>
      </c>
      <c r="BC249" s="676">
        <v>172376</v>
      </c>
      <c r="BD249" s="676">
        <v>1167675</v>
      </c>
      <c r="BE249" s="676">
        <v>0</v>
      </c>
      <c r="BF249" s="676">
        <v>3731000</v>
      </c>
      <c r="BG249" s="676">
        <v>354996000</v>
      </c>
      <c r="BH249" s="676">
        <v>131770000</v>
      </c>
      <c r="BI249" s="676">
        <v>3836219</v>
      </c>
      <c r="BJ249" s="676">
        <v>676369</v>
      </c>
      <c r="BK249" s="676">
        <v>35569</v>
      </c>
      <c r="BL249" s="676">
        <v>16041</v>
      </c>
      <c r="BM249" s="676">
        <v>0</v>
      </c>
      <c r="BN249" s="676">
        <v>876654</v>
      </c>
      <c r="BO249" s="676">
        <v>4985</v>
      </c>
      <c r="BP249" s="676">
        <v>2166</v>
      </c>
      <c r="BQ249" s="676">
        <v>56481</v>
      </c>
      <c r="BR249" s="676">
        <v>38705</v>
      </c>
      <c r="BS249" s="676">
        <v>1584796</v>
      </c>
      <c r="BT249" s="676">
        <v>1296530</v>
      </c>
      <c r="BU249" s="676">
        <v>581938</v>
      </c>
      <c r="BV249" s="676"/>
      <c r="BW249" s="676">
        <v>780206</v>
      </c>
      <c r="BX249" s="676">
        <v>717416</v>
      </c>
      <c r="BY249" s="676">
        <v>474384</v>
      </c>
      <c r="BZ249" s="676"/>
      <c r="CA249" s="676">
        <v>420919.74</v>
      </c>
      <c r="CB249" s="676">
        <v>1361623.1</v>
      </c>
      <c r="CC249" s="676">
        <v>49000</v>
      </c>
      <c r="CD249" s="676">
        <v>15573</v>
      </c>
      <c r="CE249" s="676">
        <v>8485000</v>
      </c>
      <c r="CF249" s="676">
        <v>6487000</v>
      </c>
      <c r="CG249" s="676">
        <v>10090000</v>
      </c>
    </row>
    <row r="250" spans="1:85" x14ac:dyDescent="0.25">
      <c r="A250" s="320" t="s">
        <v>947</v>
      </c>
      <c r="B250" s="320" t="s">
        <v>948</v>
      </c>
      <c r="C250" s="320"/>
      <c r="D250" s="320" t="s">
        <v>949</v>
      </c>
      <c r="E250" s="320">
        <v>2016</v>
      </c>
      <c r="F250" s="404"/>
      <c r="G250" s="676">
        <v>64996</v>
      </c>
      <c r="H250" s="676">
        <v>74637</v>
      </c>
      <c r="I250" s="676">
        <v>232532</v>
      </c>
      <c r="J250" s="676">
        <v>326998</v>
      </c>
      <c r="K250" s="676">
        <v>771799</v>
      </c>
      <c r="L250" s="676">
        <v>56053</v>
      </c>
      <c r="M250" s="676">
        <v>1108</v>
      </c>
      <c r="N250" s="676"/>
      <c r="O250" s="676">
        <v>11307</v>
      </c>
      <c r="P250" s="676">
        <v>166168</v>
      </c>
      <c r="Q250" s="676"/>
      <c r="R250" s="676">
        <v>64606</v>
      </c>
      <c r="S250" s="676">
        <v>3121043</v>
      </c>
      <c r="T250" s="676">
        <v>146435</v>
      </c>
      <c r="U250" s="676"/>
      <c r="V250" s="676">
        <v>10575</v>
      </c>
      <c r="W250" s="676">
        <v>58047</v>
      </c>
      <c r="X250" s="676">
        <v>9717.2000000000007</v>
      </c>
      <c r="Y250" s="676"/>
      <c r="Z250" s="676">
        <v>1457723.36</v>
      </c>
      <c r="AA250" s="676">
        <v>123764</v>
      </c>
      <c r="AB250" s="676">
        <v>1196842</v>
      </c>
      <c r="AC250" s="676">
        <v>35009.08</v>
      </c>
      <c r="AD250" s="676">
        <v>683835</v>
      </c>
      <c r="AE250" s="676">
        <v>80210</v>
      </c>
      <c r="AF250" s="676">
        <v>319745</v>
      </c>
      <c r="AG250" s="676">
        <v>23719</v>
      </c>
      <c r="AH250" s="676">
        <v>34724</v>
      </c>
      <c r="AI250" s="676">
        <v>9572</v>
      </c>
      <c r="AJ250" s="676">
        <v>2220</v>
      </c>
      <c r="AK250" s="676">
        <v>2384560</v>
      </c>
      <c r="AL250" s="676">
        <v>5624</v>
      </c>
      <c r="AM250" s="676">
        <v>3660511</v>
      </c>
      <c r="AN250" s="676"/>
      <c r="AO250" s="676">
        <v>7809324</v>
      </c>
      <c r="AP250" s="676">
        <v>525243</v>
      </c>
      <c r="AQ250" s="676">
        <v>1607416</v>
      </c>
      <c r="AR250" s="676">
        <v>524232</v>
      </c>
      <c r="AS250" s="676">
        <v>375960</v>
      </c>
      <c r="AT250" s="676">
        <v>1407533.96</v>
      </c>
      <c r="AU250" s="676">
        <v>501973</v>
      </c>
      <c r="AV250" s="676">
        <v>248101</v>
      </c>
      <c r="AW250" s="676">
        <v>24748</v>
      </c>
      <c r="AX250" s="676">
        <v>702</v>
      </c>
      <c r="AY250" s="676"/>
      <c r="AZ250" s="676">
        <v>22248</v>
      </c>
      <c r="BA250" s="676"/>
      <c r="BB250" s="676">
        <v>79915</v>
      </c>
      <c r="BC250" s="676">
        <v>156746</v>
      </c>
      <c r="BD250" s="676">
        <v>1167675</v>
      </c>
      <c r="BE250" s="676">
        <v>0</v>
      </c>
      <c r="BF250" s="676"/>
      <c r="BG250" s="676">
        <v>333743000</v>
      </c>
      <c r="BH250" s="676"/>
      <c r="BI250" s="676">
        <v>3622965</v>
      </c>
      <c r="BJ250" s="676">
        <v>676369</v>
      </c>
      <c r="BK250" s="676">
        <v>17558</v>
      </c>
      <c r="BL250" s="676">
        <v>16041</v>
      </c>
      <c r="BM250" s="676"/>
      <c r="BN250" s="676">
        <v>748251</v>
      </c>
      <c r="BO250" s="676">
        <v>4985</v>
      </c>
      <c r="BP250" s="676">
        <v>2166</v>
      </c>
      <c r="BQ250" s="676">
        <v>56481</v>
      </c>
      <c r="BR250" s="676">
        <v>13239</v>
      </c>
      <c r="BS250" s="676">
        <v>1584796</v>
      </c>
      <c r="BT250" s="676">
        <v>1293234</v>
      </c>
      <c r="BU250" s="676">
        <v>131</v>
      </c>
      <c r="BV250" s="676"/>
      <c r="BW250" s="676">
        <v>780206</v>
      </c>
      <c r="BX250" s="676">
        <v>93319</v>
      </c>
      <c r="BY250" s="676">
        <v>363743</v>
      </c>
      <c r="BZ250" s="676"/>
      <c r="CA250" s="676">
        <v>228608.25</v>
      </c>
      <c r="CB250" s="676">
        <v>1189727.46</v>
      </c>
      <c r="CC250" s="676">
        <v>49000</v>
      </c>
      <c r="CD250" s="676">
        <v>15573</v>
      </c>
      <c r="CE250" s="676">
        <v>1654000</v>
      </c>
      <c r="CF250" s="676"/>
      <c r="CG250" s="676">
        <v>10090000</v>
      </c>
    </row>
    <row r="251" spans="1:85" x14ac:dyDescent="0.25">
      <c r="A251" s="320" t="s">
        <v>950</v>
      </c>
      <c r="B251" s="320" t="s">
        <v>951</v>
      </c>
      <c r="C251" s="320"/>
      <c r="D251" s="320" t="s">
        <v>952</v>
      </c>
      <c r="E251" s="320">
        <v>2016</v>
      </c>
      <c r="F251" s="404"/>
      <c r="G251" s="676">
        <v>26015</v>
      </c>
      <c r="H251" s="676"/>
      <c r="I251" s="676"/>
      <c r="J251" s="676"/>
      <c r="K251" s="676">
        <v>106274</v>
      </c>
      <c r="L251" s="676"/>
      <c r="M251" s="676">
        <v>1768377</v>
      </c>
      <c r="N251" s="676"/>
      <c r="O251" s="676"/>
      <c r="P251" s="676"/>
      <c r="Q251" s="676"/>
      <c r="R251" s="676">
        <v>13319</v>
      </c>
      <c r="S251" s="676"/>
      <c r="T251" s="676"/>
      <c r="U251" s="676"/>
      <c r="V251" s="676"/>
      <c r="W251" s="676"/>
      <c r="X251" s="676">
        <v>0</v>
      </c>
      <c r="Y251" s="676"/>
      <c r="Z251" s="676">
        <v>0</v>
      </c>
      <c r="AA251" s="676">
        <v>84269</v>
      </c>
      <c r="AB251" s="676">
        <v>9733002</v>
      </c>
      <c r="AC251" s="676">
        <v>0</v>
      </c>
      <c r="AD251" s="676">
        <v>194331</v>
      </c>
      <c r="AE251" s="676"/>
      <c r="AF251" s="676"/>
      <c r="AG251" s="676"/>
      <c r="AH251" s="676"/>
      <c r="AI251" s="676"/>
      <c r="AJ251" s="676"/>
      <c r="AK251" s="676"/>
      <c r="AL251" s="676">
        <v>28388</v>
      </c>
      <c r="AM251" s="676">
        <v>2857184</v>
      </c>
      <c r="AN251" s="676"/>
      <c r="AO251" s="676"/>
      <c r="AP251" s="676"/>
      <c r="AQ251" s="676"/>
      <c r="AR251" s="676"/>
      <c r="AS251" s="676"/>
      <c r="AT251" s="676">
        <v>0</v>
      </c>
      <c r="AU251" s="676"/>
      <c r="AV251" s="676"/>
      <c r="AW251" s="676"/>
      <c r="AX251" s="676"/>
      <c r="AY251" s="676"/>
      <c r="AZ251" s="676">
        <v>0</v>
      </c>
      <c r="BA251" s="676"/>
      <c r="BB251" s="676"/>
      <c r="BC251" s="676"/>
      <c r="BD251" s="676"/>
      <c r="BE251" s="676">
        <v>0</v>
      </c>
      <c r="BF251" s="676"/>
      <c r="BG251" s="676"/>
      <c r="BH251" s="676"/>
      <c r="BI251" s="676"/>
      <c r="BJ251" s="676"/>
      <c r="BK251" s="676"/>
      <c r="BL251" s="676"/>
      <c r="BM251" s="676"/>
      <c r="BN251" s="676">
        <v>0</v>
      </c>
      <c r="BO251" s="676"/>
      <c r="BP251" s="676"/>
      <c r="BQ251" s="676"/>
      <c r="BR251" s="676">
        <v>25466</v>
      </c>
      <c r="BS251" s="676"/>
      <c r="BT251" s="676"/>
      <c r="BU251" s="676"/>
      <c r="BV251" s="676"/>
      <c r="BW251" s="676"/>
      <c r="BX251" s="676">
        <v>225253</v>
      </c>
      <c r="BY251" s="676"/>
      <c r="BZ251" s="676"/>
      <c r="CA251" s="676"/>
      <c r="CB251" s="676"/>
      <c r="CC251" s="676"/>
      <c r="CD251" s="676"/>
      <c r="CE251" s="676"/>
      <c r="CF251" s="676"/>
      <c r="CG251" s="676"/>
    </row>
    <row r="252" spans="1:85" x14ac:dyDescent="0.25">
      <c r="A252" s="320" t="s">
        <v>953</v>
      </c>
      <c r="B252" s="320" t="s">
        <v>954</v>
      </c>
      <c r="C252" s="320"/>
      <c r="D252" s="320" t="s">
        <v>955</v>
      </c>
      <c r="E252" s="320">
        <v>2016</v>
      </c>
      <c r="F252" s="404"/>
      <c r="G252" s="676"/>
      <c r="H252" s="676"/>
      <c r="I252" s="676"/>
      <c r="J252" s="676"/>
      <c r="K252" s="676"/>
      <c r="L252" s="676"/>
      <c r="M252" s="676"/>
      <c r="N252" s="676"/>
      <c r="O252" s="676"/>
      <c r="P252" s="676"/>
      <c r="Q252" s="676"/>
      <c r="R252" s="676">
        <v>95238</v>
      </c>
      <c r="S252" s="676"/>
      <c r="T252" s="676"/>
      <c r="U252" s="676"/>
      <c r="V252" s="676"/>
      <c r="W252" s="676"/>
      <c r="X252" s="676">
        <v>0</v>
      </c>
      <c r="Y252" s="676"/>
      <c r="Z252" s="676">
        <v>0</v>
      </c>
      <c r="AA252" s="676">
        <v>366298</v>
      </c>
      <c r="AB252" s="676">
        <v>11808086</v>
      </c>
      <c r="AC252" s="676">
        <v>0</v>
      </c>
      <c r="AD252" s="676"/>
      <c r="AE252" s="676"/>
      <c r="AF252" s="676"/>
      <c r="AG252" s="676"/>
      <c r="AH252" s="676"/>
      <c r="AI252" s="676"/>
      <c r="AJ252" s="676"/>
      <c r="AK252" s="676">
        <v>21398</v>
      </c>
      <c r="AL252" s="676"/>
      <c r="AM252" s="676">
        <v>461346</v>
      </c>
      <c r="AN252" s="676"/>
      <c r="AO252" s="676"/>
      <c r="AP252" s="676"/>
      <c r="AQ252" s="676"/>
      <c r="AR252" s="676"/>
      <c r="AS252" s="676"/>
      <c r="AT252" s="676">
        <v>0</v>
      </c>
      <c r="AU252" s="676"/>
      <c r="AV252" s="676"/>
      <c r="AW252" s="676">
        <v>9239</v>
      </c>
      <c r="AX252" s="676"/>
      <c r="AY252" s="676"/>
      <c r="AZ252" s="676">
        <v>0</v>
      </c>
      <c r="BA252" s="676"/>
      <c r="BB252" s="676"/>
      <c r="BC252" s="676"/>
      <c r="BD252" s="676"/>
      <c r="BE252" s="676">
        <v>0</v>
      </c>
      <c r="BF252" s="676"/>
      <c r="BG252" s="676"/>
      <c r="BH252" s="676"/>
      <c r="BI252" s="676">
        <v>208788</v>
      </c>
      <c r="BJ252" s="676"/>
      <c r="BK252" s="676"/>
      <c r="BL252" s="676"/>
      <c r="BM252" s="676"/>
      <c r="BN252" s="676">
        <v>0</v>
      </c>
      <c r="BO252" s="676"/>
      <c r="BP252" s="676"/>
      <c r="BQ252" s="676"/>
      <c r="BR252" s="676"/>
      <c r="BS252" s="676"/>
      <c r="BT252" s="676"/>
      <c r="BU252" s="676"/>
      <c r="BV252" s="676"/>
      <c r="BW252" s="676"/>
      <c r="BX252" s="676">
        <v>378878</v>
      </c>
      <c r="BY252" s="676"/>
      <c r="BZ252" s="676"/>
      <c r="CA252" s="676"/>
      <c r="CB252" s="676"/>
      <c r="CC252" s="676"/>
      <c r="CD252" s="676"/>
      <c r="CE252" s="676">
        <v>6322000</v>
      </c>
      <c r="CF252" s="676"/>
      <c r="CG252" s="676"/>
    </row>
    <row r="253" spans="1:85" x14ac:dyDescent="0.25">
      <c r="A253" s="320" t="s">
        <v>956</v>
      </c>
      <c r="B253" s="320" t="s">
        <v>957</v>
      </c>
      <c r="C253" s="320"/>
      <c r="D253" s="320" t="s">
        <v>958</v>
      </c>
      <c r="E253" s="320">
        <v>2016</v>
      </c>
      <c r="F253" s="404"/>
      <c r="G253" s="676"/>
      <c r="H253" s="676"/>
      <c r="I253" s="676"/>
      <c r="J253" s="676"/>
      <c r="K253" s="676">
        <v>3</v>
      </c>
      <c r="L253" s="676"/>
      <c r="M253" s="676"/>
      <c r="N253" s="676"/>
      <c r="O253" s="676"/>
      <c r="P253" s="676"/>
      <c r="Q253" s="676"/>
      <c r="R253" s="676"/>
      <c r="S253" s="676"/>
      <c r="T253" s="676"/>
      <c r="U253" s="676"/>
      <c r="V253" s="676"/>
      <c r="W253" s="676"/>
      <c r="X253" s="676">
        <v>0</v>
      </c>
      <c r="Y253" s="676"/>
      <c r="Z253" s="676">
        <v>0</v>
      </c>
      <c r="AA253" s="676">
        <v>262335</v>
      </c>
      <c r="AB253" s="676">
        <v>336818</v>
      </c>
      <c r="AC253" s="676">
        <v>0</v>
      </c>
      <c r="AD253" s="676"/>
      <c r="AE253" s="676">
        <v>3082</v>
      </c>
      <c r="AF253" s="676">
        <v>4561</v>
      </c>
      <c r="AG253" s="676"/>
      <c r="AH253" s="676"/>
      <c r="AI253" s="676"/>
      <c r="AJ253" s="676"/>
      <c r="AK253" s="676"/>
      <c r="AL253" s="676"/>
      <c r="AM253" s="676"/>
      <c r="AN253" s="676"/>
      <c r="AO253" s="676"/>
      <c r="AP253" s="676"/>
      <c r="AQ253" s="676"/>
      <c r="AR253" s="676"/>
      <c r="AS253" s="676"/>
      <c r="AT253" s="676">
        <v>0</v>
      </c>
      <c r="AU253" s="676"/>
      <c r="AV253" s="676"/>
      <c r="AW253" s="676"/>
      <c r="AX253" s="676"/>
      <c r="AY253" s="676"/>
      <c r="AZ253" s="676">
        <v>33</v>
      </c>
      <c r="BA253" s="676"/>
      <c r="BB253" s="676"/>
      <c r="BC253" s="676"/>
      <c r="BD253" s="676"/>
      <c r="BE253" s="676">
        <v>0</v>
      </c>
      <c r="BF253" s="676"/>
      <c r="BG253" s="676"/>
      <c r="BH253" s="676"/>
      <c r="BI253" s="676">
        <v>1684</v>
      </c>
      <c r="BJ253" s="676"/>
      <c r="BK253" s="676"/>
      <c r="BL253" s="676"/>
      <c r="BM253" s="676"/>
      <c r="BN253" s="676">
        <v>0</v>
      </c>
      <c r="BO253" s="676"/>
      <c r="BP253" s="676"/>
      <c r="BQ253" s="676"/>
      <c r="BR253" s="676"/>
      <c r="BS253" s="676"/>
      <c r="BT253" s="676"/>
      <c r="BU253" s="676"/>
      <c r="BV253" s="676"/>
      <c r="BW253" s="676"/>
      <c r="BX253" s="676">
        <v>11357</v>
      </c>
      <c r="BY253" s="676"/>
      <c r="BZ253" s="676"/>
      <c r="CA253" s="676"/>
      <c r="CB253" s="676"/>
      <c r="CC253" s="676"/>
      <c r="CD253" s="676"/>
      <c r="CE253" s="676"/>
      <c r="CF253" s="676"/>
      <c r="CG253" s="676"/>
    </row>
    <row r="254" spans="1:85" x14ac:dyDescent="0.25">
      <c r="A254" s="320" t="s">
        <v>959</v>
      </c>
      <c r="B254" s="320" t="s">
        <v>960</v>
      </c>
      <c r="C254" s="320"/>
      <c r="D254" s="320" t="s">
        <v>961</v>
      </c>
      <c r="E254" s="320">
        <v>2016</v>
      </c>
      <c r="F254" s="404"/>
      <c r="G254" s="676"/>
      <c r="H254" s="676"/>
      <c r="I254" s="676"/>
      <c r="J254" s="676">
        <v>50060</v>
      </c>
      <c r="K254" s="676"/>
      <c r="L254" s="676"/>
      <c r="M254" s="676">
        <v>6450</v>
      </c>
      <c r="N254" s="676">
        <v>2159056</v>
      </c>
      <c r="O254" s="676"/>
      <c r="P254" s="676"/>
      <c r="Q254" s="676"/>
      <c r="R254" s="676">
        <v>41</v>
      </c>
      <c r="S254" s="676"/>
      <c r="T254" s="676"/>
      <c r="U254" s="676"/>
      <c r="V254" s="676">
        <v>7022</v>
      </c>
      <c r="W254" s="676">
        <v>20120</v>
      </c>
      <c r="X254" s="676">
        <v>0</v>
      </c>
      <c r="Y254" s="676">
        <v>190013</v>
      </c>
      <c r="Z254" s="676">
        <v>0</v>
      </c>
      <c r="AA254" s="676"/>
      <c r="AB254" s="676">
        <v>8231</v>
      </c>
      <c r="AC254" s="676">
        <v>0</v>
      </c>
      <c r="AD254" s="676"/>
      <c r="AE254" s="676">
        <v>115666</v>
      </c>
      <c r="AF254" s="676">
        <v>742</v>
      </c>
      <c r="AG254" s="676">
        <v>2641</v>
      </c>
      <c r="AH254" s="676">
        <v>38460</v>
      </c>
      <c r="AI254" s="676">
        <v>7788</v>
      </c>
      <c r="AJ254" s="676">
        <v>7482</v>
      </c>
      <c r="AK254" s="676"/>
      <c r="AL254" s="676"/>
      <c r="AM254" s="676">
        <v>1021461</v>
      </c>
      <c r="AN254" s="676"/>
      <c r="AO254" s="676">
        <v>110781</v>
      </c>
      <c r="AP254" s="676">
        <v>8864</v>
      </c>
      <c r="AQ254" s="676">
        <v>190853</v>
      </c>
      <c r="AR254" s="676"/>
      <c r="AS254" s="676"/>
      <c r="AT254" s="676">
        <v>0</v>
      </c>
      <c r="AU254" s="676"/>
      <c r="AV254" s="676"/>
      <c r="AW254" s="676">
        <v>174032</v>
      </c>
      <c r="AX254" s="676">
        <v>26807</v>
      </c>
      <c r="AY254" s="676"/>
      <c r="AZ254" s="676">
        <v>0</v>
      </c>
      <c r="BA254" s="676"/>
      <c r="BB254" s="676"/>
      <c r="BC254" s="676">
        <v>15630</v>
      </c>
      <c r="BD254" s="676"/>
      <c r="BE254" s="676">
        <v>0</v>
      </c>
      <c r="BF254" s="676"/>
      <c r="BG254" s="676"/>
      <c r="BH254" s="676"/>
      <c r="BI254" s="676">
        <v>1607</v>
      </c>
      <c r="BJ254" s="676"/>
      <c r="BK254" s="676">
        <v>18011</v>
      </c>
      <c r="BL254" s="676"/>
      <c r="BM254" s="676"/>
      <c r="BN254" s="676">
        <v>128403</v>
      </c>
      <c r="BO254" s="676"/>
      <c r="BP254" s="676"/>
      <c r="BQ254" s="676"/>
      <c r="BR254" s="676"/>
      <c r="BS254" s="676"/>
      <c r="BT254" s="676">
        <v>3296</v>
      </c>
      <c r="BU254" s="676">
        <v>581807</v>
      </c>
      <c r="BV254" s="676"/>
      <c r="BW254" s="676"/>
      <c r="BX254" s="676">
        <v>2772</v>
      </c>
      <c r="BY254" s="676">
        <v>110641</v>
      </c>
      <c r="BZ254" s="676"/>
      <c r="CA254" s="676">
        <v>192311.49</v>
      </c>
      <c r="CB254" s="676">
        <v>171877.64</v>
      </c>
      <c r="CC254" s="676"/>
      <c r="CD254" s="676"/>
      <c r="CE254" s="676">
        <v>509000</v>
      </c>
      <c r="CF254" s="676"/>
      <c r="CG254" s="676"/>
    </row>
    <row r="255" spans="1:85" x14ac:dyDescent="0.25">
      <c r="A255" s="320" t="s">
        <v>962</v>
      </c>
      <c r="B255" s="320" t="s">
        <v>963</v>
      </c>
      <c r="C255" s="320"/>
      <c r="D255" s="320" t="s">
        <v>964</v>
      </c>
      <c r="E255" s="320">
        <v>2016</v>
      </c>
      <c r="F255" s="404"/>
      <c r="G255" s="676"/>
      <c r="H255" s="676"/>
      <c r="I255" s="676"/>
      <c r="J255" s="676"/>
      <c r="K255" s="676"/>
      <c r="L255" s="676"/>
      <c r="M255" s="676"/>
      <c r="N255" s="676"/>
      <c r="O255" s="676"/>
      <c r="P255" s="676"/>
      <c r="Q255" s="676"/>
      <c r="R255" s="676"/>
      <c r="S255" s="676"/>
      <c r="T255" s="676"/>
      <c r="U255" s="676"/>
      <c r="V255" s="676"/>
      <c r="W255" s="676"/>
      <c r="X255" s="676">
        <v>0</v>
      </c>
      <c r="Y255" s="676"/>
      <c r="Z255" s="676">
        <v>0</v>
      </c>
      <c r="AA255" s="676"/>
      <c r="AB255" s="676">
        <v>78767</v>
      </c>
      <c r="AC255" s="676">
        <v>0</v>
      </c>
      <c r="AD255" s="676">
        <v>45254</v>
      </c>
      <c r="AE255" s="676"/>
      <c r="AF255" s="676"/>
      <c r="AG255" s="676"/>
      <c r="AH255" s="676"/>
      <c r="AI255" s="676"/>
      <c r="AJ255" s="676"/>
      <c r="AK255" s="676">
        <v>110583</v>
      </c>
      <c r="AL255" s="676"/>
      <c r="AM255" s="676">
        <v>1789288</v>
      </c>
      <c r="AN255" s="676"/>
      <c r="AO255" s="676"/>
      <c r="AP255" s="676"/>
      <c r="AQ255" s="676"/>
      <c r="AR255" s="676"/>
      <c r="AS255" s="676">
        <v>629</v>
      </c>
      <c r="AT255" s="676">
        <v>0</v>
      </c>
      <c r="AU255" s="676"/>
      <c r="AV255" s="676"/>
      <c r="AW255" s="676"/>
      <c r="AX255" s="676"/>
      <c r="AY255" s="676"/>
      <c r="AZ255" s="676">
        <v>838</v>
      </c>
      <c r="BA255" s="676"/>
      <c r="BB255" s="676"/>
      <c r="BC255" s="676"/>
      <c r="BD255" s="676"/>
      <c r="BE255" s="676">
        <v>0</v>
      </c>
      <c r="BF255" s="676"/>
      <c r="BG255" s="676">
        <v>21253000</v>
      </c>
      <c r="BH255" s="676"/>
      <c r="BI255" s="676">
        <v>1175</v>
      </c>
      <c r="BJ255" s="676"/>
      <c r="BK255" s="676"/>
      <c r="BL255" s="676"/>
      <c r="BM255" s="676"/>
      <c r="BN255" s="676">
        <v>0</v>
      </c>
      <c r="BO255" s="676"/>
      <c r="BP255" s="676"/>
      <c r="BQ255" s="676"/>
      <c r="BR255" s="676"/>
      <c r="BS255" s="676"/>
      <c r="BT255" s="676"/>
      <c r="BU255" s="676"/>
      <c r="BV255" s="676"/>
      <c r="BW255" s="676"/>
      <c r="BX255" s="676">
        <v>5837</v>
      </c>
      <c r="BY255" s="676"/>
      <c r="BZ255" s="676"/>
      <c r="CA255" s="676"/>
      <c r="CB255" s="676">
        <v>18</v>
      </c>
      <c r="CC255" s="676"/>
      <c r="CD255" s="676"/>
      <c r="CE255" s="676"/>
      <c r="CF255" s="676"/>
      <c r="CG255" s="676"/>
    </row>
    <row r="256" spans="1:85" x14ac:dyDescent="0.25">
      <c r="A256" s="320" t="s">
        <v>965</v>
      </c>
      <c r="B256" s="320" t="s">
        <v>1360</v>
      </c>
      <c r="C256" s="320" t="s">
        <v>1361</v>
      </c>
      <c r="D256" s="320" t="s">
        <v>966</v>
      </c>
      <c r="E256" s="320">
        <v>2016</v>
      </c>
      <c r="F256" s="404"/>
      <c r="G256" s="676"/>
      <c r="H256" s="676"/>
      <c r="I256" s="676"/>
      <c r="J256" s="676">
        <v>34813</v>
      </c>
      <c r="K256" s="676"/>
      <c r="L256" s="676">
        <v>66</v>
      </c>
      <c r="M256" s="676"/>
      <c r="N256" s="676">
        <v>236323</v>
      </c>
      <c r="O256" s="676"/>
      <c r="P256" s="676">
        <v>135215</v>
      </c>
      <c r="Q256" s="676"/>
      <c r="R256" s="676">
        <v>106942</v>
      </c>
      <c r="S256" s="676">
        <v>70350</v>
      </c>
      <c r="T256" s="676"/>
      <c r="U256" s="676"/>
      <c r="V256" s="676">
        <v>138068</v>
      </c>
      <c r="W256" s="676"/>
      <c r="X256" s="676">
        <v>0</v>
      </c>
      <c r="Y256" s="676">
        <v>345896</v>
      </c>
      <c r="Z256" s="676">
        <v>3938914.78</v>
      </c>
      <c r="AA256" s="676">
        <v>46146</v>
      </c>
      <c r="AB256" s="676"/>
      <c r="AC256" s="676">
        <v>18807.43</v>
      </c>
      <c r="AD256" s="676">
        <v>2400</v>
      </c>
      <c r="AE256" s="676">
        <v>567383</v>
      </c>
      <c r="AF256" s="676"/>
      <c r="AG256" s="676"/>
      <c r="AH256" s="676"/>
      <c r="AI256" s="676"/>
      <c r="AJ256" s="676"/>
      <c r="AK256" s="676">
        <v>3594</v>
      </c>
      <c r="AL256" s="676">
        <v>77980</v>
      </c>
      <c r="AM256" s="676">
        <v>1710</v>
      </c>
      <c r="AN256" s="676"/>
      <c r="AO256" s="676">
        <v>0</v>
      </c>
      <c r="AP256" s="676">
        <v>163588</v>
      </c>
      <c r="AQ256" s="676">
        <v>1629</v>
      </c>
      <c r="AR256" s="676">
        <v>243149</v>
      </c>
      <c r="AS256" s="676">
        <v>152273</v>
      </c>
      <c r="AT256" s="676">
        <v>0</v>
      </c>
      <c r="AU256" s="676">
        <v>5792</v>
      </c>
      <c r="AV256" s="676">
        <v>11409</v>
      </c>
      <c r="AW256" s="676"/>
      <c r="AX256" s="676">
        <v>1660892</v>
      </c>
      <c r="AY256" s="676">
        <v>201098</v>
      </c>
      <c r="AZ256" s="676">
        <v>0</v>
      </c>
      <c r="BA256" s="676"/>
      <c r="BB256" s="676"/>
      <c r="BC256" s="676">
        <v>12000000</v>
      </c>
      <c r="BD256" s="676">
        <v>662589</v>
      </c>
      <c r="BE256" s="676">
        <v>0</v>
      </c>
      <c r="BF256" s="676">
        <v>455000</v>
      </c>
      <c r="BG256" s="676">
        <v>1144835000</v>
      </c>
      <c r="BH256" s="676"/>
      <c r="BI256" s="676">
        <v>14923</v>
      </c>
      <c r="BJ256" s="676">
        <v>799</v>
      </c>
      <c r="BK256" s="676">
        <v>24423</v>
      </c>
      <c r="BL256" s="676"/>
      <c r="BM256" s="676">
        <v>1310000</v>
      </c>
      <c r="BN256" s="676">
        <v>0</v>
      </c>
      <c r="BO256" s="676"/>
      <c r="BP256" s="676">
        <v>13651</v>
      </c>
      <c r="BQ256" s="676">
        <v>170335</v>
      </c>
      <c r="BR256" s="676"/>
      <c r="BS256" s="676">
        <v>3864269</v>
      </c>
      <c r="BT256" s="676"/>
      <c r="BU256" s="676">
        <v>22200</v>
      </c>
      <c r="BV256" s="676">
        <v>6168</v>
      </c>
      <c r="BW256" s="676">
        <v>9787613</v>
      </c>
      <c r="BX256" s="676"/>
      <c r="BY256" s="676">
        <v>25350</v>
      </c>
      <c r="BZ256" s="676">
        <v>1307000</v>
      </c>
      <c r="CA256" s="676"/>
      <c r="CB256" s="676"/>
      <c r="CC256" s="676"/>
      <c r="CD256" s="676"/>
      <c r="CE256" s="676">
        <v>62464000</v>
      </c>
      <c r="CF256" s="676"/>
      <c r="CG256" s="676">
        <v>805000</v>
      </c>
    </row>
    <row r="257" spans="1:85" x14ac:dyDescent="0.25">
      <c r="A257" s="320" t="s">
        <v>967</v>
      </c>
      <c r="B257" s="320" t="s">
        <v>1362</v>
      </c>
      <c r="C257" s="320" t="s">
        <v>1363</v>
      </c>
      <c r="D257" s="320" t="s">
        <v>968</v>
      </c>
      <c r="E257" s="320">
        <v>2016</v>
      </c>
      <c r="F257" s="404"/>
      <c r="G257" s="676"/>
      <c r="H257" s="676"/>
      <c r="I257" s="676"/>
      <c r="J257" s="676"/>
      <c r="K257" s="676"/>
      <c r="L257" s="676">
        <v>66</v>
      </c>
      <c r="M257" s="676"/>
      <c r="N257" s="676"/>
      <c r="O257" s="676"/>
      <c r="P257" s="676"/>
      <c r="Q257" s="676"/>
      <c r="R257" s="676">
        <v>106942</v>
      </c>
      <c r="S257" s="676"/>
      <c r="T257" s="676"/>
      <c r="U257" s="676"/>
      <c r="V257" s="676">
        <v>50000</v>
      </c>
      <c r="W257" s="676"/>
      <c r="X257" s="676">
        <v>0</v>
      </c>
      <c r="Y257" s="676"/>
      <c r="Z257" s="676">
        <v>0</v>
      </c>
      <c r="AA257" s="676">
        <v>33695</v>
      </c>
      <c r="AB257" s="676"/>
      <c r="AC257" s="676">
        <v>0</v>
      </c>
      <c r="AD257" s="676"/>
      <c r="AE257" s="676"/>
      <c r="AF257" s="676"/>
      <c r="AG257" s="676"/>
      <c r="AH257" s="676"/>
      <c r="AI257" s="676"/>
      <c r="AJ257" s="676"/>
      <c r="AK257" s="676">
        <v>3594</v>
      </c>
      <c r="AL257" s="676">
        <v>16093</v>
      </c>
      <c r="AM257" s="676">
        <v>1710</v>
      </c>
      <c r="AN257" s="676"/>
      <c r="AO257" s="676">
        <v>0</v>
      </c>
      <c r="AP257" s="676"/>
      <c r="AQ257" s="676">
        <v>1629</v>
      </c>
      <c r="AR257" s="676"/>
      <c r="AS257" s="676"/>
      <c r="AT257" s="676">
        <v>0</v>
      </c>
      <c r="AU257" s="676"/>
      <c r="AV257" s="676"/>
      <c r="AW257" s="676"/>
      <c r="AX257" s="676">
        <v>1317323</v>
      </c>
      <c r="AY257" s="676">
        <v>52758</v>
      </c>
      <c r="AZ257" s="676">
        <v>0</v>
      </c>
      <c r="BA257" s="676"/>
      <c r="BB257" s="676"/>
      <c r="BC257" s="676"/>
      <c r="BD257" s="676"/>
      <c r="BE257" s="676">
        <v>0</v>
      </c>
      <c r="BF257" s="676"/>
      <c r="BG257" s="676"/>
      <c r="BH257" s="676"/>
      <c r="BI257" s="676">
        <v>14923</v>
      </c>
      <c r="BJ257" s="676">
        <v>799</v>
      </c>
      <c r="BK257" s="676"/>
      <c r="BL257" s="676"/>
      <c r="BM257" s="676"/>
      <c r="BN257" s="676">
        <v>0</v>
      </c>
      <c r="BO257" s="676"/>
      <c r="BP257" s="676"/>
      <c r="BQ257" s="676">
        <v>170335</v>
      </c>
      <c r="BR257" s="676"/>
      <c r="BS257" s="676">
        <v>33</v>
      </c>
      <c r="BT257" s="676"/>
      <c r="BU257" s="676">
        <v>22200</v>
      </c>
      <c r="BV257" s="676"/>
      <c r="BW257" s="676">
        <v>680</v>
      </c>
      <c r="BX257" s="676"/>
      <c r="BY257" s="676"/>
      <c r="BZ257" s="676"/>
      <c r="CA257" s="676"/>
      <c r="CB257" s="676"/>
      <c r="CC257" s="676"/>
      <c r="CD257" s="676"/>
      <c r="CE257" s="676">
        <v>16579000</v>
      </c>
      <c r="CF257" s="676"/>
      <c r="CG257" s="676">
        <v>576000</v>
      </c>
    </row>
    <row r="258" spans="1:85" x14ac:dyDescent="0.25">
      <c r="A258" s="320" t="s">
        <v>969</v>
      </c>
      <c r="B258" s="320" t="s">
        <v>1364</v>
      </c>
      <c r="C258" s="320" t="s">
        <v>1365</v>
      </c>
      <c r="D258" s="320" t="s">
        <v>970</v>
      </c>
      <c r="E258" s="320">
        <v>2016</v>
      </c>
      <c r="F258" s="404"/>
      <c r="G258" s="676"/>
      <c r="H258" s="676"/>
      <c r="I258" s="676"/>
      <c r="J258" s="676"/>
      <c r="K258" s="676"/>
      <c r="L258" s="676"/>
      <c r="M258" s="676"/>
      <c r="N258" s="676"/>
      <c r="O258" s="676"/>
      <c r="P258" s="676"/>
      <c r="Q258" s="676"/>
      <c r="R258" s="676"/>
      <c r="S258" s="676"/>
      <c r="T258" s="676"/>
      <c r="U258" s="676"/>
      <c r="V258" s="676"/>
      <c r="W258" s="676"/>
      <c r="X258" s="676">
        <v>0</v>
      </c>
      <c r="Y258" s="676"/>
      <c r="Z258" s="676">
        <v>0</v>
      </c>
      <c r="AA258" s="676">
        <v>33695</v>
      </c>
      <c r="AB258" s="676"/>
      <c r="AC258" s="676">
        <v>0</v>
      </c>
      <c r="AD258" s="676"/>
      <c r="AE258" s="676"/>
      <c r="AF258" s="676"/>
      <c r="AG258" s="676"/>
      <c r="AH258" s="676"/>
      <c r="AI258" s="676"/>
      <c r="AJ258" s="676"/>
      <c r="AK258" s="676"/>
      <c r="AL258" s="676"/>
      <c r="AM258" s="676"/>
      <c r="AN258" s="676"/>
      <c r="AO258" s="676"/>
      <c r="AP258" s="676"/>
      <c r="AQ258" s="676">
        <v>1129</v>
      </c>
      <c r="AR258" s="676"/>
      <c r="AS258" s="676"/>
      <c r="AT258" s="676">
        <v>0</v>
      </c>
      <c r="AU258" s="676"/>
      <c r="AV258" s="676"/>
      <c r="AW258" s="676"/>
      <c r="AX258" s="676"/>
      <c r="AY258" s="676"/>
      <c r="AZ258" s="676">
        <v>0</v>
      </c>
      <c r="BA258" s="676"/>
      <c r="BB258" s="676"/>
      <c r="BC258" s="676"/>
      <c r="BD258" s="676"/>
      <c r="BE258" s="676">
        <v>0</v>
      </c>
      <c r="BF258" s="676"/>
      <c r="BG258" s="676"/>
      <c r="BH258" s="676"/>
      <c r="BI258" s="676"/>
      <c r="BJ258" s="676"/>
      <c r="BK258" s="676"/>
      <c r="BL258" s="676"/>
      <c r="BM258" s="676"/>
      <c r="BN258" s="676">
        <v>0</v>
      </c>
      <c r="BO258" s="676"/>
      <c r="BP258" s="676"/>
      <c r="BQ258" s="676"/>
      <c r="BR258" s="676"/>
      <c r="BS258" s="676"/>
      <c r="BT258" s="676"/>
      <c r="BU258" s="676"/>
      <c r="BV258" s="676"/>
      <c r="BW258" s="676">
        <v>0</v>
      </c>
      <c r="BX258" s="676"/>
      <c r="BY258" s="676"/>
      <c r="BZ258" s="676"/>
      <c r="CA258" s="676"/>
      <c r="CB258" s="676"/>
      <c r="CC258" s="676"/>
      <c r="CD258" s="676"/>
      <c r="CE258" s="676"/>
      <c r="CF258" s="676"/>
      <c r="CG258" s="676"/>
    </row>
    <row r="259" spans="1:85" x14ac:dyDescent="0.25">
      <c r="A259" s="320" t="s">
        <v>971</v>
      </c>
      <c r="B259" s="320" t="s">
        <v>1366</v>
      </c>
      <c r="C259" s="320" t="s">
        <v>1365</v>
      </c>
      <c r="D259" s="320" t="s">
        <v>972</v>
      </c>
      <c r="E259" s="320">
        <v>2016</v>
      </c>
      <c r="F259" s="404"/>
      <c r="G259" s="676"/>
      <c r="H259" s="676"/>
      <c r="I259" s="676"/>
      <c r="J259" s="676"/>
      <c r="K259" s="676"/>
      <c r="L259" s="676"/>
      <c r="M259" s="676"/>
      <c r="N259" s="676"/>
      <c r="O259" s="676"/>
      <c r="P259" s="676"/>
      <c r="Q259" s="676"/>
      <c r="R259" s="676"/>
      <c r="S259" s="676"/>
      <c r="T259" s="676"/>
      <c r="U259" s="676"/>
      <c r="V259" s="676"/>
      <c r="W259" s="676"/>
      <c r="X259" s="676">
        <v>0</v>
      </c>
      <c r="Y259" s="676"/>
      <c r="Z259" s="676">
        <v>0</v>
      </c>
      <c r="AA259" s="676"/>
      <c r="AB259" s="676"/>
      <c r="AC259" s="676">
        <v>0</v>
      </c>
      <c r="AD259" s="676"/>
      <c r="AE259" s="676"/>
      <c r="AF259" s="676"/>
      <c r="AG259" s="676"/>
      <c r="AH259" s="676"/>
      <c r="AI259" s="676"/>
      <c r="AJ259" s="676"/>
      <c r="AK259" s="676"/>
      <c r="AL259" s="676"/>
      <c r="AM259" s="676"/>
      <c r="AN259" s="676"/>
      <c r="AO259" s="676"/>
      <c r="AP259" s="676"/>
      <c r="AQ259" s="676"/>
      <c r="AR259" s="676"/>
      <c r="AS259" s="676"/>
      <c r="AT259" s="676">
        <v>0</v>
      </c>
      <c r="AU259" s="676"/>
      <c r="AV259" s="676"/>
      <c r="AW259" s="676"/>
      <c r="AX259" s="676"/>
      <c r="AY259" s="676"/>
      <c r="AZ259" s="676">
        <v>0</v>
      </c>
      <c r="BA259" s="676"/>
      <c r="BB259" s="676"/>
      <c r="BC259" s="676"/>
      <c r="BD259" s="676"/>
      <c r="BE259" s="676">
        <v>0</v>
      </c>
      <c r="BF259" s="676"/>
      <c r="BG259" s="676"/>
      <c r="BH259" s="676"/>
      <c r="BI259" s="676"/>
      <c r="BJ259" s="676"/>
      <c r="BK259" s="676"/>
      <c r="BL259" s="676"/>
      <c r="BM259" s="676"/>
      <c r="BN259" s="676">
        <v>0</v>
      </c>
      <c r="BO259" s="676"/>
      <c r="BP259" s="676"/>
      <c r="BQ259" s="676"/>
      <c r="BR259" s="676"/>
      <c r="BS259" s="676"/>
      <c r="BT259" s="676"/>
      <c r="BU259" s="676"/>
      <c r="BV259" s="676"/>
      <c r="BW259" s="676"/>
      <c r="BX259" s="676"/>
      <c r="BY259" s="676"/>
      <c r="BZ259" s="676"/>
      <c r="CA259" s="676"/>
      <c r="CB259" s="676"/>
      <c r="CC259" s="676"/>
      <c r="CD259" s="676"/>
      <c r="CE259" s="676"/>
      <c r="CF259" s="676"/>
      <c r="CG259" s="676"/>
    </row>
    <row r="260" spans="1:85" x14ac:dyDescent="0.25">
      <c r="A260" s="320" t="s">
        <v>973</v>
      </c>
      <c r="B260" s="320" t="s">
        <v>1367</v>
      </c>
      <c r="C260" s="320" t="s">
        <v>1365</v>
      </c>
      <c r="D260" s="320" t="s">
        <v>974</v>
      </c>
      <c r="E260" s="320">
        <v>2016</v>
      </c>
      <c r="F260" s="404"/>
      <c r="G260" s="676"/>
      <c r="H260" s="676"/>
      <c r="I260" s="676"/>
      <c r="J260" s="676"/>
      <c r="K260" s="676"/>
      <c r="L260" s="676">
        <v>66</v>
      </c>
      <c r="M260" s="676"/>
      <c r="N260" s="676"/>
      <c r="O260" s="676"/>
      <c r="P260" s="676"/>
      <c r="Q260" s="676"/>
      <c r="R260" s="676">
        <v>106942</v>
      </c>
      <c r="S260" s="676"/>
      <c r="T260" s="676"/>
      <c r="U260" s="676"/>
      <c r="V260" s="676">
        <v>50000</v>
      </c>
      <c r="W260" s="676"/>
      <c r="X260" s="676">
        <v>0</v>
      </c>
      <c r="Y260" s="676"/>
      <c r="Z260" s="676">
        <v>0</v>
      </c>
      <c r="AA260" s="676"/>
      <c r="AB260" s="676"/>
      <c r="AC260" s="676">
        <v>0</v>
      </c>
      <c r="AD260" s="676"/>
      <c r="AE260" s="676"/>
      <c r="AF260" s="676"/>
      <c r="AG260" s="676"/>
      <c r="AH260" s="676"/>
      <c r="AI260" s="676"/>
      <c r="AJ260" s="676"/>
      <c r="AK260" s="676">
        <v>3594</v>
      </c>
      <c r="AL260" s="676">
        <v>16093</v>
      </c>
      <c r="AM260" s="676">
        <v>1710</v>
      </c>
      <c r="AN260" s="676"/>
      <c r="AO260" s="676"/>
      <c r="AP260" s="676"/>
      <c r="AQ260" s="676">
        <v>500</v>
      </c>
      <c r="AR260" s="676"/>
      <c r="AS260" s="676"/>
      <c r="AT260" s="676">
        <v>0</v>
      </c>
      <c r="AU260" s="676"/>
      <c r="AV260" s="676"/>
      <c r="AW260" s="676"/>
      <c r="AX260" s="676">
        <v>1317323</v>
      </c>
      <c r="AY260" s="676">
        <v>52758</v>
      </c>
      <c r="AZ260" s="676">
        <v>0</v>
      </c>
      <c r="BA260" s="676"/>
      <c r="BB260" s="676"/>
      <c r="BC260" s="676"/>
      <c r="BD260" s="676"/>
      <c r="BE260" s="676">
        <v>0</v>
      </c>
      <c r="BF260" s="676"/>
      <c r="BG260" s="676"/>
      <c r="BH260" s="676"/>
      <c r="BI260" s="676">
        <v>14923</v>
      </c>
      <c r="BJ260" s="676">
        <v>799</v>
      </c>
      <c r="BK260" s="676"/>
      <c r="BL260" s="676"/>
      <c r="BM260" s="676"/>
      <c r="BN260" s="676">
        <v>0</v>
      </c>
      <c r="BO260" s="676"/>
      <c r="BP260" s="676"/>
      <c r="BQ260" s="676">
        <v>170335</v>
      </c>
      <c r="BR260" s="676"/>
      <c r="BS260" s="676">
        <v>33</v>
      </c>
      <c r="BT260" s="676"/>
      <c r="BU260" s="676">
        <v>22200</v>
      </c>
      <c r="BV260" s="676"/>
      <c r="BW260" s="676">
        <v>680</v>
      </c>
      <c r="BX260" s="676"/>
      <c r="BY260" s="676"/>
      <c r="BZ260" s="676"/>
      <c r="CA260" s="676"/>
      <c r="CB260" s="676"/>
      <c r="CC260" s="676"/>
      <c r="CD260" s="676"/>
      <c r="CE260" s="676"/>
      <c r="CF260" s="676"/>
      <c r="CG260" s="676"/>
    </row>
    <row r="261" spans="1:85" x14ac:dyDescent="0.25">
      <c r="A261" s="320" t="s">
        <v>975</v>
      </c>
      <c r="B261" s="320" t="s">
        <v>976</v>
      </c>
      <c r="C261" s="320"/>
      <c r="D261" s="320" t="s">
        <v>977</v>
      </c>
      <c r="E261" s="320">
        <v>2016</v>
      </c>
      <c r="F261" s="404"/>
      <c r="G261" s="676"/>
      <c r="H261" s="676"/>
      <c r="I261" s="676"/>
      <c r="J261" s="676"/>
      <c r="K261" s="676"/>
      <c r="L261" s="676"/>
      <c r="M261" s="676"/>
      <c r="N261" s="676"/>
      <c r="O261" s="676"/>
      <c r="P261" s="676"/>
      <c r="Q261" s="676"/>
      <c r="R261" s="676"/>
      <c r="S261" s="676"/>
      <c r="T261" s="676"/>
      <c r="U261" s="676"/>
      <c r="V261" s="676"/>
      <c r="W261" s="676"/>
      <c r="X261" s="676">
        <v>0</v>
      </c>
      <c r="Y261" s="676"/>
      <c r="Z261" s="676">
        <v>0</v>
      </c>
      <c r="AA261" s="676"/>
      <c r="AB261" s="676"/>
      <c r="AC261" s="676">
        <v>0</v>
      </c>
      <c r="AD261" s="676"/>
      <c r="AE261" s="676"/>
      <c r="AF261" s="676"/>
      <c r="AG261" s="676"/>
      <c r="AH261" s="676"/>
      <c r="AI261" s="676"/>
      <c r="AJ261" s="676"/>
      <c r="AK261" s="676"/>
      <c r="AL261" s="676"/>
      <c r="AM261" s="676"/>
      <c r="AN261" s="676"/>
      <c r="AO261" s="676"/>
      <c r="AP261" s="676"/>
      <c r="AQ261" s="676"/>
      <c r="AR261" s="676"/>
      <c r="AS261" s="676"/>
      <c r="AT261" s="676">
        <v>0</v>
      </c>
      <c r="AU261" s="676"/>
      <c r="AV261" s="676"/>
      <c r="AW261" s="676"/>
      <c r="AX261" s="676"/>
      <c r="AY261" s="676"/>
      <c r="AZ261" s="676">
        <v>0</v>
      </c>
      <c r="BA261" s="676"/>
      <c r="BB261" s="676"/>
      <c r="BC261" s="676"/>
      <c r="BD261" s="676"/>
      <c r="BE261" s="676">
        <v>0</v>
      </c>
      <c r="BF261" s="676"/>
      <c r="BG261" s="676"/>
      <c r="BH261" s="676"/>
      <c r="BI261" s="676"/>
      <c r="BJ261" s="676"/>
      <c r="BK261" s="676"/>
      <c r="BL261" s="676"/>
      <c r="BM261" s="676"/>
      <c r="BN261" s="676">
        <v>0</v>
      </c>
      <c r="BO261" s="676"/>
      <c r="BP261" s="676"/>
      <c r="BQ261" s="676"/>
      <c r="BR261" s="676"/>
      <c r="BS261" s="676"/>
      <c r="BT261" s="676"/>
      <c r="BU261" s="676"/>
      <c r="BV261" s="676"/>
      <c r="BW261" s="676"/>
      <c r="BX261" s="676"/>
      <c r="BY261" s="676"/>
      <c r="BZ261" s="676"/>
      <c r="CA261" s="676"/>
      <c r="CB261" s="676"/>
      <c r="CC261" s="676"/>
      <c r="CD261" s="676"/>
      <c r="CE261" s="676"/>
      <c r="CF261" s="676"/>
      <c r="CG261" s="676"/>
    </row>
    <row r="262" spans="1:85" x14ac:dyDescent="0.25">
      <c r="A262" s="320" t="s">
        <v>978</v>
      </c>
      <c r="B262" s="320" t="s">
        <v>1368</v>
      </c>
      <c r="C262" s="320" t="s">
        <v>1369</v>
      </c>
      <c r="D262" s="320" t="s">
        <v>979</v>
      </c>
      <c r="E262" s="320">
        <v>2016</v>
      </c>
      <c r="F262" s="404"/>
      <c r="G262" s="676"/>
      <c r="H262" s="676"/>
      <c r="I262" s="676"/>
      <c r="J262" s="676"/>
      <c r="K262" s="676"/>
      <c r="L262" s="676"/>
      <c r="M262" s="676"/>
      <c r="N262" s="676"/>
      <c r="O262" s="676"/>
      <c r="P262" s="676"/>
      <c r="Q262" s="676"/>
      <c r="R262" s="676"/>
      <c r="S262" s="676"/>
      <c r="T262" s="676"/>
      <c r="U262" s="676"/>
      <c r="V262" s="676"/>
      <c r="W262" s="676"/>
      <c r="X262" s="676">
        <v>0</v>
      </c>
      <c r="Y262" s="676"/>
      <c r="Z262" s="676">
        <v>0</v>
      </c>
      <c r="AA262" s="676"/>
      <c r="AB262" s="676"/>
      <c r="AC262" s="676">
        <v>0</v>
      </c>
      <c r="AD262" s="676"/>
      <c r="AE262" s="676"/>
      <c r="AF262" s="676"/>
      <c r="AG262" s="676"/>
      <c r="AH262" s="676"/>
      <c r="AI262" s="676"/>
      <c r="AJ262" s="676"/>
      <c r="AK262" s="676"/>
      <c r="AL262" s="676"/>
      <c r="AM262" s="676"/>
      <c r="AN262" s="676"/>
      <c r="AO262" s="676"/>
      <c r="AP262" s="676"/>
      <c r="AQ262" s="676"/>
      <c r="AR262" s="676"/>
      <c r="AS262" s="676"/>
      <c r="AT262" s="676">
        <v>0</v>
      </c>
      <c r="AU262" s="676"/>
      <c r="AV262" s="676"/>
      <c r="AW262" s="676"/>
      <c r="AX262" s="676"/>
      <c r="AY262" s="676"/>
      <c r="AZ262" s="676">
        <v>0</v>
      </c>
      <c r="BA262" s="676"/>
      <c r="BB262" s="676"/>
      <c r="BC262" s="676"/>
      <c r="BD262" s="676"/>
      <c r="BE262" s="676">
        <v>0</v>
      </c>
      <c r="BF262" s="676"/>
      <c r="BG262" s="676"/>
      <c r="BH262" s="676"/>
      <c r="BI262" s="676"/>
      <c r="BJ262" s="676"/>
      <c r="BK262" s="676"/>
      <c r="BL262" s="676"/>
      <c r="BM262" s="676"/>
      <c r="BN262" s="676">
        <v>0</v>
      </c>
      <c r="BO262" s="676"/>
      <c r="BP262" s="676"/>
      <c r="BQ262" s="676"/>
      <c r="BR262" s="676"/>
      <c r="BS262" s="676"/>
      <c r="BT262" s="676"/>
      <c r="BU262" s="676"/>
      <c r="BV262" s="676"/>
      <c r="BW262" s="676"/>
      <c r="BX262" s="676"/>
      <c r="BY262" s="676"/>
      <c r="BZ262" s="676"/>
      <c r="CA262" s="676"/>
      <c r="CB262" s="676"/>
      <c r="CC262" s="676"/>
      <c r="CD262" s="676"/>
      <c r="CE262" s="676"/>
      <c r="CF262" s="676"/>
      <c r="CG262" s="676"/>
    </row>
    <row r="263" spans="1:85" x14ac:dyDescent="0.25">
      <c r="A263" s="320" t="s">
        <v>980</v>
      </c>
      <c r="B263" s="320" t="s">
        <v>1370</v>
      </c>
      <c r="C263" s="320" t="s">
        <v>1369</v>
      </c>
      <c r="D263" s="320" t="s">
        <v>981</v>
      </c>
      <c r="E263" s="320">
        <v>2016</v>
      </c>
      <c r="F263" s="404"/>
      <c r="G263" s="676"/>
      <c r="H263" s="676"/>
      <c r="I263" s="676"/>
      <c r="J263" s="676"/>
      <c r="K263" s="676"/>
      <c r="L263" s="676"/>
      <c r="M263" s="676"/>
      <c r="N263" s="676"/>
      <c r="O263" s="676"/>
      <c r="P263" s="676"/>
      <c r="Q263" s="676"/>
      <c r="R263" s="676"/>
      <c r="S263" s="676"/>
      <c r="T263" s="676"/>
      <c r="U263" s="676"/>
      <c r="V263" s="676"/>
      <c r="W263" s="676"/>
      <c r="X263" s="676">
        <v>0</v>
      </c>
      <c r="Y263" s="676"/>
      <c r="Z263" s="676">
        <v>0</v>
      </c>
      <c r="AA263" s="676"/>
      <c r="AB263" s="676"/>
      <c r="AC263" s="676">
        <v>0</v>
      </c>
      <c r="AD263" s="676"/>
      <c r="AE263" s="676"/>
      <c r="AF263" s="676"/>
      <c r="AG263" s="676"/>
      <c r="AH263" s="676"/>
      <c r="AI263" s="676"/>
      <c r="AJ263" s="676"/>
      <c r="AK263" s="676"/>
      <c r="AL263" s="676"/>
      <c r="AM263" s="676"/>
      <c r="AN263" s="676"/>
      <c r="AO263" s="676"/>
      <c r="AP263" s="676"/>
      <c r="AQ263" s="676"/>
      <c r="AR263" s="676"/>
      <c r="AS263" s="676"/>
      <c r="AT263" s="676">
        <v>0</v>
      </c>
      <c r="AU263" s="676"/>
      <c r="AV263" s="676"/>
      <c r="AW263" s="676"/>
      <c r="AX263" s="676"/>
      <c r="AY263" s="676"/>
      <c r="AZ263" s="676">
        <v>0</v>
      </c>
      <c r="BA263" s="676"/>
      <c r="BB263" s="676"/>
      <c r="BC263" s="676"/>
      <c r="BD263" s="676"/>
      <c r="BE263" s="676">
        <v>0</v>
      </c>
      <c r="BF263" s="676"/>
      <c r="BG263" s="676"/>
      <c r="BH263" s="676"/>
      <c r="BI263" s="676"/>
      <c r="BJ263" s="676"/>
      <c r="BK263" s="676"/>
      <c r="BL263" s="676"/>
      <c r="BM263" s="676"/>
      <c r="BN263" s="676">
        <v>0</v>
      </c>
      <c r="BO263" s="676"/>
      <c r="BP263" s="676"/>
      <c r="BQ263" s="676"/>
      <c r="BR263" s="676"/>
      <c r="BS263" s="676"/>
      <c r="BT263" s="676"/>
      <c r="BU263" s="676"/>
      <c r="BV263" s="676"/>
      <c r="BW263" s="676"/>
      <c r="BX263" s="676"/>
      <c r="BY263" s="676"/>
      <c r="BZ263" s="676"/>
      <c r="CA263" s="676"/>
      <c r="CB263" s="676"/>
      <c r="CC263" s="676"/>
      <c r="CD263" s="676"/>
      <c r="CE263" s="676"/>
      <c r="CF263" s="676"/>
      <c r="CG263" s="676"/>
    </row>
    <row r="264" spans="1:85" x14ac:dyDescent="0.25">
      <c r="A264" s="320" t="s">
        <v>982</v>
      </c>
      <c r="B264" s="320" t="s">
        <v>983</v>
      </c>
      <c r="C264" s="320"/>
      <c r="D264" s="320" t="s">
        <v>984</v>
      </c>
      <c r="E264" s="320">
        <v>2016</v>
      </c>
      <c r="F264" s="404"/>
      <c r="G264" s="676"/>
      <c r="H264" s="676"/>
      <c r="I264" s="676"/>
      <c r="J264" s="676"/>
      <c r="K264" s="676"/>
      <c r="L264" s="676"/>
      <c r="M264" s="676"/>
      <c r="N264" s="676"/>
      <c r="O264" s="676"/>
      <c r="P264" s="676"/>
      <c r="Q264" s="676"/>
      <c r="R264" s="676"/>
      <c r="S264" s="676"/>
      <c r="T264" s="676"/>
      <c r="U264" s="676"/>
      <c r="V264" s="676"/>
      <c r="W264" s="676"/>
      <c r="X264" s="676">
        <v>0</v>
      </c>
      <c r="Y264" s="676"/>
      <c r="Z264" s="676">
        <v>0</v>
      </c>
      <c r="AA264" s="676"/>
      <c r="AB264" s="676"/>
      <c r="AC264" s="676">
        <v>0</v>
      </c>
      <c r="AD264" s="676"/>
      <c r="AE264" s="676"/>
      <c r="AF264" s="676"/>
      <c r="AG264" s="676"/>
      <c r="AH264" s="676"/>
      <c r="AI264" s="676"/>
      <c r="AJ264" s="676"/>
      <c r="AK264" s="676"/>
      <c r="AL264" s="676"/>
      <c r="AM264" s="676"/>
      <c r="AN264" s="676"/>
      <c r="AO264" s="676"/>
      <c r="AP264" s="676"/>
      <c r="AQ264" s="676"/>
      <c r="AR264" s="676"/>
      <c r="AS264" s="676"/>
      <c r="AT264" s="676">
        <v>0</v>
      </c>
      <c r="AU264" s="676"/>
      <c r="AV264" s="676"/>
      <c r="AW264" s="676"/>
      <c r="AX264" s="676"/>
      <c r="AY264" s="676"/>
      <c r="AZ264" s="676">
        <v>0</v>
      </c>
      <c r="BA264" s="676"/>
      <c r="BB264" s="676"/>
      <c r="BC264" s="676"/>
      <c r="BD264" s="676"/>
      <c r="BE264" s="676">
        <v>0</v>
      </c>
      <c r="BF264" s="676"/>
      <c r="BG264" s="676"/>
      <c r="BH264" s="676"/>
      <c r="BI264" s="676"/>
      <c r="BJ264" s="676"/>
      <c r="BK264" s="676"/>
      <c r="BL264" s="676"/>
      <c r="BM264" s="676"/>
      <c r="BN264" s="676">
        <v>0</v>
      </c>
      <c r="BO264" s="676"/>
      <c r="BP264" s="676"/>
      <c r="BQ264" s="676"/>
      <c r="BR264" s="676"/>
      <c r="BS264" s="676"/>
      <c r="BT264" s="676"/>
      <c r="BU264" s="676"/>
      <c r="BV264" s="676"/>
      <c r="BW264" s="676"/>
      <c r="BX264" s="676"/>
      <c r="BY264" s="676"/>
      <c r="BZ264" s="676"/>
      <c r="CA264" s="676"/>
      <c r="CB264" s="676"/>
      <c r="CC264" s="676"/>
      <c r="CD264" s="676"/>
      <c r="CE264" s="676"/>
      <c r="CF264" s="676"/>
      <c r="CG264" s="676"/>
    </row>
    <row r="265" spans="1:85" x14ac:dyDescent="0.25">
      <c r="A265" s="320" t="s">
        <v>985</v>
      </c>
      <c r="B265" s="320" t="s">
        <v>1018</v>
      </c>
      <c r="C265" s="320" t="s">
        <v>1371</v>
      </c>
      <c r="D265" s="320" t="s">
        <v>986</v>
      </c>
      <c r="E265" s="320">
        <v>2016</v>
      </c>
      <c r="F265" s="404"/>
      <c r="G265" s="676"/>
      <c r="H265" s="676"/>
      <c r="I265" s="676"/>
      <c r="J265" s="676"/>
      <c r="K265" s="676"/>
      <c r="L265" s="676"/>
      <c r="M265" s="676"/>
      <c r="N265" s="676"/>
      <c r="O265" s="676"/>
      <c r="P265" s="676"/>
      <c r="Q265" s="676"/>
      <c r="R265" s="676"/>
      <c r="S265" s="676"/>
      <c r="T265" s="676"/>
      <c r="U265" s="676"/>
      <c r="V265" s="676"/>
      <c r="W265" s="676"/>
      <c r="X265" s="676">
        <v>0</v>
      </c>
      <c r="Y265" s="676"/>
      <c r="Z265" s="676">
        <v>0</v>
      </c>
      <c r="AA265" s="676"/>
      <c r="AB265" s="676"/>
      <c r="AC265" s="676">
        <v>0</v>
      </c>
      <c r="AD265" s="676"/>
      <c r="AE265" s="676"/>
      <c r="AF265" s="676"/>
      <c r="AG265" s="676"/>
      <c r="AH265" s="676"/>
      <c r="AI265" s="676"/>
      <c r="AJ265" s="676"/>
      <c r="AK265" s="676"/>
      <c r="AL265" s="676"/>
      <c r="AM265" s="676"/>
      <c r="AN265" s="676"/>
      <c r="AO265" s="676"/>
      <c r="AP265" s="676"/>
      <c r="AQ265" s="676"/>
      <c r="AR265" s="676"/>
      <c r="AS265" s="676"/>
      <c r="AT265" s="676">
        <v>0</v>
      </c>
      <c r="AU265" s="676"/>
      <c r="AV265" s="676"/>
      <c r="AW265" s="676"/>
      <c r="AX265" s="676"/>
      <c r="AY265" s="676"/>
      <c r="AZ265" s="676">
        <v>0</v>
      </c>
      <c r="BA265" s="676"/>
      <c r="BB265" s="676"/>
      <c r="BC265" s="676"/>
      <c r="BD265" s="676"/>
      <c r="BE265" s="676">
        <v>0</v>
      </c>
      <c r="BF265" s="676"/>
      <c r="BG265" s="676">
        <v>267000</v>
      </c>
      <c r="BH265" s="676"/>
      <c r="BI265" s="676"/>
      <c r="BJ265" s="676"/>
      <c r="BK265" s="676"/>
      <c r="BL265" s="676"/>
      <c r="BM265" s="676"/>
      <c r="BN265" s="676">
        <v>0</v>
      </c>
      <c r="BO265" s="676"/>
      <c r="BP265" s="676"/>
      <c r="BQ265" s="676"/>
      <c r="BR265" s="676"/>
      <c r="BS265" s="676"/>
      <c r="BT265" s="676"/>
      <c r="BU265" s="676"/>
      <c r="BV265" s="676"/>
      <c r="BW265" s="676"/>
      <c r="BX265" s="676"/>
      <c r="BY265" s="676"/>
      <c r="BZ265" s="676"/>
      <c r="CA265" s="676"/>
      <c r="CB265" s="676"/>
      <c r="CC265" s="676"/>
      <c r="CD265" s="676"/>
      <c r="CE265" s="676"/>
      <c r="CF265" s="676"/>
      <c r="CG265" s="676"/>
    </row>
    <row r="266" spans="1:85" x14ac:dyDescent="0.25">
      <c r="A266" s="320" t="s">
        <v>987</v>
      </c>
      <c r="B266" s="320" t="s">
        <v>988</v>
      </c>
      <c r="C266" s="320"/>
      <c r="D266" s="320" t="s">
        <v>989</v>
      </c>
      <c r="E266" s="320">
        <v>2016</v>
      </c>
      <c r="F266" s="404"/>
      <c r="G266" s="676"/>
      <c r="H266" s="676"/>
      <c r="I266" s="676"/>
      <c r="J266" s="676"/>
      <c r="K266" s="676"/>
      <c r="L266" s="676"/>
      <c r="M266" s="676"/>
      <c r="N266" s="676">
        <v>22851</v>
      </c>
      <c r="O266" s="676"/>
      <c r="P266" s="676"/>
      <c r="Q266" s="676"/>
      <c r="R266" s="676"/>
      <c r="S266" s="676"/>
      <c r="T266" s="676"/>
      <c r="U266" s="676"/>
      <c r="V266" s="676"/>
      <c r="W266" s="676"/>
      <c r="X266" s="676">
        <v>0</v>
      </c>
      <c r="Y266" s="676"/>
      <c r="Z266" s="676">
        <v>134794.4</v>
      </c>
      <c r="AA266" s="676"/>
      <c r="AB266" s="676"/>
      <c r="AC266" s="676">
        <v>0</v>
      </c>
      <c r="AD266" s="676">
        <v>2400</v>
      </c>
      <c r="AE266" s="676"/>
      <c r="AF266" s="676"/>
      <c r="AG266" s="676"/>
      <c r="AH266" s="676"/>
      <c r="AI266" s="676"/>
      <c r="AJ266" s="676"/>
      <c r="AK266" s="676"/>
      <c r="AL266" s="676"/>
      <c r="AM266" s="676"/>
      <c r="AN266" s="676"/>
      <c r="AO266" s="676"/>
      <c r="AP266" s="676"/>
      <c r="AQ266" s="676"/>
      <c r="AR266" s="676"/>
      <c r="AS266" s="676"/>
      <c r="AT266" s="676">
        <v>0</v>
      </c>
      <c r="AU266" s="676"/>
      <c r="AV266" s="676"/>
      <c r="AW266" s="676"/>
      <c r="AX266" s="676">
        <v>340701</v>
      </c>
      <c r="AY266" s="676"/>
      <c r="AZ266" s="676">
        <v>0</v>
      </c>
      <c r="BA266" s="676"/>
      <c r="BB266" s="676"/>
      <c r="BC266" s="676">
        <v>12000000</v>
      </c>
      <c r="BD266" s="676">
        <v>662589</v>
      </c>
      <c r="BE266" s="676">
        <v>0</v>
      </c>
      <c r="BF266" s="676">
        <v>455000</v>
      </c>
      <c r="BG266" s="676">
        <v>1144568000</v>
      </c>
      <c r="BH266" s="676"/>
      <c r="BI266" s="676"/>
      <c r="BJ266" s="676"/>
      <c r="BK266" s="676"/>
      <c r="BL266" s="676"/>
      <c r="BM266" s="676"/>
      <c r="BN266" s="676">
        <v>0</v>
      </c>
      <c r="BO266" s="676"/>
      <c r="BP266" s="676"/>
      <c r="BQ266" s="676"/>
      <c r="BR266" s="676"/>
      <c r="BS266" s="676"/>
      <c r="BT266" s="676"/>
      <c r="BU266" s="676"/>
      <c r="BV266" s="676"/>
      <c r="BW266" s="676">
        <v>8694968</v>
      </c>
      <c r="BX266" s="676"/>
      <c r="BY266" s="676"/>
      <c r="BZ266" s="676"/>
      <c r="CA266" s="676"/>
      <c r="CB266" s="676"/>
      <c r="CC266" s="676"/>
      <c r="CD266" s="676"/>
      <c r="CE266" s="676">
        <v>45885000</v>
      </c>
      <c r="CF266" s="676"/>
      <c r="CG266" s="676">
        <v>229000</v>
      </c>
    </row>
    <row r="267" spans="1:85" x14ac:dyDescent="0.25">
      <c r="A267" s="320" t="s">
        <v>990</v>
      </c>
      <c r="B267" s="320" t="s">
        <v>991</v>
      </c>
      <c r="C267" s="320"/>
      <c r="D267" s="320" t="s">
        <v>992</v>
      </c>
      <c r="E267" s="320">
        <v>2016</v>
      </c>
      <c r="F267" s="404"/>
      <c r="G267" s="676"/>
      <c r="H267" s="676"/>
      <c r="I267" s="676"/>
      <c r="J267" s="676">
        <v>34813</v>
      </c>
      <c r="K267" s="676"/>
      <c r="L267" s="676"/>
      <c r="M267" s="676"/>
      <c r="N267" s="676">
        <v>213472</v>
      </c>
      <c r="O267" s="676"/>
      <c r="P267" s="676">
        <v>135215</v>
      </c>
      <c r="Q267" s="676"/>
      <c r="R267" s="676"/>
      <c r="S267" s="676">
        <v>70350</v>
      </c>
      <c r="T267" s="676"/>
      <c r="U267" s="676"/>
      <c r="V267" s="676">
        <v>88068</v>
      </c>
      <c r="W267" s="676"/>
      <c r="X267" s="676">
        <v>0</v>
      </c>
      <c r="Y267" s="676">
        <v>345896</v>
      </c>
      <c r="Z267" s="676">
        <v>3804120.38</v>
      </c>
      <c r="AA267" s="676">
        <v>12451</v>
      </c>
      <c r="AB267" s="676"/>
      <c r="AC267" s="676">
        <v>18807.43</v>
      </c>
      <c r="AD267" s="676"/>
      <c r="AE267" s="676">
        <v>567383</v>
      </c>
      <c r="AF267" s="676"/>
      <c r="AG267" s="676"/>
      <c r="AH267" s="676"/>
      <c r="AI267" s="676"/>
      <c r="AJ267" s="676"/>
      <c r="AK267" s="676"/>
      <c r="AL267" s="676">
        <v>61887</v>
      </c>
      <c r="AM267" s="676"/>
      <c r="AN267" s="676"/>
      <c r="AO267" s="676"/>
      <c r="AP267" s="676">
        <v>163588</v>
      </c>
      <c r="AQ267" s="676"/>
      <c r="AR267" s="676">
        <v>243149</v>
      </c>
      <c r="AS267" s="676">
        <v>152273</v>
      </c>
      <c r="AT267" s="676">
        <v>0</v>
      </c>
      <c r="AU267" s="676">
        <v>5792</v>
      </c>
      <c r="AV267" s="676">
        <v>11409</v>
      </c>
      <c r="AW267" s="676"/>
      <c r="AX267" s="676">
        <v>2868</v>
      </c>
      <c r="AY267" s="676">
        <v>148340</v>
      </c>
      <c r="AZ267" s="676">
        <v>0</v>
      </c>
      <c r="BA267" s="676"/>
      <c r="BB267" s="676"/>
      <c r="BC267" s="676"/>
      <c r="BD267" s="676"/>
      <c r="BE267" s="676">
        <v>0</v>
      </c>
      <c r="BF267" s="676"/>
      <c r="BG267" s="676"/>
      <c r="BH267" s="676"/>
      <c r="BI267" s="676"/>
      <c r="BJ267" s="676"/>
      <c r="BK267" s="676">
        <v>24423</v>
      </c>
      <c r="BL267" s="676"/>
      <c r="BM267" s="676">
        <v>1310000</v>
      </c>
      <c r="BN267" s="676">
        <v>0</v>
      </c>
      <c r="BO267" s="676"/>
      <c r="BP267" s="676">
        <v>13651</v>
      </c>
      <c r="BQ267" s="676"/>
      <c r="BR267" s="676"/>
      <c r="BS267" s="676">
        <v>3864236</v>
      </c>
      <c r="BT267" s="676"/>
      <c r="BU267" s="676"/>
      <c r="BV267" s="676">
        <v>6168</v>
      </c>
      <c r="BW267" s="676">
        <v>1091965</v>
      </c>
      <c r="BX267" s="676"/>
      <c r="BY267" s="676">
        <v>25350</v>
      </c>
      <c r="BZ267" s="676">
        <v>1307000</v>
      </c>
      <c r="CA267" s="676"/>
      <c r="CB267" s="676"/>
      <c r="CC267" s="676"/>
      <c r="CD267" s="676"/>
      <c r="CE267" s="676"/>
      <c r="CF267" s="676"/>
      <c r="CG267" s="676"/>
    </row>
    <row r="268" spans="1:85" x14ac:dyDescent="0.25">
      <c r="A268" s="320" t="s">
        <v>993</v>
      </c>
      <c r="B268" s="320" t="s">
        <v>1372</v>
      </c>
      <c r="C268" s="320" t="s">
        <v>1373</v>
      </c>
      <c r="D268" s="320" t="s">
        <v>994</v>
      </c>
      <c r="E268" s="320">
        <v>2016</v>
      </c>
      <c r="F268" s="404">
        <v>93670</v>
      </c>
      <c r="G268" s="676">
        <v>625975</v>
      </c>
      <c r="H268" s="676">
        <v>2382833</v>
      </c>
      <c r="I268" s="676">
        <v>484657</v>
      </c>
      <c r="J268" s="676">
        <v>3733288</v>
      </c>
      <c r="K268" s="676">
        <v>233821</v>
      </c>
      <c r="L268" s="676">
        <v>736861</v>
      </c>
      <c r="M268" s="676">
        <v>41376710</v>
      </c>
      <c r="N268" s="676">
        <v>47720105</v>
      </c>
      <c r="O268" s="676">
        <v>10664254</v>
      </c>
      <c r="P268" s="676">
        <v>5575449</v>
      </c>
      <c r="Q268" s="676">
        <v>153359</v>
      </c>
      <c r="R268" s="676">
        <v>6288511</v>
      </c>
      <c r="S268" s="676">
        <v>39532027</v>
      </c>
      <c r="T268" s="676">
        <v>3271971</v>
      </c>
      <c r="U268" s="676">
        <v>460462000</v>
      </c>
      <c r="V268" s="676">
        <v>3242674</v>
      </c>
      <c r="W268" s="676">
        <v>260817</v>
      </c>
      <c r="X268" s="676">
        <v>91395.56</v>
      </c>
      <c r="Y268" s="676">
        <v>51047312</v>
      </c>
      <c r="Z268" s="676">
        <v>1032359728.1</v>
      </c>
      <c r="AA268" s="676">
        <v>1174002</v>
      </c>
      <c r="AB268" s="676">
        <v>55545533</v>
      </c>
      <c r="AC268" s="676">
        <v>628277.12</v>
      </c>
      <c r="AD268" s="676">
        <v>813421</v>
      </c>
      <c r="AE268" s="676">
        <v>1149616</v>
      </c>
      <c r="AF268" s="676">
        <v>2614594</v>
      </c>
      <c r="AG268" s="676">
        <v>48770</v>
      </c>
      <c r="AH268" s="676">
        <v>367947</v>
      </c>
      <c r="AI268" s="676">
        <v>145544</v>
      </c>
      <c r="AJ268" s="676">
        <v>7274</v>
      </c>
      <c r="AK268" s="676">
        <v>18495672</v>
      </c>
      <c r="AL268" s="676">
        <v>15013748</v>
      </c>
      <c r="AM268" s="676">
        <v>2241280</v>
      </c>
      <c r="AN268" s="676">
        <v>386258000</v>
      </c>
      <c r="AO268" s="676">
        <v>22831425</v>
      </c>
      <c r="AP268" s="676">
        <v>6065014</v>
      </c>
      <c r="AQ268" s="676">
        <v>5985405</v>
      </c>
      <c r="AR268" s="676">
        <v>2743849</v>
      </c>
      <c r="AS268" s="676">
        <v>4015216</v>
      </c>
      <c r="AT268" s="676">
        <v>2309381.5</v>
      </c>
      <c r="AU268" s="676">
        <v>2620444</v>
      </c>
      <c r="AV268" s="676">
        <v>551950</v>
      </c>
      <c r="AW268" s="676">
        <v>281960</v>
      </c>
      <c r="AX268" s="676">
        <v>21342413</v>
      </c>
      <c r="AY268" s="676">
        <v>7932614</v>
      </c>
      <c r="AZ268" s="676">
        <v>40161</v>
      </c>
      <c r="BA268" s="676">
        <v>22348172</v>
      </c>
      <c r="BB268" s="676">
        <v>3946772</v>
      </c>
      <c r="BC268" s="676">
        <v>4727695</v>
      </c>
      <c r="BD268" s="676">
        <v>30008208</v>
      </c>
      <c r="BE268" s="676">
        <v>257561.77</v>
      </c>
      <c r="BF268" s="676">
        <v>63756000</v>
      </c>
      <c r="BG268" s="676">
        <v>339231000</v>
      </c>
      <c r="BH268" s="676">
        <v>470778000</v>
      </c>
      <c r="BI268" s="676">
        <v>27611925</v>
      </c>
      <c r="BJ268" s="676">
        <v>5392772</v>
      </c>
      <c r="BK268" s="676">
        <v>159909</v>
      </c>
      <c r="BL268" s="676">
        <v>133321</v>
      </c>
      <c r="BM268" s="676">
        <v>84681000</v>
      </c>
      <c r="BN268" s="676">
        <v>6510318</v>
      </c>
      <c r="BO268" s="676">
        <v>317309</v>
      </c>
      <c r="BP268" s="676">
        <v>882756</v>
      </c>
      <c r="BQ268" s="676">
        <v>568719</v>
      </c>
      <c r="BR268" s="676">
        <v>196240</v>
      </c>
      <c r="BS268" s="676">
        <v>4579390</v>
      </c>
      <c r="BT268" s="676">
        <v>10052907</v>
      </c>
      <c r="BU268" s="676">
        <v>13404246</v>
      </c>
      <c r="BV268" s="676">
        <v>380036</v>
      </c>
      <c r="BW268" s="676">
        <v>111883147</v>
      </c>
      <c r="BX268" s="676">
        <v>1803559</v>
      </c>
      <c r="BY268" s="676">
        <v>2613472</v>
      </c>
      <c r="BZ268" s="676">
        <v>1452000</v>
      </c>
      <c r="CA268" s="676">
        <v>3050298.13</v>
      </c>
      <c r="CB268" s="676">
        <v>8189219.0099999998</v>
      </c>
      <c r="CC268" s="676">
        <v>11055000</v>
      </c>
      <c r="CD268" s="676">
        <v>39752</v>
      </c>
      <c r="CE268" s="676">
        <v>45019000</v>
      </c>
      <c r="CF268" s="676">
        <v>47680000</v>
      </c>
      <c r="CG268" s="676">
        <v>69808000</v>
      </c>
    </row>
    <row r="269" spans="1:85" x14ac:dyDescent="0.25">
      <c r="A269" s="320" t="s">
        <v>995</v>
      </c>
      <c r="B269" s="320" t="s">
        <v>1362</v>
      </c>
      <c r="C269" s="320" t="s">
        <v>1374</v>
      </c>
      <c r="D269" s="320" t="s">
        <v>996</v>
      </c>
      <c r="E269" s="320">
        <v>2016</v>
      </c>
      <c r="F269" s="404">
        <v>93670</v>
      </c>
      <c r="G269" s="676">
        <v>105327</v>
      </c>
      <c r="H269" s="676">
        <v>1711351</v>
      </c>
      <c r="I269" s="676">
        <v>315084</v>
      </c>
      <c r="J269" s="676">
        <v>3495756</v>
      </c>
      <c r="K269" s="676">
        <v>231621</v>
      </c>
      <c r="L269" s="676">
        <v>721806</v>
      </c>
      <c r="M269" s="676">
        <v>26735277</v>
      </c>
      <c r="N269" s="676">
        <v>47714035</v>
      </c>
      <c r="O269" s="676">
        <v>9446919</v>
      </c>
      <c r="P269" s="676">
        <v>3675746</v>
      </c>
      <c r="Q269" s="676">
        <v>152374</v>
      </c>
      <c r="R269" s="676">
        <v>4542174</v>
      </c>
      <c r="S269" s="676">
        <v>29568469</v>
      </c>
      <c r="T269" s="676">
        <v>1544879</v>
      </c>
      <c r="U269" s="676">
        <v>45335000</v>
      </c>
      <c r="V269" s="676">
        <v>3241383</v>
      </c>
      <c r="W269" s="676">
        <v>134471</v>
      </c>
      <c r="X269" s="676">
        <v>90726.06</v>
      </c>
      <c r="Y269" s="676">
        <v>28365652</v>
      </c>
      <c r="Z269" s="676">
        <v>7468815.54</v>
      </c>
      <c r="AA269" s="676">
        <v>550204</v>
      </c>
      <c r="AB269" s="676">
        <v>23699144</v>
      </c>
      <c r="AC269" s="676">
        <v>623077.12</v>
      </c>
      <c r="AD269" s="676">
        <v>799032</v>
      </c>
      <c r="AE269" s="676">
        <v>752468</v>
      </c>
      <c r="AF269" s="676">
        <v>2493755</v>
      </c>
      <c r="AG269" s="676">
        <v>9802</v>
      </c>
      <c r="AH269" s="676">
        <v>124761</v>
      </c>
      <c r="AI269" s="676">
        <v>37853</v>
      </c>
      <c r="AJ269" s="676">
        <v>6100</v>
      </c>
      <c r="AK269" s="676">
        <v>10978057</v>
      </c>
      <c r="AL269" s="676">
        <v>14892938</v>
      </c>
      <c r="AM269" s="676">
        <v>2171196</v>
      </c>
      <c r="AN269" s="676">
        <v>17676000</v>
      </c>
      <c r="AO269" s="676">
        <v>22833500</v>
      </c>
      <c r="AP269" s="676">
        <v>4136006</v>
      </c>
      <c r="AQ269" s="676">
        <v>5723619</v>
      </c>
      <c r="AR269" s="676">
        <v>2724869</v>
      </c>
      <c r="AS269" s="676">
        <v>3931596</v>
      </c>
      <c r="AT269" s="676">
        <v>2270802.91</v>
      </c>
      <c r="AU269" s="676">
        <v>2599590</v>
      </c>
      <c r="AV269" s="676">
        <v>383867</v>
      </c>
      <c r="AW269" s="676">
        <v>281547</v>
      </c>
      <c r="AX269" s="676">
        <v>20707523</v>
      </c>
      <c r="AY269" s="676">
        <v>7902817</v>
      </c>
      <c r="AZ269" s="676">
        <v>3723</v>
      </c>
      <c r="BA269" s="676">
        <v>352462</v>
      </c>
      <c r="BB269" s="676">
        <v>3912207</v>
      </c>
      <c r="BC269" s="676">
        <v>1004921</v>
      </c>
      <c r="BD269" s="676">
        <v>19620497</v>
      </c>
      <c r="BE269" s="676">
        <v>162932.56</v>
      </c>
      <c r="BF269" s="676">
        <v>49933000</v>
      </c>
      <c r="BG269" s="676">
        <v>120553000</v>
      </c>
      <c r="BH269" s="676">
        <v>470778000</v>
      </c>
      <c r="BI269" s="676">
        <v>19840765</v>
      </c>
      <c r="BJ269" s="676">
        <v>3714595</v>
      </c>
      <c r="BK269" s="676">
        <v>155451</v>
      </c>
      <c r="BL269" s="676">
        <v>132091</v>
      </c>
      <c r="BM269" s="676">
        <v>77319000</v>
      </c>
      <c r="BN269" s="676">
        <v>6500595</v>
      </c>
      <c r="BO269" s="676">
        <v>317194</v>
      </c>
      <c r="BP269" s="676">
        <v>879120</v>
      </c>
      <c r="BQ269" s="676">
        <v>535338</v>
      </c>
      <c r="BR269" s="676">
        <v>187564</v>
      </c>
      <c r="BS269" s="676">
        <v>4518149</v>
      </c>
      <c r="BT269" s="676">
        <v>4468185</v>
      </c>
      <c r="BU269" s="676">
        <v>13395381</v>
      </c>
      <c r="BV269" s="676">
        <v>331194</v>
      </c>
      <c r="BW269" s="676">
        <v>14475444</v>
      </c>
      <c r="BX269" s="676">
        <v>1626719</v>
      </c>
      <c r="BY269" s="676">
        <v>2486713</v>
      </c>
      <c r="BZ269" s="676">
        <v>1163000</v>
      </c>
      <c r="CA269" s="676">
        <v>3036289.46</v>
      </c>
      <c r="CB269" s="676">
        <v>8188893.8799999999</v>
      </c>
      <c r="CC269" s="676">
        <v>3717000</v>
      </c>
      <c r="CD269" s="676">
        <v>34462</v>
      </c>
      <c r="CE269" s="676">
        <v>13692000</v>
      </c>
      <c r="CF269" s="676">
        <v>47680000</v>
      </c>
      <c r="CG269" s="676">
        <v>25441000</v>
      </c>
    </row>
    <row r="270" spans="1:85" x14ac:dyDescent="0.25">
      <c r="A270" s="320" t="s">
        <v>997</v>
      </c>
      <c r="B270" s="320" t="s">
        <v>1364</v>
      </c>
      <c r="C270" s="320" t="s">
        <v>1365</v>
      </c>
      <c r="D270" s="320" t="s">
        <v>998</v>
      </c>
      <c r="E270" s="320">
        <v>2016</v>
      </c>
      <c r="F270" s="404"/>
      <c r="G270" s="676"/>
      <c r="H270" s="676">
        <v>129062</v>
      </c>
      <c r="I270" s="676">
        <v>182640</v>
      </c>
      <c r="J270" s="676">
        <v>2608053</v>
      </c>
      <c r="K270" s="676">
        <v>151272</v>
      </c>
      <c r="L270" s="676"/>
      <c r="M270" s="676">
        <v>1431384</v>
      </c>
      <c r="N270" s="676">
        <v>671632</v>
      </c>
      <c r="O270" s="676">
        <v>9616</v>
      </c>
      <c r="P270" s="676">
        <v>768746</v>
      </c>
      <c r="Q270" s="676"/>
      <c r="R270" s="676">
        <v>1370825</v>
      </c>
      <c r="S270" s="676">
        <v>2782971</v>
      </c>
      <c r="T270" s="676">
        <v>689219</v>
      </c>
      <c r="U270" s="676"/>
      <c r="V270" s="676">
        <v>314659</v>
      </c>
      <c r="W270" s="676"/>
      <c r="X270" s="676">
        <v>0</v>
      </c>
      <c r="Y270" s="676"/>
      <c r="Z270" s="676">
        <v>4266627.0599999996</v>
      </c>
      <c r="AA270" s="676"/>
      <c r="AB270" s="676">
        <v>4855</v>
      </c>
      <c r="AC270" s="676">
        <v>521578.34</v>
      </c>
      <c r="AD270" s="676"/>
      <c r="AE270" s="676">
        <v>32199</v>
      </c>
      <c r="AF270" s="676"/>
      <c r="AG270" s="676"/>
      <c r="AH270" s="676"/>
      <c r="AI270" s="676"/>
      <c r="AJ270" s="676"/>
      <c r="AK270" s="676"/>
      <c r="AL270" s="676">
        <v>7156</v>
      </c>
      <c r="AM270" s="676"/>
      <c r="AN270" s="676"/>
      <c r="AO270" s="676"/>
      <c r="AP270" s="676">
        <v>23129</v>
      </c>
      <c r="AQ270" s="676">
        <v>4744465</v>
      </c>
      <c r="AR270" s="676">
        <v>346674</v>
      </c>
      <c r="AS270" s="676">
        <v>397037</v>
      </c>
      <c r="AT270" s="676">
        <v>0</v>
      </c>
      <c r="AU270" s="676">
        <v>49516</v>
      </c>
      <c r="AV270" s="676"/>
      <c r="AW270" s="676"/>
      <c r="AX270" s="676">
        <v>655537</v>
      </c>
      <c r="AY270" s="676">
        <v>2383</v>
      </c>
      <c r="AZ270" s="676">
        <v>0</v>
      </c>
      <c r="BA270" s="676">
        <v>12065</v>
      </c>
      <c r="BB270" s="676">
        <v>1212334</v>
      </c>
      <c r="BC270" s="676">
        <v>823460</v>
      </c>
      <c r="BD270" s="676"/>
      <c r="BE270" s="676">
        <v>0</v>
      </c>
      <c r="BF270" s="676"/>
      <c r="BG270" s="676"/>
      <c r="BH270" s="676"/>
      <c r="BI270" s="676"/>
      <c r="BJ270" s="676">
        <v>1221328</v>
      </c>
      <c r="BK270" s="676">
        <v>107477</v>
      </c>
      <c r="BL270" s="676"/>
      <c r="BM270" s="676"/>
      <c r="BN270" s="676">
        <v>5084475</v>
      </c>
      <c r="BO270" s="676"/>
      <c r="BP270" s="676"/>
      <c r="BQ270" s="676"/>
      <c r="BR270" s="676"/>
      <c r="BS270" s="676"/>
      <c r="BT270" s="676">
        <v>996067</v>
      </c>
      <c r="BU270" s="676">
        <v>2581339</v>
      </c>
      <c r="BV270" s="676"/>
      <c r="BW270" s="676">
        <v>8438213</v>
      </c>
      <c r="BX270" s="676"/>
      <c r="BY270" s="676">
        <v>139409</v>
      </c>
      <c r="BZ270" s="676"/>
      <c r="CA270" s="676">
        <v>2245587.36</v>
      </c>
      <c r="CB270" s="676">
        <v>6196649.4800000004</v>
      </c>
      <c r="CC270" s="676"/>
      <c r="CD270" s="676"/>
      <c r="CE270" s="676"/>
      <c r="CF270" s="676"/>
      <c r="CG270" s="676"/>
    </row>
    <row r="271" spans="1:85" x14ac:dyDescent="0.25">
      <c r="A271" s="320" t="s">
        <v>999</v>
      </c>
      <c r="B271" s="320" t="s">
        <v>1366</v>
      </c>
      <c r="C271" s="320" t="s">
        <v>1365</v>
      </c>
      <c r="D271" s="320" t="s">
        <v>1000</v>
      </c>
      <c r="E271" s="320">
        <v>2016</v>
      </c>
      <c r="F271" s="404"/>
      <c r="G271" s="676"/>
      <c r="H271" s="676">
        <v>830787</v>
      </c>
      <c r="I271" s="676"/>
      <c r="J271" s="676"/>
      <c r="K271" s="676"/>
      <c r="L271" s="676"/>
      <c r="M271" s="676"/>
      <c r="N271" s="676"/>
      <c r="O271" s="676"/>
      <c r="P271" s="676"/>
      <c r="Q271" s="676"/>
      <c r="R271" s="676"/>
      <c r="S271" s="676"/>
      <c r="T271" s="676"/>
      <c r="U271" s="676"/>
      <c r="V271" s="676"/>
      <c r="W271" s="676"/>
      <c r="X271" s="676">
        <v>0</v>
      </c>
      <c r="Y271" s="676"/>
      <c r="Z271" s="676">
        <v>0</v>
      </c>
      <c r="AA271" s="676"/>
      <c r="AB271" s="676"/>
      <c r="AC271" s="676">
        <v>0</v>
      </c>
      <c r="AD271" s="676"/>
      <c r="AE271" s="676"/>
      <c r="AF271" s="676"/>
      <c r="AG271" s="676"/>
      <c r="AH271" s="676"/>
      <c r="AI271" s="676"/>
      <c r="AJ271" s="676"/>
      <c r="AK271" s="676"/>
      <c r="AL271" s="676"/>
      <c r="AM271" s="676"/>
      <c r="AN271" s="676"/>
      <c r="AO271" s="676"/>
      <c r="AP271" s="676"/>
      <c r="AQ271" s="676"/>
      <c r="AR271" s="676">
        <v>154422</v>
      </c>
      <c r="AS271" s="676">
        <v>1269266</v>
      </c>
      <c r="AT271" s="676">
        <v>0</v>
      </c>
      <c r="AU271" s="676"/>
      <c r="AV271" s="676"/>
      <c r="AW271" s="676"/>
      <c r="AX271" s="676">
        <v>630</v>
      </c>
      <c r="AY271" s="676"/>
      <c r="AZ271" s="676">
        <v>0</v>
      </c>
      <c r="BA271" s="676"/>
      <c r="BB271" s="676"/>
      <c r="BC271" s="676"/>
      <c r="BD271" s="676"/>
      <c r="BE271" s="676">
        <v>0</v>
      </c>
      <c r="BF271" s="676"/>
      <c r="BG271" s="676"/>
      <c r="BH271" s="676"/>
      <c r="BI271" s="676"/>
      <c r="BJ271" s="676"/>
      <c r="BK271" s="676"/>
      <c r="BL271" s="676"/>
      <c r="BM271" s="676"/>
      <c r="BN271" s="676">
        <v>0</v>
      </c>
      <c r="BO271" s="676"/>
      <c r="BP271" s="676"/>
      <c r="BQ271" s="676"/>
      <c r="BR271" s="676"/>
      <c r="BS271" s="676"/>
      <c r="BT271" s="676"/>
      <c r="BU271" s="676"/>
      <c r="BV271" s="676"/>
      <c r="BW271" s="676"/>
      <c r="BX271" s="676"/>
      <c r="BY271" s="676"/>
      <c r="BZ271" s="676"/>
      <c r="CA271" s="676"/>
      <c r="CB271" s="676"/>
      <c r="CC271" s="676"/>
      <c r="CD271" s="676"/>
      <c r="CE271" s="676"/>
      <c r="CF271" s="676"/>
      <c r="CG271" s="676"/>
    </row>
    <row r="272" spans="1:85" x14ac:dyDescent="0.25">
      <c r="A272" s="320" t="s">
        <v>1001</v>
      </c>
      <c r="B272" s="320" t="s">
        <v>1367</v>
      </c>
      <c r="C272" s="320" t="s">
        <v>1365</v>
      </c>
      <c r="D272" s="320" t="s">
        <v>1002</v>
      </c>
      <c r="E272" s="320">
        <v>2016</v>
      </c>
      <c r="F272" s="404">
        <v>93670</v>
      </c>
      <c r="G272" s="676">
        <v>105327</v>
      </c>
      <c r="H272" s="676">
        <v>751502</v>
      </c>
      <c r="I272" s="676">
        <v>132444</v>
      </c>
      <c r="J272" s="676">
        <v>887703</v>
      </c>
      <c r="K272" s="676">
        <v>80349</v>
      </c>
      <c r="L272" s="676">
        <v>721806</v>
      </c>
      <c r="M272" s="676">
        <v>25303893</v>
      </c>
      <c r="N272" s="676">
        <v>47042403</v>
      </c>
      <c r="O272" s="676">
        <v>9437303</v>
      </c>
      <c r="P272" s="676">
        <v>2907000</v>
      </c>
      <c r="Q272" s="676">
        <v>152374</v>
      </c>
      <c r="R272" s="676">
        <v>3171349</v>
      </c>
      <c r="S272" s="676">
        <v>26785498</v>
      </c>
      <c r="T272" s="676">
        <v>855660</v>
      </c>
      <c r="U272" s="676"/>
      <c r="V272" s="676">
        <v>2926724</v>
      </c>
      <c r="W272" s="676">
        <v>134471</v>
      </c>
      <c r="X272" s="676">
        <v>90726.06</v>
      </c>
      <c r="Y272" s="676">
        <v>28365652</v>
      </c>
      <c r="Z272" s="676">
        <v>3202188.48</v>
      </c>
      <c r="AA272" s="676">
        <v>550204</v>
      </c>
      <c r="AB272" s="676">
        <v>23694289</v>
      </c>
      <c r="AC272" s="676">
        <v>101498.78</v>
      </c>
      <c r="AD272" s="676">
        <v>799032</v>
      </c>
      <c r="AE272" s="676">
        <v>720269</v>
      </c>
      <c r="AF272" s="676">
        <v>2493755</v>
      </c>
      <c r="AG272" s="676">
        <v>9802</v>
      </c>
      <c r="AH272" s="676">
        <v>124761</v>
      </c>
      <c r="AI272" s="676">
        <v>37853</v>
      </c>
      <c r="AJ272" s="676">
        <v>6100</v>
      </c>
      <c r="AK272" s="676">
        <v>10978057</v>
      </c>
      <c r="AL272" s="676">
        <v>14885782</v>
      </c>
      <c r="AM272" s="676">
        <v>2171196</v>
      </c>
      <c r="AN272" s="676">
        <v>17676000</v>
      </c>
      <c r="AO272" s="676">
        <v>22833500</v>
      </c>
      <c r="AP272" s="676">
        <v>4112877</v>
      </c>
      <c r="AQ272" s="676">
        <v>979154</v>
      </c>
      <c r="AR272" s="676">
        <v>2223773</v>
      </c>
      <c r="AS272" s="676">
        <v>2265293</v>
      </c>
      <c r="AT272" s="676">
        <v>2270802.91</v>
      </c>
      <c r="AU272" s="676">
        <v>2550074</v>
      </c>
      <c r="AV272" s="676">
        <v>383867</v>
      </c>
      <c r="AW272" s="676">
        <v>281547</v>
      </c>
      <c r="AX272" s="676">
        <v>20051356</v>
      </c>
      <c r="AY272" s="676">
        <v>7900434</v>
      </c>
      <c r="AZ272" s="676">
        <v>3723</v>
      </c>
      <c r="BA272" s="676">
        <v>340397</v>
      </c>
      <c r="BB272" s="676">
        <v>2699873</v>
      </c>
      <c r="BC272" s="676">
        <v>181461</v>
      </c>
      <c r="BD272" s="676">
        <v>19620497</v>
      </c>
      <c r="BE272" s="676">
        <v>162932.56</v>
      </c>
      <c r="BF272" s="676"/>
      <c r="BG272" s="676"/>
      <c r="BH272" s="676"/>
      <c r="BI272" s="676">
        <v>19840765</v>
      </c>
      <c r="BJ272" s="676">
        <v>2493267</v>
      </c>
      <c r="BK272" s="676">
        <v>47974</v>
      </c>
      <c r="BL272" s="676">
        <v>132091</v>
      </c>
      <c r="BM272" s="676"/>
      <c r="BN272" s="676">
        <v>1416120</v>
      </c>
      <c r="BO272" s="676">
        <v>317194</v>
      </c>
      <c r="BP272" s="676">
        <v>879120</v>
      </c>
      <c r="BQ272" s="676">
        <v>535338</v>
      </c>
      <c r="BR272" s="676">
        <v>187564</v>
      </c>
      <c r="BS272" s="676">
        <v>4518149</v>
      </c>
      <c r="BT272" s="676">
        <v>3472118</v>
      </c>
      <c r="BU272" s="676">
        <v>10814042</v>
      </c>
      <c r="BV272" s="676">
        <v>331194</v>
      </c>
      <c r="BW272" s="676">
        <v>6037231</v>
      </c>
      <c r="BX272" s="676">
        <v>1626719</v>
      </c>
      <c r="BY272" s="676">
        <v>2347304</v>
      </c>
      <c r="BZ272" s="676"/>
      <c r="CA272" s="676">
        <v>790702.1</v>
      </c>
      <c r="CB272" s="676">
        <v>1992244.4</v>
      </c>
      <c r="CC272" s="676"/>
      <c r="CD272" s="676">
        <v>34462</v>
      </c>
      <c r="CE272" s="676"/>
      <c r="CF272" s="676">
        <v>47680000</v>
      </c>
      <c r="CG272" s="676"/>
    </row>
    <row r="273" spans="1:85" x14ac:dyDescent="0.25">
      <c r="A273" s="320" t="s">
        <v>1003</v>
      </c>
      <c r="B273" s="320" t="s">
        <v>976</v>
      </c>
      <c r="C273" s="320"/>
      <c r="D273" s="320" t="s">
        <v>1004</v>
      </c>
      <c r="E273" s="320">
        <v>2016</v>
      </c>
      <c r="F273" s="404"/>
      <c r="G273" s="676"/>
      <c r="H273" s="676"/>
      <c r="I273" s="676"/>
      <c r="J273" s="676"/>
      <c r="K273" s="676"/>
      <c r="L273" s="676"/>
      <c r="M273" s="676"/>
      <c r="N273" s="676"/>
      <c r="O273" s="676"/>
      <c r="P273" s="676"/>
      <c r="Q273" s="676"/>
      <c r="R273" s="676"/>
      <c r="S273" s="676"/>
      <c r="T273" s="676"/>
      <c r="U273" s="676"/>
      <c r="V273" s="676"/>
      <c r="W273" s="676"/>
      <c r="X273" s="676">
        <v>0</v>
      </c>
      <c r="Y273" s="676"/>
      <c r="Z273" s="676">
        <v>0</v>
      </c>
      <c r="AA273" s="676"/>
      <c r="AB273" s="676"/>
      <c r="AC273" s="676">
        <v>0</v>
      </c>
      <c r="AD273" s="676"/>
      <c r="AE273" s="676"/>
      <c r="AF273" s="676"/>
      <c r="AG273" s="676"/>
      <c r="AH273" s="676"/>
      <c r="AI273" s="676"/>
      <c r="AJ273" s="676"/>
      <c r="AK273" s="676"/>
      <c r="AL273" s="676"/>
      <c r="AM273" s="676"/>
      <c r="AN273" s="676"/>
      <c r="AO273" s="676"/>
      <c r="AP273" s="676"/>
      <c r="AQ273" s="676"/>
      <c r="AR273" s="676"/>
      <c r="AS273" s="676"/>
      <c r="AT273" s="676">
        <v>0</v>
      </c>
      <c r="AU273" s="676"/>
      <c r="AV273" s="676"/>
      <c r="AW273" s="676"/>
      <c r="AX273" s="676">
        <v>84878</v>
      </c>
      <c r="AY273" s="676"/>
      <c r="AZ273" s="676">
        <v>0</v>
      </c>
      <c r="BA273" s="676"/>
      <c r="BB273" s="676"/>
      <c r="BC273" s="676"/>
      <c r="BD273" s="676"/>
      <c r="BE273" s="676">
        <v>0</v>
      </c>
      <c r="BF273" s="676"/>
      <c r="BG273" s="676"/>
      <c r="BH273" s="676"/>
      <c r="BI273" s="676"/>
      <c r="BJ273" s="676"/>
      <c r="BK273" s="676"/>
      <c r="BL273" s="676"/>
      <c r="BM273" s="676"/>
      <c r="BN273" s="676">
        <v>0</v>
      </c>
      <c r="BO273" s="676"/>
      <c r="BP273" s="676"/>
      <c r="BQ273" s="676"/>
      <c r="BR273" s="676"/>
      <c r="BS273" s="676"/>
      <c r="BT273" s="676"/>
      <c r="BU273" s="676"/>
      <c r="BV273" s="676"/>
      <c r="BW273" s="676"/>
      <c r="BX273" s="676"/>
      <c r="BY273" s="676"/>
      <c r="BZ273" s="676"/>
      <c r="CA273" s="676"/>
      <c r="CB273" s="676"/>
      <c r="CC273" s="676"/>
      <c r="CD273" s="676"/>
      <c r="CE273" s="676"/>
      <c r="CF273" s="676"/>
      <c r="CG273" s="676"/>
    </row>
    <row r="274" spans="1:85" x14ac:dyDescent="0.25">
      <c r="A274" s="320" t="s">
        <v>1005</v>
      </c>
      <c r="B274" s="320" t="s">
        <v>1368</v>
      </c>
      <c r="C274" s="320" t="s">
        <v>1369</v>
      </c>
      <c r="D274" s="320" t="s">
        <v>1006</v>
      </c>
      <c r="E274" s="320">
        <v>2016</v>
      </c>
      <c r="F274" s="404"/>
      <c r="G274" s="676"/>
      <c r="H274" s="676">
        <v>133783</v>
      </c>
      <c r="I274" s="676">
        <v>1020</v>
      </c>
      <c r="J274" s="676"/>
      <c r="K274" s="676"/>
      <c r="L274" s="676"/>
      <c r="M274" s="676">
        <v>106067</v>
      </c>
      <c r="N274" s="676"/>
      <c r="O274" s="676"/>
      <c r="P274" s="676">
        <v>1895706</v>
      </c>
      <c r="Q274" s="676"/>
      <c r="R274" s="676">
        <v>1145566</v>
      </c>
      <c r="S274" s="676">
        <v>8180802</v>
      </c>
      <c r="T274" s="676"/>
      <c r="U274" s="676"/>
      <c r="V274" s="676"/>
      <c r="W274" s="676"/>
      <c r="X274" s="676">
        <v>0</v>
      </c>
      <c r="Y274" s="676">
        <v>22184832</v>
      </c>
      <c r="Z274" s="676">
        <v>0</v>
      </c>
      <c r="AA274" s="676"/>
      <c r="AB274" s="676"/>
      <c r="AC274" s="676">
        <v>0</v>
      </c>
      <c r="AD274" s="676"/>
      <c r="AE274" s="676"/>
      <c r="AF274" s="676"/>
      <c r="AG274" s="676"/>
      <c r="AH274" s="676">
        <v>239683</v>
      </c>
      <c r="AI274" s="676"/>
      <c r="AJ274" s="676"/>
      <c r="AK274" s="676"/>
      <c r="AL274" s="676"/>
      <c r="AM274" s="676"/>
      <c r="AN274" s="676"/>
      <c r="AO274" s="676"/>
      <c r="AP274" s="676">
        <v>1858244</v>
      </c>
      <c r="AQ274" s="676"/>
      <c r="AR274" s="676"/>
      <c r="AS274" s="676"/>
      <c r="AT274" s="676">
        <v>0</v>
      </c>
      <c r="AU274" s="676">
        <v>20000</v>
      </c>
      <c r="AV274" s="676"/>
      <c r="AW274" s="676"/>
      <c r="AX274" s="676"/>
      <c r="AY274" s="676"/>
      <c r="AZ274" s="676">
        <v>0</v>
      </c>
      <c r="BA274" s="676">
        <v>20900000</v>
      </c>
      <c r="BB274" s="676"/>
      <c r="BC274" s="676">
        <v>2743</v>
      </c>
      <c r="BD274" s="676"/>
      <c r="BE274" s="676">
        <v>0</v>
      </c>
      <c r="BF274" s="676"/>
      <c r="BG274" s="676"/>
      <c r="BH274" s="676"/>
      <c r="BI274" s="676"/>
      <c r="BJ274" s="676"/>
      <c r="BK274" s="676"/>
      <c r="BL274" s="676"/>
      <c r="BM274" s="676">
        <v>5864000</v>
      </c>
      <c r="BN274" s="676">
        <v>0</v>
      </c>
      <c r="BO274" s="676"/>
      <c r="BP274" s="676"/>
      <c r="BQ274" s="676"/>
      <c r="BR274" s="676"/>
      <c r="BS274" s="676"/>
      <c r="BT274" s="676">
        <v>4773412</v>
      </c>
      <c r="BU274" s="676"/>
      <c r="BV274" s="676"/>
      <c r="BW274" s="676"/>
      <c r="BX274" s="676"/>
      <c r="BY274" s="676"/>
      <c r="BZ274" s="676"/>
      <c r="CA274" s="676"/>
      <c r="CB274" s="676"/>
      <c r="CC274" s="676">
        <v>6121000</v>
      </c>
      <c r="CD274" s="676"/>
      <c r="CE274" s="676"/>
      <c r="CF274" s="676"/>
      <c r="CG274" s="676"/>
    </row>
    <row r="275" spans="1:85" x14ac:dyDescent="0.25">
      <c r="A275" s="320" t="s">
        <v>1007</v>
      </c>
      <c r="B275" s="320" t="s">
        <v>1370</v>
      </c>
      <c r="C275" s="320" t="s">
        <v>1369</v>
      </c>
      <c r="D275" s="320" t="s">
        <v>1008</v>
      </c>
      <c r="E275" s="320">
        <v>2016</v>
      </c>
      <c r="F275" s="404"/>
      <c r="G275" s="676"/>
      <c r="H275" s="676"/>
      <c r="I275" s="676"/>
      <c r="J275" s="676"/>
      <c r="K275" s="676"/>
      <c r="L275" s="676"/>
      <c r="M275" s="676"/>
      <c r="N275" s="676"/>
      <c r="O275" s="676"/>
      <c r="P275" s="676"/>
      <c r="Q275" s="676"/>
      <c r="R275" s="676"/>
      <c r="S275" s="676"/>
      <c r="T275" s="676"/>
      <c r="U275" s="676"/>
      <c r="V275" s="676"/>
      <c r="W275" s="676"/>
      <c r="X275" s="676">
        <v>0</v>
      </c>
      <c r="Y275" s="676"/>
      <c r="Z275" s="676">
        <v>0</v>
      </c>
      <c r="AA275" s="676"/>
      <c r="AB275" s="676"/>
      <c r="AC275" s="676">
        <v>0</v>
      </c>
      <c r="AD275" s="676"/>
      <c r="AE275" s="676"/>
      <c r="AF275" s="676"/>
      <c r="AG275" s="676"/>
      <c r="AH275" s="676"/>
      <c r="AI275" s="676"/>
      <c r="AJ275" s="676"/>
      <c r="AK275" s="676"/>
      <c r="AL275" s="676"/>
      <c r="AM275" s="676"/>
      <c r="AN275" s="676"/>
      <c r="AO275" s="676"/>
      <c r="AP275" s="676"/>
      <c r="AQ275" s="676"/>
      <c r="AR275" s="676"/>
      <c r="AS275" s="676"/>
      <c r="AT275" s="676">
        <v>0</v>
      </c>
      <c r="AU275" s="676"/>
      <c r="AV275" s="676"/>
      <c r="AW275" s="676"/>
      <c r="AX275" s="676"/>
      <c r="AY275" s="676"/>
      <c r="AZ275" s="676">
        <v>0</v>
      </c>
      <c r="BA275" s="676"/>
      <c r="BB275" s="676"/>
      <c r="BC275" s="676"/>
      <c r="BD275" s="676"/>
      <c r="BE275" s="676">
        <v>0</v>
      </c>
      <c r="BF275" s="676"/>
      <c r="BG275" s="676"/>
      <c r="BH275" s="676"/>
      <c r="BI275" s="676"/>
      <c r="BJ275" s="676"/>
      <c r="BK275" s="676"/>
      <c r="BL275" s="676"/>
      <c r="BM275" s="676"/>
      <c r="BN275" s="676">
        <v>0</v>
      </c>
      <c r="BO275" s="676"/>
      <c r="BP275" s="676"/>
      <c r="BQ275" s="676"/>
      <c r="BR275" s="676"/>
      <c r="BS275" s="676"/>
      <c r="BT275" s="676"/>
      <c r="BU275" s="676"/>
      <c r="BV275" s="676"/>
      <c r="BW275" s="676"/>
      <c r="BX275" s="676"/>
      <c r="BY275" s="676"/>
      <c r="BZ275" s="676"/>
      <c r="CA275" s="676"/>
      <c r="CB275" s="676"/>
      <c r="CC275" s="676"/>
      <c r="CD275" s="676"/>
      <c r="CE275" s="676"/>
      <c r="CF275" s="676"/>
      <c r="CG275" s="676"/>
    </row>
    <row r="276" spans="1:85" x14ac:dyDescent="0.25">
      <c r="A276" s="320" t="s">
        <v>1009</v>
      </c>
      <c r="B276" s="320" t="s">
        <v>983</v>
      </c>
      <c r="C276" s="320"/>
      <c r="D276" s="320" t="s">
        <v>1010</v>
      </c>
      <c r="E276" s="320">
        <v>2016</v>
      </c>
      <c r="F276" s="404"/>
      <c r="G276" s="676"/>
      <c r="H276" s="676">
        <v>98856</v>
      </c>
      <c r="I276" s="676">
        <v>38094</v>
      </c>
      <c r="J276" s="676"/>
      <c r="K276" s="676"/>
      <c r="L276" s="676"/>
      <c r="M276" s="676"/>
      <c r="N276" s="676"/>
      <c r="O276" s="676"/>
      <c r="P276" s="676"/>
      <c r="Q276" s="676"/>
      <c r="R276" s="676"/>
      <c r="S276" s="676"/>
      <c r="T276" s="676"/>
      <c r="U276" s="676"/>
      <c r="V276" s="676"/>
      <c r="W276" s="676"/>
      <c r="X276" s="676">
        <v>0</v>
      </c>
      <c r="Y276" s="676"/>
      <c r="Z276" s="676">
        <v>0</v>
      </c>
      <c r="AA276" s="676"/>
      <c r="AB276" s="676"/>
      <c r="AC276" s="676">
        <v>0</v>
      </c>
      <c r="AD276" s="676"/>
      <c r="AE276" s="676"/>
      <c r="AF276" s="676">
        <v>18364</v>
      </c>
      <c r="AG276" s="676"/>
      <c r="AH276" s="676"/>
      <c r="AI276" s="676">
        <v>1496</v>
      </c>
      <c r="AJ276" s="676"/>
      <c r="AK276" s="676"/>
      <c r="AL276" s="676"/>
      <c r="AM276" s="676"/>
      <c r="AN276" s="676"/>
      <c r="AO276" s="676"/>
      <c r="AP276" s="676"/>
      <c r="AQ276" s="676"/>
      <c r="AR276" s="676"/>
      <c r="AS276" s="676"/>
      <c r="AT276" s="676">
        <v>0</v>
      </c>
      <c r="AU276" s="676"/>
      <c r="AV276" s="676"/>
      <c r="AW276" s="676"/>
      <c r="AX276" s="676"/>
      <c r="AY276" s="676"/>
      <c r="AZ276" s="676">
        <v>0</v>
      </c>
      <c r="BA276" s="676"/>
      <c r="BB276" s="676"/>
      <c r="BC276" s="676"/>
      <c r="BD276" s="676"/>
      <c r="BE276" s="676">
        <v>0</v>
      </c>
      <c r="BF276" s="676"/>
      <c r="BG276" s="676"/>
      <c r="BH276" s="676"/>
      <c r="BI276" s="676"/>
      <c r="BJ276" s="676"/>
      <c r="BK276" s="676"/>
      <c r="BL276" s="676"/>
      <c r="BM276" s="676"/>
      <c r="BN276" s="676">
        <v>0</v>
      </c>
      <c r="BO276" s="676"/>
      <c r="BP276" s="676"/>
      <c r="BQ276" s="676"/>
      <c r="BR276" s="676"/>
      <c r="BS276" s="676"/>
      <c r="BT276" s="676"/>
      <c r="BU276" s="676"/>
      <c r="BV276" s="676"/>
      <c r="BW276" s="676"/>
      <c r="BX276" s="676"/>
      <c r="BY276" s="676"/>
      <c r="BZ276" s="676"/>
      <c r="CA276" s="676"/>
      <c r="CB276" s="676"/>
      <c r="CC276" s="676"/>
      <c r="CD276" s="676"/>
      <c r="CE276" s="676"/>
      <c r="CF276" s="676"/>
      <c r="CG276" s="676"/>
    </row>
    <row r="277" spans="1:85" x14ac:dyDescent="0.25">
      <c r="A277" s="320" t="s">
        <v>1011</v>
      </c>
      <c r="B277" s="320" t="s">
        <v>1012</v>
      </c>
      <c r="C277" s="320"/>
      <c r="D277" s="320" t="s">
        <v>1013</v>
      </c>
      <c r="E277" s="320">
        <v>2016</v>
      </c>
      <c r="F277" s="404"/>
      <c r="G277" s="676"/>
      <c r="H277" s="676"/>
      <c r="I277" s="676"/>
      <c r="J277" s="676"/>
      <c r="K277" s="676"/>
      <c r="L277" s="676"/>
      <c r="M277" s="676">
        <v>152</v>
      </c>
      <c r="N277" s="676"/>
      <c r="O277" s="676"/>
      <c r="P277" s="676"/>
      <c r="Q277" s="676"/>
      <c r="R277" s="676"/>
      <c r="S277" s="676"/>
      <c r="T277" s="676"/>
      <c r="U277" s="676"/>
      <c r="V277" s="676"/>
      <c r="W277" s="676"/>
      <c r="X277" s="676">
        <v>0</v>
      </c>
      <c r="Y277" s="676"/>
      <c r="Z277" s="676">
        <v>0</v>
      </c>
      <c r="AA277" s="676"/>
      <c r="AB277" s="676"/>
      <c r="AC277" s="676">
        <v>0</v>
      </c>
      <c r="AD277" s="676"/>
      <c r="AE277" s="676"/>
      <c r="AF277" s="676"/>
      <c r="AG277" s="676"/>
      <c r="AH277" s="676"/>
      <c r="AI277" s="676">
        <v>465</v>
      </c>
      <c r="AJ277" s="676"/>
      <c r="AK277" s="676"/>
      <c r="AL277" s="676"/>
      <c r="AM277" s="676"/>
      <c r="AN277" s="676"/>
      <c r="AO277" s="676">
        <v>26</v>
      </c>
      <c r="AP277" s="676"/>
      <c r="AQ277" s="676"/>
      <c r="AR277" s="676"/>
      <c r="AS277" s="676"/>
      <c r="AT277" s="676">
        <v>0</v>
      </c>
      <c r="AU277" s="676"/>
      <c r="AV277" s="676"/>
      <c r="AW277" s="676"/>
      <c r="AX277" s="676"/>
      <c r="AY277" s="676"/>
      <c r="AZ277" s="676">
        <v>0</v>
      </c>
      <c r="BA277" s="676"/>
      <c r="BB277" s="676"/>
      <c r="BC277" s="676"/>
      <c r="BD277" s="676"/>
      <c r="BE277" s="676">
        <v>0</v>
      </c>
      <c r="BF277" s="676"/>
      <c r="BG277" s="676"/>
      <c r="BH277" s="676"/>
      <c r="BI277" s="676"/>
      <c r="BJ277" s="676"/>
      <c r="BK277" s="676"/>
      <c r="BL277" s="676"/>
      <c r="BM277" s="676"/>
      <c r="BN277" s="676">
        <v>0</v>
      </c>
      <c r="BO277" s="676"/>
      <c r="BP277" s="676"/>
      <c r="BQ277" s="676"/>
      <c r="BR277" s="676"/>
      <c r="BS277" s="676"/>
      <c r="BT277" s="676"/>
      <c r="BU277" s="676"/>
      <c r="BV277" s="676"/>
      <c r="BW277" s="676"/>
      <c r="BX277" s="676"/>
      <c r="BY277" s="676"/>
      <c r="BZ277" s="676"/>
      <c r="CA277" s="676"/>
      <c r="CB277" s="676"/>
      <c r="CC277" s="676"/>
      <c r="CD277" s="676"/>
      <c r="CE277" s="676"/>
      <c r="CF277" s="676"/>
      <c r="CG277" s="676"/>
    </row>
    <row r="278" spans="1:85" x14ac:dyDescent="0.25">
      <c r="A278" s="320" t="s">
        <v>1014</v>
      </c>
      <c r="B278" s="320" t="s">
        <v>1015</v>
      </c>
      <c r="C278" s="320"/>
      <c r="D278" s="320" t="s">
        <v>1016</v>
      </c>
      <c r="E278" s="320">
        <v>2016</v>
      </c>
      <c r="F278" s="404"/>
      <c r="G278" s="676">
        <v>39692</v>
      </c>
      <c r="H278" s="676">
        <v>374796</v>
      </c>
      <c r="I278" s="676">
        <v>92367</v>
      </c>
      <c r="J278" s="676">
        <v>197556</v>
      </c>
      <c r="K278" s="676"/>
      <c r="L278" s="676"/>
      <c r="M278" s="676">
        <v>10965447</v>
      </c>
      <c r="N278" s="676"/>
      <c r="O278" s="676">
        <v>643134</v>
      </c>
      <c r="P278" s="676">
        <v>3997</v>
      </c>
      <c r="Q278" s="676"/>
      <c r="R278" s="676">
        <v>530346</v>
      </c>
      <c r="S278" s="676"/>
      <c r="T278" s="676">
        <v>589725</v>
      </c>
      <c r="U278" s="676">
        <v>39000</v>
      </c>
      <c r="V278" s="676"/>
      <c r="W278" s="676">
        <v>1499</v>
      </c>
      <c r="X278" s="676">
        <v>4.0599999999999996</v>
      </c>
      <c r="Y278" s="676">
        <v>496828</v>
      </c>
      <c r="Z278" s="676">
        <v>1024875755.4299999</v>
      </c>
      <c r="AA278" s="676">
        <v>622545</v>
      </c>
      <c r="AB278" s="676">
        <v>31717253</v>
      </c>
      <c r="AC278" s="676">
        <v>0</v>
      </c>
      <c r="AD278" s="676">
        <v>2176</v>
      </c>
      <c r="AE278" s="676">
        <v>309704</v>
      </c>
      <c r="AF278" s="676">
        <v>85578</v>
      </c>
      <c r="AG278" s="676">
        <v>2030</v>
      </c>
      <c r="AH278" s="676">
        <v>1258</v>
      </c>
      <c r="AI278" s="676">
        <v>22437</v>
      </c>
      <c r="AJ278" s="676">
        <v>14</v>
      </c>
      <c r="AK278" s="676">
        <v>6150361</v>
      </c>
      <c r="AL278" s="676">
        <v>97459</v>
      </c>
      <c r="AM278" s="676">
        <v>66863</v>
      </c>
      <c r="AN278" s="676">
        <v>363127000</v>
      </c>
      <c r="AO278" s="676">
        <v>84</v>
      </c>
      <c r="AP278" s="676">
        <v>28501</v>
      </c>
      <c r="AQ278" s="676">
        <v>209520</v>
      </c>
      <c r="AR278" s="676">
        <v>13075</v>
      </c>
      <c r="AS278" s="676">
        <v>82044</v>
      </c>
      <c r="AT278" s="676">
        <v>1680</v>
      </c>
      <c r="AU278" s="676"/>
      <c r="AV278" s="676">
        <v>163571</v>
      </c>
      <c r="AW278" s="676"/>
      <c r="AX278" s="676">
        <v>122224</v>
      </c>
      <c r="AY278" s="676">
        <v>16465</v>
      </c>
      <c r="AZ278" s="676">
        <v>31667</v>
      </c>
      <c r="BA278" s="676">
        <v>1006030</v>
      </c>
      <c r="BB278" s="676">
        <v>34565</v>
      </c>
      <c r="BC278" s="676">
        <v>1813016</v>
      </c>
      <c r="BD278" s="676">
        <v>6114734</v>
      </c>
      <c r="BE278" s="676">
        <v>76494.22</v>
      </c>
      <c r="BF278" s="676">
        <v>1628000</v>
      </c>
      <c r="BG278" s="676">
        <v>6825000</v>
      </c>
      <c r="BH278" s="676">
        <v>0</v>
      </c>
      <c r="BI278" s="676">
        <v>279869</v>
      </c>
      <c r="BJ278" s="676">
        <v>943392</v>
      </c>
      <c r="BK278" s="676">
        <v>2567</v>
      </c>
      <c r="BL278" s="676"/>
      <c r="BM278" s="676">
        <v>1498000</v>
      </c>
      <c r="BN278" s="676">
        <v>0</v>
      </c>
      <c r="BO278" s="676"/>
      <c r="BP278" s="676">
        <v>3254</v>
      </c>
      <c r="BQ278" s="676">
        <v>13162</v>
      </c>
      <c r="BR278" s="676"/>
      <c r="BS278" s="676"/>
      <c r="BT278" s="676">
        <v>780842</v>
      </c>
      <c r="BU278" s="676"/>
      <c r="BV278" s="676">
        <v>46300</v>
      </c>
      <c r="BW278" s="676">
        <v>96981508</v>
      </c>
      <c r="BX278" s="676">
        <v>15149</v>
      </c>
      <c r="BY278" s="676"/>
      <c r="BZ278" s="676">
        <v>235000</v>
      </c>
      <c r="CA278" s="676">
        <v>2319.3200000000002</v>
      </c>
      <c r="CB278" s="676"/>
      <c r="CC278" s="676">
        <v>780000</v>
      </c>
      <c r="CD278" s="676"/>
      <c r="CE278" s="676">
        <v>30944000</v>
      </c>
      <c r="CF278" s="676"/>
      <c r="CG278" s="676"/>
    </row>
    <row r="279" spans="1:85" x14ac:dyDescent="0.25">
      <c r="A279" s="320" t="s">
        <v>1017</v>
      </c>
      <c r="B279" s="320" t="s">
        <v>1018</v>
      </c>
      <c r="C279" s="320"/>
      <c r="D279" s="320" t="s">
        <v>1019</v>
      </c>
      <c r="E279" s="320">
        <v>2016</v>
      </c>
      <c r="F279" s="404"/>
      <c r="G279" s="676"/>
      <c r="H279" s="676"/>
      <c r="I279" s="676"/>
      <c r="J279" s="676"/>
      <c r="K279" s="676"/>
      <c r="L279" s="676"/>
      <c r="M279" s="676"/>
      <c r="N279" s="676"/>
      <c r="O279" s="676"/>
      <c r="P279" s="676"/>
      <c r="Q279" s="676"/>
      <c r="R279" s="676"/>
      <c r="S279" s="676">
        <v>1409031</v>
      </c>
      <c r="T279" s="676"/>
      <c r="U279" s="676">
        <v>11209000</v>
      </c>
      <c r="V279" s="676"/>
      <c r="W279" s="676"/>
      <c r="X279" s="676">
        <v>0</v>
      </c>
      <c r="Y279" s="676"/>
      <c r="Z279" s="676">
        <v>0</v>
      </c>
      <c r="AA279" s="676"/>
      <c r="AB279" s="676"/>
      <c r="AC279" s="676">
        <v>0</v>
      </c>
      <c r="AD279" s="676"/>
      <c r="AE279" s="676"/>
      <c r="AF279" s="676"/>
      <c r="AG279" s="676"/>
      <c r="AH279" s="676"/>
      <c r="AI279" s="676"/>
      <c r="AJ279" s="676"/>
      <c r="AK279" s="676"/>
      <c r="AL279" s="676"/>
      <c r="AM279" s="676"/>
      <c r="AN279" s="676"/>
      <c r="AO279" s="676"/>
      <c r="AP279" s="676"/>
      <c r="AQ279" s="676"/>
      <c r="AR279" s="676"/>
      <c r="AS279" s="676"/>
      <c r="AT279" s="676">
        <v>0</v>
      </c>
      <c r="AU279" s="676"/>
      <c r="AV279" s="676"/>
      <c r="AW279" s="676"/>
      <c r="AX279" s="676"/>
      <c r="AY279" s="676"/>
      <c r="AZ279" s="676">
        <v>0</v>
      </c>
      <c r="BA279" s="676"/>
      <c r="BB279" s="676"/>
      <c r="BC279" s="676"/>
      <c r="BD279" s="676"/>
      <c r="BE279" s="676">
        <v>0</v>
      </c>
      <c r="BF279" s="676"/>
      <c r="BG279" s="676">
        <v>196739000</v>
      </c>
      <c r="BH279" s="676"/>
      <c r="BI279" s="676"/>
      <c r="BJ279" s="676">
        <v>154500</v>
      </c>
      <c r="BK279" s="676"/>
      <c r="BL279" s="676"/>
      <c r="BM279" s="676"/>
      <c r="BN279" s="676">
        <v>0</v>
      </c>
      <c r="BO279" s="676"/>
      <c r="BP279" s="676"/>
      <c r="BQ279" s="676"/>
      <c r="BR279" s="676"/>
      <c r="BS279" s="676"/>
      <c r="BT279" s="676"/>
      <c r="BU279" s="676">
        <v>8640</v>
      </c>
      <c r="BV279" s="676"/>
      <c r="BW279" s="676"/>
      <c r="BX279" s="676"/>
      <c r="BY279" s="676"/>
      <c r="BZ279" s="676"/>
      <c r="CA279" s="676"/>
      <c r="CB279" s="676"/>
      <c r="CC279" s="676"/>
      <c r="CD279" s="676"/>
      <c r="CE279" s="676"/>
      <c r="CF279" s="676"/>
      <c r="CG279" s="676"/>
    </row>
    <row r="280" spans="1:85" x14ac:dyDescent="0.25">
      <c r="A280" s="320" t="s">
        <v>1020</v>
      </c>
      <c r="B280" s="320" t="s">
        <v>988</v>
      </c>
      <c r="C280" s="320"/>
      <c r="D280" s="320" t="s">
        <v>1021</v>
      </c>
      <c r="E280" s="320">
        <v>2016</v>
      </c>
      <c r="F280" s="404"/>
      <c r="G280" s="676">
        <v>480956</v>
      </c>
      <c r="H280" s="676">
        <v>64047</v>
      </c>
      <c r="I280" s="676">
        <v>38092</v>
      </c>
      <c r="J280" s="676">
        <v>39976</v>
      </c>
      <c r="K280" s="676">
        <v>2200</v>
      </c>
      <c r="L280" s="676">
        <v>15055</v>
      </c>
      <c r="M280" s="676">
        <v>3569767</v>
      </c>
      <c r="N280" s="676">
        <v>6070</v>
      </c>
      <c r="O280" s="676">
        <v>574201</v>
      </c>
      <c r="P280" s="676"/>
      <c r="Q280" s="676">
        <v>985</v>
      </c>
      <c r="R280" s="676">
        <v>70425</v>
      </c>
      <c r="S280" s="676">
        <v>373725</v>
      </c>
      <c r="T280" s="676">
        <v>1137367</v>
      </c>
      <c r="U280" s="676">
        <v>403879000</v>
      </c>
      <c r="V280" s="676">
        <v>1291</v>
      </c>
      <c r="W280" s="676">
        <v>124847</v>
      </c>
      <c r="X280" s="676">
        <v>665.44</v>
      </c>
      <c r="Y280" s="676"/>
      <c r="Z280" s="676">
        <v>15157.13</v>
      </c>
      <c r="AA280" s="676">
        <v>1253</v>
      </c>
      <c r="AB280" s="676">
        <v>129136</v>
      </c>
      <c r="AC280" s="676">
        <v>5200</v>
      </c>
      <c r="AD280" s="676">
        <v>12213</v>
      </c>
      <c r="AE280" s="676">
        <v>87444</v>
      </c>
      <c r="AF280" s="676">
        <v>16896</v>
      </c>
      <c r="AG280" s="676">
        <v>36938</v>
      </c>
      <c r="AH280" s="676">
        <v>2245</v>
      </c>
      <c r="AI280" s="676">
        <v>83293</v>
      </c>
      <c r="AJ280" s="676">
        <v>1160</v>
      </c>
      <c r="AK280" s="676">
        <v>1367254</v>
      </c>
      <c r="AL280" s="676">
        <v>23351</v>
      </c>
      <c r="AM280" s="676">
        <v>3221</v>
      </c>
      <c r="AN280" s="676">
        <v>5455000</v>
      </c>
      <c r="AO280" s="676">
        <v>-2185</v>
      </c>
      <c r="AP280" s="676">
        <v>42263</v>
      </c>
      <c r="AQ280" s="676">
        <v>52266</v>
      </c>
      <c r="AR280" s="676">
        <v>5905</v>
      </c>
      <c r="AS280" s="676">
        <v>1576</v>
      </c>
      <c r="AT280" s="676">
        <v>36898.589999999997</v>
      </c>
      <c r="AU280" s="676">
        <v>854</v>
      </c>
      <c r="AV280" s="676">
        <v>4512</v>
      </c>
      <c r="AW280" s="676">
        <v>413</v>
      </c>
      <c r="AX280" s="676">
        <v>427788</v>
      </c>
      <c r="AY280" s="676">
        <v>13332</v>
      </c>
      <c r="AZ280" s="676">
        <v>4771</v>
      </c>
      <c r="BA280" s="676">
        <v>89680</v>
      </c>
      <c r="BB280" s="676"/>
      <c r="BC280" s="676">
        <v>1907015</v>
      </c>
      <c r="BD280" s="676">
        <v>4272977</v>
      </c>
      <c r="BE280" s="676">
        <v>18134.990000000002</v>
      </c>
      <c r="BF280" s="676">
        <v>12195000</v>
      </c>
      <c r="BG280" s="676">
        <v>15114000</v>
      </c>
      <c r="BH280" s="676"/>
      <c r="BI280" s="676">
        <v>7491291</v>
      </c>
      <c r="BJ280" s="676">
        <v>580285</v>
      </c>
      <c r="BK280" s="676">
        <v>1891</v>
      </c>
      <c r="BL280" s="676">
        <v>1230</v>
      </c>
      <c r="BM280" s="676"/>
      <c r="BN280" s="676">
        <v>9723</v>
      </c>
      <c r="BO280" s="676">
        <v>115</v>
      </c>
      <c r="BP280" s="676">
        <v>382</v>
      </c>
      <c r="BQ280" s="676">
        <v>20219</v>
      </c>
      <c r="BR280" s="676">
        <v>8676</v>
      </c>
      <c r="BS280" s="676">
        <v>61241</v>
      </c>
      <c r="BT280" s="676">
        <v>30468</v>
      </c>
      <c r="BU280" s="676">
        <v>225</v>
      </c>
      <c r="BV280" s="676">
        <v>2542</v>
      </c>
      <c r="BW280" s="676">
        <v>426195</v>
      </c>
      <c r="BX280" s="676">
        <v>161691</v>
      </c>
      <c r="BY280" s="676">
        <v>126759</v>
      </c>
      <c r="BZ280" s="676">
        <v>54000</v>
      </c>
      <c r="CA280" s="676">
        <v>11689.35</v>
      </c>
      <c r="CB280" s="676">
        <v>325.13</v>
      </c>
      <c r="CC280" s="676">
        <v>437000</v>
      </c>
      <c r="CD280" s="676">
        <v>5290</v>
      </c>
      <c r="CE280" s="676">
        <v>383000</v>
      </c>
      <c r="CF280" s="676"/>
      <c r="CG280" s="676">
        <v>44367000</v>
      </c>
    </row>
    <row r="281" spans="1:85" x14ac:dyDescent="0.25">
      <c r="A281" s="320" t="s">
        <v>1022</v>
      </c>
      <c r="B281" s="320" t="s">
        <v>1375</v>
      </c>
      <c r="C281" s="320" t="s">
        <v>1376</v>
      </c>
      <c r="D281" s="320" t="s">
        <v>1023</v>
      </c>
      <c r="E281" s="320">
        <v>2016</v>
      </c>
      <c r="F281" s="404"/>
      <c r="G281" s="676"/>
      <c r="H281" s="676"/>
      <c r="I281" s="676"/>
      <c r="J281" s="676"/>
      <c r="K281" s="676"/>
      <c r="L281" s="676"/>
      <c r="M281" s="676"/>
      <c r="N281" s="676"/>
      <c r="O281" s="676"/>
      <c r="P281" s="676"/>
      <c r="Q281" s="676"/>
      <c r="R281" s="676"/>
      <c r="S281" s="676"/>
      <c r="T281" s="676"/>
      <c r="U281" s="676"/>
      <c r="V281" s="676"/>
      <c r="W281" s="676"/>
      <c r="X281" s="676">
        <v>0</v>
      </c>
      <c r="Y281" s="676"/>
      <c r="Z281" s="676">
        <v>34881.85</v>
      </c>
      <c r="AA281" s="676"/>
      <c r="AB281" s="676"/>
      <c r="AC281" s="676">
        <v>0</v>
      </c>
      <c r="AD281" s="676"/>
      <c r="AE281" s="676"/>
      <c r="AF281" s="676"/>
      <c r="AG281" s="676"/>
      <c r="AH281" s="676"/>
      <c r="AI281" s="676"/>
      <c r="AJ281" s="676"/>
      <c r="AK281" s="676"/>
      <c r="AL281" s="676"/>
      <c r="AM281" s="676"/>
      <c r="AN281" s="676"/>
      <c r="AO281" s="676">
        <v>0</v>
      </c>
      <c r="AP281" s="676"/>
      <c r="AQ281" s="676"/>
      <c r="AR281" s="676"/>
      <c r="AS281" s="676"/>
      <c r="AT281" s="676">
        <v>0</v>
      </c>
      <c r="AU281" s="676"/>
      <c r="AV281" s="676"/>
      <c r="AW281" s="676"/>
      <c r="AX281" s="676"/>
      <c r="AY281" s="676"/>
      <c r="AZ281" s="676">
        <v>0</v>
      </c>
      <c r="BA281" s="676"/>
      <c r="BB281" s="676"/>
      <c r="BC281" s="676"/>
      <c r="BD281" s="676"/>
      <c r="BE281" s="676">
        <v>0</v>
      </c>
      <c r="BF281" s="676"/>
      <c r="BG281" s="676"/>
      <c r="BH281" s="676"/>
      <c r="BI281" s="676"/>
      <c r="BJ281" s="676">
        <v>4345</v>
      </c>
      <c r="BK281" s="676"/>
      <c r="BL281" s="676"/>
      <c r="BM281" s="676"/>
      <c r="BN281" s="676">
        <v>0</v>
      </c>
      <c r="BO281" s="676"/>
      <c r="BP281" s="676"/>
      <c r="BQ281" s="676"/>
      <c r="BR281" s="676"/>
      <c r="BS281" s="676"/>
      <c r="BT281" s="676"/>
      <c r="BU281" s="676"/>
      <c r="BV281" s="676"/>
      <c r="BW281" s="676"/>
      <c r="BX281" s="676"/>
      <c r="BY281" s="676"/>
      <c r="BZ281" s="676"/>
      <c r="CA281" s="676"/>
      <c r="CB281" s="676"/>
      <c r="CC281" s="676"/>
      <c r="CD281" s="676"/>
      <c r="CE281" s="676"/>
      <c r="CF281" s="676"/>
      <c r="CG281" s="676"/>
    </row>
    <row r="282" spans="1:85" x14ac:dyDescent="0.25">
      <c r="A282" s="320" t="s">
        <v>1024</v>
      </c>
      <c r="B282" s="320" t="s">
        <v>1377</v>
      </c>
      <c r="C282" s="320" t="s">
        <v>1378</v>
      </c>
      <c r="D282" s="320" t="s">
        <v>1025</v>
      </c>
      <c r="E282" s="320">
        <v>2016</v>
      </c>
      <c r="F282" s="404"/>
      <c r="G282" s="676"/>
      <c r="H282" s="676"/>
      <c r="I282" s="676"/>
      <c r="J282" s="676"/>
      <c r="K282" s="676"/>
      <c r="L282" s="676"/>
      <c r="M282" s="676"/>
      <c r="N282" s="676"/>
      <c r="O282" s="676"/>
      <c r="P282" s="676"/>
      <c r="Q282" s="676"/>
      <c r="R282" s="676"/>
      <c r="S282" s="676"/>
      <c r="T282" s="676"/>
      <c r="U282" s="676"/>
      <c r="V282" s="676"/>
      <c r="W282" s="676"/>
      <c r="X282" s="676">
        <v>0</v>
      </c>
      <c r="Y282" s="676"/>
      <c r="Z282" s="676">
        <v>34881.85</v>
      </c>
      <c r="AA282" s="676"/>
      <c r="AB282" s="676"/>
      <c r="AC282" s="676">
        <v>0</v>
      </c>
      <c r="AD282" s="676"/>
      <c r="AE282" s="676"/>
      <c r="AF282" s="676"/>
      <c r="AG282" s="676"/>
      <c r="AH282" s="676"/>
      <c r="AI282" s="676"/>
      <c r="AJ282" s="676"/>
      <c r="AK282" s="676"/>
      <c r="AL282" s="676"/>
      <c r="AM282" s="676"/>
      <c r="AN282" s="676"/>
      <c r="AO282" s="676"/>
      <c r="AP282" s="676"/>
      <c r="AQ282" s="676"/>
      <c r="AR282" s="676"/>
      <c r="AS282" s="676"/>
      <c r="AT282" s="676">
        <v>0</v>
      </c>
      <c r="AU282" s="676"/>
      <c r="AV282" s="676"/>
      <c r="AW282" s="676"/>
      <c r="AX282" s="676"/>
      <c r="AY282" s="676"/>
      <c r="AZ282" s="676">
        <v>0</v>
      </c>
      <c r="BA282" s="676"/>
      <c r="BB282" s="676"/>
      <c r="BC282" s="676"/>
      <c r="BD282" s="676"/>
      <c r="BE282" s="676">
        <v>0</v>
      </c>
      <c r="BF282" s="676"/>
      <c r="BG282" s="676"/>
      <c r="BH282" s="676"/>
      <c r="BI282" s="676"/>
      <c r="BJ282" s="676"/>
      <c r="BK282" s="676"/>
      <c r="BL282" s="676"/>
      <c r="BM282" s="676"/>
      <c r="BN282" s="676">
        <v>0</v>
      </c>
      <c r="BO282" s="676"/>
      <c r="BP282" s="676"/>
      <c r="BQ282" s="676"/>
      <c r="BR282" s="676"/>
      <c r="BS282" s="676"/>
      <c r="BT282" s="676"/>
      <c r="BU282" s="676"/>
      <c r="BV282" s="676"/>
      <c r="BW282" s="676"/>
      <c r="BX282" s="676"/>
      <c r="BY282" s="676"/>
      <c r="BZ282" s="676"/>
      <c r="CA282" s="676"/>
      <c r="CB282" s="676"/>
      <c r="CC282" s="676"/>
      <c r="CD282" s="676"/>
      <c r="CE282" s="676"/>
      <c r="CF282" s="676"/>
      <c r="CG282" s="676"/>
    </row>
    <row r="283" spans="1:85" x14ac:dyDescent="0.25">
      <c r="A283" s="320" t="s">
        <v>1026</v>
      </c>
      <c r="B283" s="320" t="s">
        <v>1379</v>
      </c>
      <c r="C283" s="320" t="s">
        <v>1378</v>
      </c>
      <c r="D283" s="320" t="s">
        <v>1027</v>
      </c>
      <c r="E283" s="320">
        <v>2016</v>
      </c>
      <c r="F283" s="404"/>
      <c r="G283" s="676"/>
      <c r="H283" s="676"/>
      <c r="I283" s="676"/>
      <c r="J283" s="676"/>
      <c r="K283" s="676"/>
      <c r="L283" s="676"/>
      <c r="M283" s="676"/>
      <c r="N283" s="676"/>
      <c r="O283" s="676"/>
      <c r="P283" s="676"/>
      <c r="Q283" s="676"/>
      <c r="R283" s="676"/>
      <c r="S283" s="676"/>
      <c r="T283" s="676"/>
      <c r="U283" s="676"/>
      <c r="V283" s="676"/>
      <c r="W283" s="676"/>
      <c r="X283" s="676">
        <v>0</v>
      </c>
      <c r="Y283" s="676"/>
      <c r="Z283" s="676">
        <v>0</v>
      </c>
      <c r="AA283" s="676"/>
      <c r="AB283" s="676"/>
      <c r="AC283" s="676">
        <v>0</v>
      </c>
      <c r="AD283" s="676"/>
      <c r="AE283" s="676"/>
      <c r="AF283" s="676"/>
      <c r="AG283" s="676"/>
      <c r="AH283" s="676"/>
      <c r="AI283" s="676"/>
      <c r="AJ283" s="676"/>
      <c r="AK283" s="676"/>
      <c r="AL283" s="676"/>
      <c r="AM283" s="676"/>
      <c r="AN283" s="676"/>
      <c r="AO283" s="676"/>
      <c r="AP283" s="676"/>
      <c r="AQ283" s="676"/>
      <c r="AR283" s="676"/>
      <c r="AS283" s="676"/>
      <c r="AT283" s="676">
        <v>0</v>
      </c>
      <c r="AU283" s="676"/>
      <c r="AV283" s="676"/>
      <c r="AW283" s="676"/>
      <c r="AX283" s="676"/>
      <c r="AY283" s="676"/>
      <c r="AZ283" s="676">
        <v>0</v>
      </c>
      <c r="BA283" s="676"/>
      <c r="BB283" s="676"/>
      <c r="BC283" s="676"/>
      <c r="BD283" s="676"/>
      <c r="BE283" s="676">
        <v>0</v>
      </c>
      <c r="BF283" s="676"/>
      <c r="BG283" s="676"/>
      <c r="BH283" s="676"/>
      <c r="BI283" s="676"/>
      <c r="BJ283" s="676">
        <v>4345</v>
      </c>
      <c r="BK283" s="676"/>
      <c r="BL283" s="676"/>
      <c r="BM283" s="676"/>
      <c r="BN283" s="676">
        <v>0</v>
      </c>
      <c r="BO283" s="676"/>
      <c r="BP283" s="676"/>
      <c r="BQ283" s="676"/>
      <c r="BR283" s="676"/>
      <c r="BS283" s="676"/>
      <c r="BT283" s="676"/>
      <c r="BU283" s="676"/>
      <c r="BV283" s="676"/>
      <c r="BW283" s="676"/>
      <c r="BX283" s="676"/>
      <c r="BY283" s="676"/>
      <c r="BZ283" s="676"/>
      <c r="CA283" s="676"/>
      <c r="CB283" s="676"/>
      <c r="CC283" s="676"/>
      <c r="CD283" s="676"/>
      <c r="CE283" s="676"/>
      <c r="CF283" s="676"/>
      <c r="CG283" s="676"/>
    </row>
    <row r="284" spans="1:85" x14ac:dyDescent="0.25">
      <c r="A284" s="320" t="s">
        <v>1028</v>
      </c>
      <c r="B284" s="320" t="s">
        <v>1380</v>
      </c>
      <c r="C284" s="320">
        <v>-252</v>
      </c>
      <c r="D284" s="320" t="s">
        <v>1029</v>
      </c>
      <c r="E284" s="320">
        <v>2016</v>
      </c>
      <c r="F284" s="404"/>
      <c r="G284" s="676"/>
      <c r="H284" s="676"/>
      <c r="I284" s="676"/>
      <c r="J284" s="676"/>
      <c r="K284" s="676"/>
      <c r="L284" s="676"/>
      <c r="M284" s="676"/>
      <c r="N284" s="676"/>
      <c r="O284" s="676"/>
      <c r="P284" s="676"/>
      <c r="Q284" s="676"/>
      <c r="R284" s="676"/>
      <c r="S284" s="676"/>
      <c r="T284" s="676"/>
      <c r="U284" s="676"/>
      <c r="V284" s="676"/>
      <c r="W284" s="676"/>
      <c r="X284" s="676">
        <v>0</v>
      </c>
      <c r="Y284" s="676"/>
      <c r="Z284" s="676">
        <v>0</v>
      </c>
      <c r="AA284" s="676"/>
      <c r="AB284" s="676"/>
      <c r="AC284" s="676">
        <v>0</v>
      </c>
      <c r="AD284" s="676"/>
      <c r="AE284" s="676"/>
      <c r="AF284" s="676"/>
      <c r="AG284" s="676"/>
      <c r="AH284" s="676"/>
      <c r="AI284" s="676"/>
      <c r="AJ284" s="676"/>
      <c r="AK284" s="676"/>
      <c r="AL284" s="676"/>
      <c r="AM284" s="676"/>
      <c r="AN284" s="676"/>
      <c r="AO284" s="676"/>
      <c r="AP284" s="676"/>
      <c r="AQ284" s="676"/>
      <c r="AR284" s="676"/>
      <c r="AS284" s="676"/>
      <c r="AT284" s="676">
        <v>0</v>
      </c>
      <c r="AU284" s="676"/>
      <c r="AV284" s="676"/>
      <c r="AW284" s="676"/>
      <c r="AX284" s="676"/>
      <c r="AY284" s="676"/>
      <c r="AZ284" s="676">
        <v>0</v>
      </c>
      <c r="BA284" s="676"/>
      <c r="BB284" s="676"/>
      <c r="BC284" s="676"/>
      <c r="BD284" s="676"/>
      <c r="BE284" s="676">
        <v>0</v>
      </c>
      <c r="BF284" s="676"/>
      <c r="BG284" s="676"/>
      <c r="BH284" s="676"/>
      <c r="BI284" s="676"/>
      <c r="BJ284" s="676"/>
      <c r="BK284" s="676"/>
      <c r="BL284" s="676"/>
      <c r="BM284" s="676"/>
      <c r="BN284" s="676">
        <v>0</v>
      </c>
      <c r="BO284" s="676"/>
      <c r="BP284" s="676"/>
      <c r="BQ284" s="676"/>
      <c r="BR284" s="676"/>
      <c r="BS284" s="676"/>
      <c r="BT284" s="676"/>
      <c r="BU284" s="676"/>
      <c r="BV284" s="676"/>
      <c r="BW284" s="676"/>
      <c r="BX284" s="676"/>
      <c r="BY284" s="676"/>
      <c r="BZ284" s="676"/>
      <c r="CA284" s="676"/>
      <c r="CB284" s="676"/>
      <c r="CC284" s="676"/>
      <c r="CD284" s="676"/>
      <c r="CE284" s="676"/>
      <c r="CF284" s="676"/>
      <c r="CG284" s="676"/>
    </row>
    <row r="285" spans="1:85" x14ac:dyDescent="0.25">
      <c r="A285" s="320" t="s">
        <v>1030</v>
      </c>
      <c r="B285" s="320" t="s">
        <v>1381</v>
      </c>
      <c r="C285" s="320" t="s">
        <v>1382</v>
      </c>
      <c r="D285" s="320" t="s">
        <v>1031</v>
      </c>
      <c r="E285" s="320">
        <v>2016</v>
      </c>
      <c r="F285" s="404"/>
      <c r="G285" s="676"/>
      <c r="H285" s="676"/>
      <c r="I285" s="676"/>
      <c r="J285" s="676"/>
      <c r="K285" s="676"/>
      <c r="L285" s="676"/>
      <c r="M285" s="676"/>
      <c r="N285" s="676"/>
      <c r="O285" s="676"/>
      <c r="P285" s="676"/>
      <c r="Q285" s="676"/>
      <c r="R285" s="676"/>
      <c r="S285" s="676"/>
      <c r="T285" s="676"/>
      <c r="U285" s="676"/>
      <c r="V285" s="676"/>
      <c r="W285" s="676"/>
      <c r="X285" s="676">
        <v>0</v>
      </c>
      <c r="Y285" s="676"/>
      <c r="Z285" s="676">
        <v>0</v>
      </c>
      <c r="AA285" s="676"/>
      <c r="AB285" s="676"/>
      <c r="AC285" s="676">
        <v>0</v>
      </c>
      <c r="AD285" s="676"/>
      <c r="AE285" s="676"/>
      <c r="AF285" s="676"/>
      <c r="AG285" s="676"/>
      <c r="AH285" s="676"/>
      <c r="AI285" s="676"/>
      <c r="AJ285" s="676"/>
      <c r="AK285" s="676"/>
      <c r="AL285" s="676"/>
      <c r="AM285" s="676"/>
      <c r="AN285" s="676"/>
      <c r="AO285" s="676"/>
      <c r="AP285" s="676"/>
      <c r="AQ285" s="676"/>
      <c r="AR285" s="676"/>
      <c r="AS285" s="676"/>
      <c r="AT285" s="676">
        <v>0</v>
      </c>
      <c r="AU285" s="676"/>
      <c r="AV285" s="676"/>
      <c r="AW285" s="676"/>
      <c r="AX285" s="676"/>
      <c r="AY285" s="676"/>
      <c r="AZ285" s="676">
        <v>0</v>
      </c>
      <c r="BA285" s="676"/>
      <c r="BB285" s="676"/>
      <c r="BC285" s="676"/>
      <c r="BD285" s="676"/>
      <c r="BE285" s="676">
        <v>0</v>
      </c>
      <c r="BF285" s="676"/>
      <c r="BG285" s="676"/>
      <c r="BH285" s="676"/>
      <c r="BI285" s="676"/>
      <c r="BJ285" s="676"/>
      <c r="BK285" s="676"/>
      <c r="BL285" s="676"/>
      <c r="BM285" s="676"/>
      <c r="BN285" s="676">
        <v>0</v>
      </c>
      <c r="BO285" s="676"/>
      <c r="BP285" s="676"/>
      <c r="BQ285" s="676"/>
      <c r="BR285" s="676"/>
      <c r="BS285" s="676"/>
      <c r="BT285" s="676"/>
      <c r="BU285" s="676"/>
      <c r="BV285" s="676"/>
      <c r="BW285" s="676"/>
      <c r="BX285" s="676"/>
      <c r="BY285" s="676"/>
      <c r="BZ285" s="676"/>
      <c r="CA285" s="676"/>
      <c r="CB285" s="676"/>
      <c r="CC285" s="676"/>
      <c r="CD285" s="676"/>
      <c r="CE285" s="676"/>
      <c r="CF285" s="676"/>
      <c r="CG285" s="676"/>
    </row>
    <row r="286" spans="1:85" x14ac:dyDescent="0.25">
      <c r="A286" s="320" t="s">
        <v>1032</v>
      </c>
      <c r="B286" s="320" t="s">
        <v>1383</v>
      </c>
      <c r="C286" s="320" t="s">
        <v>1384</v>
      </c>
      <c r="D286" s="320" t="s">
        <v>1033</v>
      </c>
      <c r="E286" s="320">
        <v>2016</v>
      </c>
      <c r="F286" s="404">
        <v>1055373</v>
      </c>
      <c r="G286" s="676">
        <v>3325199</v>
      </c>
      <c r="H286" s="676">
        <v>3941962</v>
      </c>
      <c r="I286" s="676">
        <v>4433612</v>
      </c>
      <c r="J286" s="676">
        <v>1592948</v>
      </c>
      <c r="K286" s="676">
        <v>1898396</v>
      </c>
      <c r="L286" s="676">
        <v>810908</v>
      </c>
      <c r="M286" s="676">
        <v>3275756</v>
      </c>
      <c r="N286" s="676">
        <v>164752</v>
      </c>
      <c r="O286" s="676">
        <v>6949135</v>
      </c>
      <c r="P286" s="676">
        <v>3489279</v>
      </c>
      <c r="Q286" s="676">
        <v>743625</v>
      </c>
      <c r="R286" s="676">
        <v>869911</v>
      </c>
      <c r="S286" s="676">
        <v>4741505</v>
      </c>
      <c r="T286" s="676">
        <v>4161590</v>
      </c>
      <c r="U286" s="676">
        <v>104269000</v>
      </c>
      <c r="V286" s="676">
        <v>5332047</v>
      </c>
      <c r="W286" s="676">
        <v>376618</v>
      </c>
      <c r="X286" s="676">
        <v>144133.4</v>
      </c>
      <c r="Y286" s="676">
        <v>3854131</v>
      </c>
      <c r="Z286" s="676">
        <v>206931615.56999999</v>
      </c>
      <c r="AA286" s="676">
        <v>520845</v>
      </c>
      <c r="AB286" s="676">
        <v>22106824</v>
      </c>
      <c r="AC286" s="676">
        <v>92039.18</v>
      </c>
      <c r="AD286" s="676">
        <v>1528033</v>
      </c>
      <c r="AE286" s="676">
        <v>15469610</v>
      </c>
      <c r="AF286" s="676">
        <v>4186037</v>
      </c>
      <c r="AG286" s="676">
        <v>98517</v>
      </c>
      <c r="AH286" s="676">
        <v>217123</v>
      </c>
      <c r="AI286" s="676">
        <v>694104</v>
      </c>
      <c r="AJ286" s="676">
        <v>4790</v>
      </c>
      <c r="AK286" s="676">
        <v>24598010</v>
      </c>
      <c r="AL286" s="676">
        <v>1529940</v>
      </c>
      <c r="AM286" s="676">
        <v>5268996</v>
      </c>
      <c r="AN286" s="676">
        <v>31352000</v>
      </c>
      <c r="AO286" s="676">
        <v>30032898</v>
      </c>
      <c r="AP286" s="676">
        <v>1722810</v>
      </c>
      <c r="AQ286" s="676">
        <v>2214119</v>
      </c>
      <c r="AR286" s="676">
        <v>11304</v>
      </c>
      <c r="AS286" s="676">
        <v>6368</v>
      </c>
      <c r="AT286" s="676">
        <v>964766.67</v>
      </c>
      <c r="AU286" s="676">
        <v>21318</v>
      </c>
      <c r="AV286" s="676">
        <v>3712883</v>
      </c>
      <c r="AW286" s="676">
        <v>436409</v>
      </c>
      <c r="AX286" s="676">
        <v>7007802</v>
      </c>
      <c r="AY286" s="676">
        <v>464729</v>
      </c>
      <c r="AZ286" s="676">
        <v>1769805</v>
      </c>
      <c r="BA286" s="676">
        <v>1022930</v>
      </c>
      <c r="BB286" s="676">
        <v>2924944</v>
      </c>
      <c r="BC286" s="676">
        <v>175976</v>
      </c>
      <c r="BD286" s="676">
        <v>45014938</v>
      </c>
      <c r="BE286" s="676">
        <v>49558236.329999998</v>
      </c>
      <c r="BF286" s="676">
        <v>111247000</v>
      </c>
      <c r="BG286" s="676">
        <v>31123000</v>
      </c>
      <c r="BH286" s="676">
        <v>492694000</v>
      </c>
      <c r="BI286" s="676">
        <v>21219177</v>
      </c>
      <c r="BJ286" s="676">
        <v>4771445</v>
      </c>
      <c r="BK286" s="676">
        <v>1922872</v>
      </c>
      <c r="BL286" s="676">
        <v>4803013</v>
      </c>
      <c r="BM286" s="676">
        <v>21311000</v>
      </c>
      <c r="BN286" s="676">
        <v>6633887</v>
      </c>
      <c r="BO286" s="676">
        <v>2876877</v>
      </c>
      <c r="BP286" s="676">
        <v>2712720</v>
      </c>
      <c r="BQ286" s="676">
        <v>112056</v>
      </c>
      <c r="BR286" s="676">
        <v>1279749</v>
      </c>
      <c r="BS286" s="676">
        <v>44088343</v>
      </c>
      <c r="BT286" s="676">
        <v>20984340</v>
      </c>
      <c r="BU286" s="676">
        <v>100690</v>
      </c>
      <c r="BV286" s="676">
        <v>2709926</v>
      </c>
      <c r="BW286" s="676">
        <v>51576873</v>
      </c>
      <c r="BX286" s="676">
        <v>64918</v>
      </c>
      <c r="BY286" s="676">
        <v>96363</v>
      </c>
      <c r="BZ286" s="676">
        <v>8113000</v>
      </c>
      <c r="CA286" s="676">
        <v>5671777.4699999997</v>
      </c>
      <c r="CB286" s="676">
        <v>13301533.92</v>
      </c>
      <c r="CC286" s="676">
        <v>77331000</v>
      </c>
      <c r="CD286" s="676">
        <v>649185</v>
      </c>
      <c r="CE286" s="676">
        <v>78809000</v>
      </c>
      <c r="CF286" s="676">
        <v>125000</v>
      </c>
      <c r="CG286" s="676">
        <v>939000</v>
      </c>
    </row>
    <row r="287" spans="1:85" x14ac:dyDescent="0.25">
      <c r="A287" s="320" t="s">
        <v>1034</v>
      </c>
      <c r="B287" s="320" t="s">
        <v>1035</v>
      </c>
      <c r="C287" s="320"/>
      <c r="D287" s="320" t="s">
        <v>1036</v>
      </c>
      <c r="E287" s="320">
        <v>2016</v>
      </c>
      <c r="F287" s="404">
        <v>872</v>
      </c>
      <c r="G287" s="676">
        <v>1065</v>
      </c>
      <c r="H287" s="676">
        <v>26354</v>
      </c>
      <c r="I287" s="676">
        <v>19433</v>
      </c>
      <c r="J287" s="676">
        <v>24363</v>
      </c>
      <c r="K287" s="676">
        <v>19595</v>
      </c>
      <c r="L287" s="676">
        <v>10743</v>
      </c>
      <c r="M287" s="676">
        <v>7368</v>
      </c>
      <c r="N287" s="676">
        <v>836</v>
      </c>
      <c r="O287" s="676">
        <v>31889</v>
      </c>
      <c r="P287" s="676">
        <v>1155</v>
      </c>
      <c r="Q287" s="676">
        <v>12168</v>
      </c>
      <c r="R287" s="676">
        <v>4052</v>
      </c>
      <c r="S287" s="676">
        <v>31451</v>
      </c>
      <c r="T287" s="676">
        <v>17069</v>
      </c>
      <c r="U287" s="676"/>
      <c r="V287" s="676"/>
      <c r="W287" s="676">
        <v>15905</v>
      </c>
      <c r="X287" s="676">
        <v>3133.72</v>
      </c>
      <c r="Y287" s="676">
        <v>1816</v>
      </c>
      <c r="Z287" s="676">
        <v>66097.710000000006</v>
      </c>
      <c r="AA287" s="676">
        <v>532</v>
      </c>
      <c r="AB287" s="676">
        <v>120774</v>
      </c>
      <c r="AC287" s="676">
        <v>10758.46</v>
      </c>
      <c r="AD287" s="676">
        <v>1528</v>
      </c>
      <c r="AE287" s="676">
        <v>31019</v>
      </c>
      <c r="AF287" s="676">
        <v>20554</v>
      </c>
      <c r="AG287" s="676">
        <v>189</v>
      </c>
      <c r="AH287" s="676">
        <v>1906</v>
      </c>
      <c r="AI287" s="676">
        <v>9486</v>
      </c>
      <c r="AJ287" s="676">
        <v>274</v>
      </c>
      <c r="AK287" s="676">
        <v>34905</v>
      </c>
      <c r="AL287" s="676">
        <v>1137</v>
      </c>
      <c r="AM287" s="676">
        <v>4166</v>
      </c>
      <c r="AN287" s="676">
        <v>160000</v>
      </c>
      <c r="AO287" s="676">
        <v>5049</v>
      </c>
      <c r="AP287" s="676">
        <v>16556</v>
      </c>
      <c r="AQ287" s="676">
        <v>4786</v>
      </c>
      <c r="AR287" s="676">
        <v>5288</v>
      </c>
      <c r="AS287" s="676">
        <v>5384</v>
      </c>
      <c r="AT287" s="676">
        <v>28048.33</v>
      </c>
      <c r="AU287" s="676">
        <v>10214</v>
      </c>
      <c r="AV287" s="676">
        <v>6982</v>
      </c>
      <c r="AW287" s="676">
        <v>7675</v>
      </c>
      <c r="AX287" s="676">
        <v>20986</v>
      </c>
      <c r="AY287" s="676">
        <v>5007</v>
      </c>
      <c r="AZ287" s="676">
        <v>8766</v>
      </c>
      <c r="BA287" s="676">
        <v>4937</v>
      </c>
      <c r="BB287" s="676">
        <v>3331</v>
      </c>
      <c r="BC287" s="676">
        <v>5637</v>
      </c>
      <c r="BD287" s="676"/>
      <c r="BE287" s="676">
        <v>19125.13</v>
      </c>
      <c r="BF287" s="676"/>
      <c r="BG287" s="676"/>
      <c r="BH287" s="676"/>
      <c r="BI287" s="676">
        <v>133603</v>
      </c>
      <c r="BJ287" s="676">
        <v>4523</v>
      </c>
      <c r="BK287" s="676">
        <v>1458</v>
      </c>
      <c r="BL287" s="676">
        <v>2897</v>
      </c>
      <c r="BM287" s="676"/>
      <c r="BN287" s="676">
        <v>3239</v>
      </c>
      <c r="BO287" s="676">
        <v>2117</v>
      </c>
      <c r="BP287" s="676">
        <v>2669</v>
      </c>
      <c r="BQ287" s="676">
        <v>756</v>
      </c>
      <c r="BR287" s="676">
        <v>5091</v>
      </c>
      <c r="BS287" s="676">
        <v>79197</v>
      </c>
      <c r="BT287" s="676">
        <v>33909</v>
      </c>
      <c r="BU287" s="676">
        <v>608</v>
      </c>
      <c r="BV287" s="676">
        <v>4392</v>
      </c>
      <c r="BW287" s="676">
        <v>79446</v>
      </c>
      <c r="BX287" s="676">
        <v>22416</v>
      </c>
      <c r="BY287" s="676">
        <v>3871</v>
      </c>
      <c r="BZ287" s="676"/>
      <c r="CA287" s="676">
        <v>2226.0500000000002</v>
      </c>
      <c r="CB287" s="676">
        <v>63451.89</v>
      </c>
      <c r="CC287" s="676">
        <v>0</v>
      </c>
      <c r="CD287" s="676">
        <v>3660</v>
      </c>
      <c r="CE287" s="676">
        <v>543000</v>
      </c>
      <c r="CF287" s="676"/>
      <c r="CG287" s="676">
        <v>216000</v>
      </c>
    </row>
    <row r="288" spans="1:85" x14ac:dyDescent="0.25">
      <c r="A288" s="320" t="s">
        <v>1037</v>
      </c>
      <c r="B288" s="320" t="s">
        <v>1038</v>
      </c>
      <c r="C288" s="320"/>
      <c r="D288" s="320" t="s">
        <v>1039</v>
      </c>
      <c r="E288" s="320">
        <v>2016</v>
      </c>
      <c r="F288" s="404">
        <v>1054501</v>
      </c>
      <c r="G288" s="676">
        <v>3324134</v>
      </c>
      <c r="H288" s="676">
        <v>3915608</v>
      </c>
      <c r="I288" s="676">
        <v>4414179</v>
      </c>
      <c r="J288" s="676">
        <v>1568585</v>
      </c>
      <c r="K288" s="676">
        <v>1878801</v>
      </c>
      <c r="L288" s="676">
        <v>800165</v>
      </c>
      <c r="M288" s="676">
        <v>3268388</v>
      </c>
      <c r="N288" s="676">
        <v>163916</v>
      </c>
      <c r="O288" s="676">
        <v>6917246</v>
      </c>
      <c r="P288" s="676">
        <v>3488124</v>
      </c>
      <c r="Q288" s="676">
        <v>731457</v>
      </c>
      <c r="R288" s="676">
        <v>865859</v>
      </c>
      <c r="S288" s="676">
        <v>4710054</v>
      </c>
      <c r="T288" s="676">
        <v>4144521</v>
      </c>
      <c r="U288" s="676"/>
      <c r="V288" s="676">
        <v>5332047</v>
      </c>
      <c r="W288" s="676">
        <v>360713</v>
      </c>
      <c r="X288" s="676">
        <v>140999.67999999999</v>
      </c>
      <c r="Y288" s="676">
        <v>3852315</v>
      </c>
      <c r="Z288" s="676">
        <v>206865517.86000001</v>
      </c>
      <c r="AA288" s="676">
        <v>520313</v>
      </c>
      <c r="AB288" s="676">
        <v>21986050</v>
      </c>
      <c r="AC288" s="676">
        <v>81280.72</v>
      </c>
      <c r="AD288" s="676">
        <v>1526505</v>
      </c>
      <c r="AE288" s="676">
        <v>15438591</v>
      </c>
      <c r="AF288" s="676">
        <v>4165483</v>
      </c>
      <c r="AG288" s="676">
        <v>98328</v>
      </c>
      <c r="AH288" s="676">
        <v>215217</v>
      </c>
      <c r="AI288" s="676">
        <v>684618</v>
      </c>
      <c r="AJ288" s="676">
        <v>4516</v>
      </c>
      <c r="AK288" s="676">
        <v>24563105</v>
      </c>
      <c r="AL288" s="676">
        <v>1528803</v>
      </c>
      <c r="AM288" s="676">
        <v>5264830</v>
      </c>
      <c r="AN288" s="676">
        <v>31192000</v>
      </c>
      <c r="AO288" s="676">
        <v>30027849</v>
      </c>
      <c r="AP288" s="676">
        <v>1706254</v>
      </c>
      <c r="AQ288" s="676">
        <v>2209333</v>
      </c>
      <c r="AR288" s="676">
        <v>6016</v>
      </c>
      <c r="AS288" s="676">
        <v>984</v>
      </c>
      <c r="AT288" s="676">
        <v>936718.34</v>
      </c>
      <c r="AU288" s="676">
        <v>11104</v>
      </c>
      <c r="AV288" s="676">
        <v>3705901</v>
      </c>
      <c r="AW288" s="676">
        <v>428734</v>
      </c>
      <c r="AX288" s="676">
        <v>6986816</v>
      </c>
      <c r="AY288" s="676">
        <v>459722</v>
      </c>
      <c r="AZ288" s="676">
        <v>1761039</v>
      </c>
      <c r="BA288" s="676">
        <v>1017993</v>
      </c>
      <c r="BB288" s="676">
        <v>2921613</v>
      </c>
      <c r="BC288" s="676">
        <v>170339</v>
      </c>
      <c r="BD288" s="676">
        <v>45014938</v>
      </c>
      <c r="BE288" s="676">
        <v>49539111.200000003</v>
      </c>
      <c r="BF288" s="676"/>
      <c r="BG288" s="676"/>
      <c r="BH288" s="676"/>
      <c r="BI288" s="676">
        <v>21085574</v>
      </c>
      <c r="BJ288" s="676">
        <v>4766922</v>
      </c>
      <c r="BK288" s="676">
        <v>1921414</v>
      </c>
      <c r="BL288" s="676">
        <v>4800116</v>
      </c>
      <c r="BM288" s="676"/>
      <c r="BN288" s="676">
        <v>6630648</v>
      </c>
      <c r="BO288" s="676">
        <v>2874760</v>
      </c>
      <c r="BP288" s="676">
        <v>2710051</v>
      </c>
      <c r="BQ288" s="676">
        <v>111300</v>
      </c>
      <c r="BR288" s="676">
        <v>1274658</v>
      </c>
      <c r="BS288" s="676">
        <v>44009146</v>
      </c>
      <c r="BT288" s="676">
        <v>20950431</v>
      </c>
      <c r="BU288" s="676">
        <v>100082</v>
      </c>
      <c r="BV288" s="676">
        <v>2705534</v>
      </c>
      <c r="BW288" s="676">
        <v>51497427</v>
      </c>
      <c r="BX288" s="676">
        <v>42502</v>
      </c>
      <c r="BY288" s="676">
        <v>92492</v>
      </c>
      <c r="BZ288" s="676">
        <v>8113000</v>
      </c>
      <c r="CA288" s="676">
        <v>5669551.4199999999</v>
      </c>
      <c r="CB288" s="676">
        <v>13238082.029999999</v>
      </c>
      <c r="CC288" s="676">
        <v>77331000</v>
      </c>
      <c r="CD288" s="676">
        <v>645525</v>
      </c>
      <c r="CE288" s="676">
        <v>78266000</v>
      </c>
      <c r="CF288" s="676"/>
      <c r="CG288" s="676">
        <v>723000</v>
      </c>
    </row>
    <row r="289" spans="1:85" x14ac:dyDescent="0.25">
      <c r="A289" s="320" t="s">
        <v>409</v>
      </c>
      <c r="B289" s="320" t="s">
        <v>1385</v>
      </c>
      <c r="C289" s="320" t="s">
        <v>1386</v>
      </c>
      <c r="D289" s="320" t="s">
        <v>1040</v>
      </c>
      <c r="E289" s="320">
        <v>2016</v>
      </c>
      <c r="F289" s="404">
        <v>17252</v>
      </c>
      <c r="G289" s="676">
        <v>15826</v>
      </c>
      <c r="H289" s="676">
        <v>125360</v>
      </c>
      <c r="I289" s="676">
        <v>75841</v>
      </c>
      <c r="J289" s="676">
        <v>14003</v>
      </c>
      <c r="K289" s="676">
        <v>15961</v>
      </c>
      <c r="L289" s="676">
        <v>153622</v>
      </c>
      <c r="M289" s="676">
        <v>83612</v>
      </c>
      <c r="N289" s="676">
        <v>26867</v>
      </c>
      <c r="O289" s="676">
        <v>22563</v>
      </c>
      <c r="P289" s="676">
        <v>313684</v>
      </c>
      <c r="Q289" s="676">
        <v>8152</v>
      </c>
      <c r="R289" s="676">
        <v>185980</v>
      </c>
      <c r="S289" s="676">
        <v>4976117</v>
      </c>
      <c r="T289" s="676">
        <v>200007</v>
      </c>
      <c r="U289" s="676"/>
      <c r="V289" s="676">
        <v>26257</v>
      </c>
      <c r="W289" s="676">
        <v>16474</v>
      </c>
      <c r="X289" s="676">
        <v>726953.69</v>
      </c>
      <c r="Y289" s="676">
        <v>17110</v>
      </c>
      <c r="Z289" s="676">
        <v>2399964.0099999998</v>
      </c>
      <c r="AA289" s="676">
        <v>2521</v>
      </c>
      <c r="AB289" s="676">
        <v>947854</v>
      </c>
      <c r="AC289" s="676">
        <v>59447.46</v>
      </c>
      <c r="AD289" s="676">
        <v>56365</v>
      </c>
      <c r="AE289" s="676">
        <v>26813</v>
      </c>
      <c r="AF289" s="676">
        <v>127124</v>
      </c>
      <c r="AG289" s="676">
        <v>3762</v>
      </c>
      <c r="AH289" s="676">
        <v>36434</v>
      </c>
      <c r="AI289" s="676">
        <v>5439</v>
      </c>
      <c r="AJ289" s="676">
        <v>883</v>
      </c>
      <c r="AK289" s="676">
        <v>3028346</v>
      </c>
      <c r="AL289" s="676">
        <v>835176</v>
      </c>
      <c r="AM289" s="676">
        <v>23508</v>
      </c>
      <c r="AN289" s="676">
        <v>145197000</v>
      </c>
      <c r="AO289" s="676">
        <v>89504</v>
      </c>
      <c r="AP289" s="676">
        <v>138651</v>
      </c>
      <c r="AQ289" s="676">
        <v>145358</v>
      </c>
      <c r="AR289" s="676">
        <v>7745</v>
      </c>
      <c r="AS289" s="676">
        <v>4579</v>
      </c>
      <c r="AT289" s="676">
        <v>19779.759999999998</v>
      </c>
      <c r="AU289" s="676">
        <v>137600</v>
      </c>
      <c r="AV289" s="676">
        <v>56024</v>
      </c>
      <c r="AW289" s="676">
        <v>9470</v>
      </c>
      <c r="AX289" s="676">
        <v>1244784</v>
      </c>
      <c r="AY289" s="676">
        <v>137456</v>
      </c>
      <c r="AZ289" s="676">
        <v>9968</v>
      </c>
      <c r="BA289" s="676">
        <v>39770</v>
      </c>
      <c r="BB289" s="676">
        <v>58466</v>
      </c>
      <c r="BC289" s="676">
        <v>27997</v>
      </c>
      <c r="BD289" s="676">
        <v>745871</v>
      </c>
      <c r="BE289" s="676">
        <v>12065.64</v>
      </c>
      <c r="BF289" s="676"/>
      <c r="BG289" s="676">
        <v>28265000</v>
      </c>
      <c r="BH289" s="676">
        <v>4000</v>
      </c>
      <c r="BI289" s="676">
        <v>419355</v>
      </c>
      <c r="BJ289" s="676">
        <v>41024</v>
      </c>
      <c r="BK289" s="676">
        <v>32385</v>
      </c>
      <c r="BL289" s="676">
        <v>12085</v>
      </c>
      <c r="BM289" s="676">
        <v>0</v>
      </c>
      <c r="BN289" s="676">
        <v>28338</v>
      </c>
      <c r="BO289" s="676">
        <v>6738</v>
      </c>
      <c r="BP289" s="676">
        <v>75623</v>
      </c>
      <c r="BQ289" s="676">
        <v>21647</v>
      </c>
      <c r="BR289" s="676">
        <v>9628</v>
      </c>
      <c r="BS289" s="676">
        <v>3036175</v>
      </c>
      <c r="BT289" s="676">
        <v>1803668</v>
      </c>
      <c r="BU289" s="676">
        <v>52147</v>
      </c>
      <c r="BV289" s="676">
        <v>201681</v>
      </c>
      <c r="BW289" s="676">
        <v>3313718</v>
      </c>
      <c r="BX289" s="676">
        <v>310194</v>
      </c>
      <c r="BY289" s="676">
        <v>3783</v>
      </c>
      <c r="BZ289" s="676">
        <v>438000</v>
      </c>
      <c r="CA289" s="676">
        <v>56614.22</v>
      </c>
      <c r="CB289" s="676">
        <v>32676.63</v>
      </c>
      <c r="CC289" s="676"/>
      <c r="CD289" s="676">
        <v>2260</v>
      </c>
      <c r="CE289" s="676">
        <v>1666000</v>
      </c>
      <c r="CF289" s="676">
        <v>12000</v>
      </c>
      <c r="CG289" s="676"/>
    </row>
    <row r="290" spans="1:85" x14ac:dyDescent="0.25">
      <c r="A290" s="320" t="s">
        <v>1041</v>
      </c>
      <c r="B290" s="320" t="s">
        <v>1042</v>
      </c>
      <c r="C290" s="320"/>
      <c r="D290" s="320" t="s">
        <v>1043</v>
      </c>
      <c r="E290" s="320">
        <v>2016</v>
      </c>
      <c r="F290" s="404">
        <v>2305</v>
      </c>
      <c r="G290" s="676"/>
      <c r="H290" s="676"/>
      <c r="I290" s="676"/>
      <c r="J290" s="676"/>
      <c r="K290" s="676">
        <v>163</v>
      </c>
      <c r="L290" s="676"/>
      <c r="M290" s="676">
        <v>29900</v>
      </c>
      <c r="N290" s="676"/>
      <c r="O290" s="676"/>
      <c r="P290" s="676">
        <v>210796</v>
      </c>
      <c r="Q290" s="676"/>
      <c r="R290" s="676">
        <v>336</v>
      </c>
      <c r="S290" s="676"/>
      <c r="T290" s="676">
        <v>25145</v>
      </c>
      <c r="U290" s="676"/>
      <c r="V290" s="676"/>
      <c r="W290" s="676">
        <v>14678</v>
      </c>
      <c r="X290" s="676">
        <v>0</v>
      </c>
      <c r="Y290" s="676"/>
      <c r="Z290" s="676">
        <v>135303.93</v>
      </c>
      <c r="AA290" s="676">
        <v>2521</v>
      </c>
      <c r="AB290" s="676"/>
      <c r="AC290" s="676">
        <v>0</v>
      </c>
      <c r="AD290" s="676">
        <v>1290</v>
      </c>
      <c r="AE290" s="676"/>
      <c r="AF290" s="676"/>
      <c r="AG290" s="676"/>
      <c r="AH290" s="676"/>
      <c r="AI290" s="676"/>
      <c r="AJ290" s="676"/>
      <c r="AK290" s="676">
        <v>21706</v>
      </c>
      <c r="AL290" s="676">
        <v>55673</v>
      </c>
      <c r="AM290" s="676">
        <v>60</v>
      </c>
      <c r="AN290" s="676">
        <v>120987000</v>
      </c>
      <c r="AO290" s="676"/>
      <c r="AP290" s="676">
        <v>1479</v>
      </c>
      <c r="AQ290" s="676">
        <v>178</v>
      </c>
      <c r="AR290" s="676"/>
      <c r="AS290" s="676">
        <v>34</v>
      </c>
      <c r="AT290" s="676">
        <v>2769.92</v>
      </c>
      <c r="AU290" s="676">
        <v>958</v>
      </c>
      <c r="AV290" s="676">
        <v>6263</v>
      </c>
      <c r="AW290" s="676"/>
      <c r="AX290" s="676">
        <v>1522</v>
      </c>
      <c r="AY290" s="676">
        <v>12</v>
      </c>
      <c r="AZ290" s="676">
        <v>0</v>
      </c>
      <c r="BA290" s="676">
        <v>1</v>
      </c>
      <c r="BB290" s="676"/>
      <c r="BC290" s="676">
        <v>2690</v>
      </c>
      <c r="BD290" s="676"/>
      <c r="BE290" s="676">
        <v>1050.06</v>
      </c>
      <c r="BF290" s="676"/>
      <c r="BG290" s="676">
        <v>5182000</v>
      </c>
      <c r="BH290" s="676"/>
      <c r="BI290" s="676">
        <v>64719</v>
      </c>
      <c r="BJ290" s="676">
        <v>511</v>
      </c>
      <c r="BK290" s="676">
        <v>44</v>
      </c>
      <c r="BL290" s="676">
        <v>711</v>
      </c>
      <c r="BM290" s="676"/>
      <c r="BN290" s="676">
        <v>2</v>
      </c>
      <c r="BO290" s="676"/>
      <c r="BP290" s="676">
        <v>75591</v>
      </c>
      <c r="BQ290" s="676"/>
      <c r="BR290" s="676">
        <v>18</v>
      </c>
      <c r="BS290" s="676">
        <v>2319</v>
      </c>
      <c r="BT290" s="676">
        <v>291088</v>
      </c>
      <c r="BU290" s="676">
        <v>8820</v>
      </c>
      <c r="BV290" s="676"/>
      <c r="BW290" s="676">
        <v>19865</v>
      </c>
      <c r="BX290" s="676">
        <v>185599</v>
      </c>
      <c r="BY290" s="676"/>
      <c r="BZ290" s="676"/>
      <c r="CA290" s="676">
        <v>5.55</v>
      </c>
      <c r="CB290" s="676">
        <v>3890.48</v>
      </c>
      <c r="CC290" s="676"/>
      <c r="CD290" s="676"/>
      <c r="CE290" s="676"/>
      <c r="CF290" s="676">
        <v>12000</v>
      </c>
      <c r="CG290" s="676"/>
    </row>
    <row r="291" spans="1:85" x14ac:dyDescent="0.25">
      <c r="A291" s="320" t="s">
        <v>1044</v>
      </c>
      <c r="B291" s="320" t="s">
        <v>1045</v>
      </c>
      <c r="C291" s="320"/>
      <c r="D291" s="320" t="s">
        <v>1046</v>
      </c>
      <c r="E291" s="320">
        <v>2016</v>
      </c>
      <c r="F291" s="404">
        <v>7516</v>
      </c>
      <c r="G291" s="676">
        <v>15826</v>
      </c>
      <c r="H291" s="676">
        <v>49846</v>
      </c>
      <c r="I291" s="676">
        <v>12936</v>
      </c>
      <c r="J291" s="676">
        <v>14003</v>
      </c>
      <c r="K291" s="676">
        <v>15798</v>
      </c>
      <c r="L291" s="676">
        <v>23608</v>
      </c>
      <c r="M291" s="676">
        <v>53712</v>
      </c>
      <c r="N291" s="676">
        <v>26867</v>
      </c>
      <c r="O291" s="676">
        <v>22563</v>
      </c>
      <c r="P291" s="676">
        <v>102888</v>
      </c>
      <c r="Q291" s="676">
        <v>8152</v>
      </c>
      <c r="R291" s="676">
        <v>184843</v>
      </c>
      <c r="S291" s="676">
        <v>111125</v>
      </c>
      <c r="T291" s="676">
        <v>174749</v>
      </c>
      <c r="U291" s="676"/>
      <c r="V291" s="676">
        <v>18411</v>
      </c>
      <c r="W291" s="676"/>
      <c r="X291" s="676">
        <v>726951.33</v>
      </c>
      <c r="Y291" s="676">
        <v>17110</v>
      </c>
      <c r="Z291" s="676">
        <v>248921.48</v>
      </c>
      <c r="AA291" s="676"/>
      <c r="AB291" s="676">
        <v>793574</v>
      </c>
      <c r="AC291" s="676">
        <v>5532.33</v>
      </c>
      <c r="AD291" s="676">
        <v>55075</v>
      </c>
      <c r="AE291" s="676">
        <v>13607</v>
      </c>
      <c r="AF291" s="676">
        <v>124951</v>
      </c>
      <c r="AG291" s="676">
        <v>3762</v>
      </c>
      <c r="AH291" s="676">
        <v>32037</v>
      </c>
      <c r="AI291" s="676">
        <v>5439</v>
      </c>
      <c r="AJ291" s="676">
        <v>883</v>
      </c>
      <c r="AK291" s="676">
        <v>2997984</v>
      </c>
      <c r="AL291" s="676">
        <v>107275</v>
      </c>
      <c r="AM291" s="676">
        <v>23448</v>
      </c>
      <c r="AN291" s="676">
        <v>24210000</v>
      </c>
      <c r="AO291" s="676">
        <v>11731</v>
      </c>
      <c r="AP291" s="676">
        <v>11990</v>
      </c>
      <c r="AQ291" s="676">
        <v>53775</v>
      </c>
      <c r="AR291" s="676">
        <v>4297</v>
      </c>
      <c r="AS291" s="676">
        <v>3400</v>
      </c>
      <c r="AT291" s="676">
        <v>17009.84</v>
      </c>
      <c r="AU291" s="676">
        <v>1642</v>
      </c>
      <c r="AV291" s="676">
        <v>49761</v>
      </c>
      <c r="AW291" s="676">
        <v>2450</v>
      </c>
      <c r="AX291" s="676">
        <v>115770</v>
      </c>
      <c r="AY291" s="676">
        <v>37611</v>
      </c>
      <c r="AZ291" s="676">
        <v>9968</v>
      </c>
      <c r="BA291" s="676">
        <v>39769</v>
      </c>
      <c r="BB291" s="676">
        <v>58466</v>
      </c>
      <c r="BC291" s="676">
        <v>12856</v>
      </c>
      <c r="BD291" s="676"/>
      <c r="BE291" s="676">
        <v>9836.17</v>
      </c>
      <c r="BF291" s="676"/>
      <c r="BG291" s="676">
        <v>13809000</v>
      </c>
      <c r="BH291" s="676"/>
      <c r="BI291" s="676">
        <v>247138</v>
      </c>
      <c r="BJ291" s="676">
        <v>32782</v>
      </c>
      <c r="BK291" s="676">
        <v>13821</v>
      </c>
      <c r="BL291" s="676">
        <v>11187</v>
      </c>
      <c r="BM291" s="676"/>
      <c r="BN291" s="676">
        <v>24510</v>
      </c>
      <c r="BO291" s="676">
        <v>4967</v>
      </c>
      <c r="BP291" s="676"/>
      <c r="BQ291" s="676">
        <v>21647</v>
      </c>
      <c r="BR291" s="676">
        <v>8910</v>
      </c>
      <c r="BS291" s="676">
        <v>1064697</v>
      </c>
      <c r="BT291" s="676">
        <v>1512572</v>
      </c>
      <c r="BU291" s="676"/>
      <c r="BV291" s="676">
        <v>7225</v>
      </c>
      <c r="BW291" s="676">
        <v>2519350</v>
      </c>
      <c r="BX291" s="676">
        <v>124433</v>
      </c>
      <c r="BY291" s="676">
        <v>3783</v>
      </c>
      <c r="BZ291" s="676">
        <v>438000</v>
      </c>
      <c r="CA291" s="676">
        <v>9634.7900000000009</v>
      </c>
      <c r="CB291" s="676">
        <v>25836.15</v>
      </c>
      <c r="CC291" s="676"/>
      <c r="CD291" s="676">
        <v>2260</v>
      </c>
      <c r="CE291" s="676">
        <v>1666000</v>
      </c>
      <c r="CF291" s="676"/>
      <c r="CG291" s="676"/>
    </row>
    <row r="292" spans="1:85" x14ac:dyDescent="0.25">
      <c r="A292" s="320" t="s">
        <v>1047</v>
      </c>
      <c r="B292" s="320" t="s">
        <v>1048</v>
      </c>
      <c r="C292" s="320"/>
      <c r="D292" s="320" t="s">
        <v>1049</v>
      </c>
      <c r="E292" s="320">
        <v>2016</v>
      </c>
      <c r="F292" s="404">
        <v>2567</v>
      </c>
      <c r="G292" s="676"/>
      <c r="H292" s="676">
        <v>21666</v>
      </c>
      <c r="I292" s="676"/>
      <c r="J292" s="676"/>
      <c r="K292" s="676"/>
      <c r="L292" s="676"/>
      <c r="M292" s="676"/>
      <c r="N292" s="676"/>
      <c r="O292" s="676"/>
      <c r="P292" s="676"/>
      <c r="Q292" s="676"/>
      <c r="R292" s="676"/>
      <c r="S292" s="676"/>
      <c r="T292" s="676"/>
      <c r="U292" s="676"/>
      <c r="V292" s="676"/>
      <c r="W292" s="676"/>
      <c r="X292" s="676">
        <v>0</v>
      </c>
      <c r="Y292" s="676"/>
      <c r="Z292" s="676">
        <v>0</v>
      </c>
      <c r="AA292" s="676"/>
      <c r="AB292" s="676"/>
      <c r="AC292" s="676">
        <v>0</v>
      </c>
      <c r="AD292" s="676"/>
      <c r="AE292" s="676"/>
      <c r="AF292" s="676"/>
      <c r="AG292" s="676">
        <v>0</v>
      </c>
      <c r="AH292" s="676"/>
      <c r="AI292" s="676"/>
      <c r="AJ292" s="676"/>
      <c r="AK292" s="676"/>
      <c r="AL292" s="676"/>
      <c r="AM292" s="676"/>
      <c r="AN292" s="676"/>
      <c r="AO292" s="676">
        <v>0</v>
      </c>
      <c r="AP292" s="676"/>
      <c r="AQ292" s="676"/>
      <c r="AR292" s="676"/>
      <c r="AS292" s="676"/>
      <c r="AT292" s="676">
        <v>0</v>
      </c>
      <c r="AU292" s="676"/>
      <c r="AV292" s="676"/>
      <c r="AW292" s="676"/>
      <c r="AX292" s="676"/>
      <c r="AY292" s="676"/>
      <c r="AZ292" s="676">
        <v>0</v>
      </c>
      <c r="BA292" s="676"/>
      <c r="BB292" s="676"/>
      <c r="BC292" s="676"/>
      <c r="BD292" s="676"/>
      <c r="BE292" s="676">
        <v>0</v>
      </c>
      <c r="BF292" s="676"/>
      <c r="BG292" s="676"/>
      <c r="BH292" s="676"/>
      <c r="BI292" s="676"/>
      <c r="BJ292" s="676"/>
      <c r="BK292" s="676"/>
      <c r="BL292" s="676"/>
      <c r="BM292" s="676"/>
      <c r="BN292" s="676">
        <v>0</v>
      </c>
      <c r="BO292" s="676"/>
      <c r="BP292" s="676">
        <v>32</v>
      </c>
      <c r="BQ292" s="676"/>
      <c r="BR292" s="676"/>
      <c r="BS292" s="676"/>
      <c r="BT292" s="676"/>
      <c r="BU292" s="676"/>
      <c r="BV292" s="676"/>
      <c r="BW292" s="676"/>
      <c r="BX292" s="676"/>
      <c r="BY292" s="676"/>
      <c r="BZ292" s="676"/>
      <c r="CA292" s="676"/>
      <c r="CB292" s="676"/>
      <c r="CC292" s="676"/>
      <c r="CD292" s="676"/>
      <c r="CE292" s="676"/>
      <c r="CF292" s="676"/>
      <c r="CG292" s="676"/>
    </row>
    <row r="293" spans="1:85" x14ac:dyDescent="0.25">
      <c r="A293" s="320" t="s">
        <v>1050</v>
      </c>
      <c r="B293" s="320" t="s">
        <v>1051</v>
      </c>
      <c r="C293" s="320"/>
      <c r="D293" s="320" t="s">
        <v>1052</v>
      </c>
      <c r="E293" s="320">
        <v>2016</v>
      </c>
      <c r="F293" s="404">
        <v>4864</v>
      </c>
      <c r="G293" s="676"/>
      <c r="H293" s="676">
        <v>53848</v>
      </c>
      <c r="I293" s="676">
        <v>62905</v>
      </c>
      <c r="J293" s="676"/>
      <c r="K293" s="676"/>
      <c r="L293" s="676">
        <v>130014</v>
      </c>
      <c r="M293" s="676"/>
      <c r="N293" s="676"/>
      <c r="O293" s="676"/>
      <c r="P293" s="676"/>
      <c r="Q293" s="676"/>
      <c r="R293" s="676">
        <v>801</v>
      </c>
      <c r="S293" s="676">
        <v>4864992</v>
      </c>
      <c r="T293" s="676">
        <v>113</v>
      </c>
      <c r="U293" s="676"/>
      <c r="V293" s="676">
        <v>7846</v>
      </c>
      <c r="W293" s="676">
        <v>1796</v>
      </c>
      <c r="X293" s="676">
        <v>2.36</v>
      </c>
      <c r="Y293" s="676"/>
      <c r="Z293" s="676">
        <v>2015738.6</v>
      </c>
      <c r="AA293" s="676"/>
      <c r="AB293" s="676">
        <v>154280</v>
      </c>
      <c r="AC293" s="676">
        <v>53915.13</v>
      </c>
      <c r="AD293" s="676"/>
      <c r="AE293" s="676">
        <v>13206</v>
      </c>
      <c r="AF293" s="676">
        <v>2173</v>
      </c>
      <c r="AG293" s="676"/>
      <c r="AH293" s="676">
        <v>4397</v>
      </c>
      <c r="AI293" s="676"/>
      <c r="AJ293" s="676"/>
      <c r="AK293" s="676">
        <v>8656</v>
      </c>
      <c r="AL293" s="676">
        <v>672228</v>
      </c>
      <c r="AM293" s="676"/>
      <c r="AN293" s="676"/>
      <c r="AO293" s="676">
        <v>77773</v>
      </c>
      <c r="AP293" s="676">
        <v>125182</v>
      </c>
      <c r="AQ293" s="676">
        <v>91405</v>
      </c>
      <c r="AR293" s="676">
        <v>3448</v>
      </c>
      <c r="AS293" s="676">
        <v>1145</v>
      </c>
      <c r="AT293" s="676">
        <v>0</v>
      </c>
      <c r="AU293" s="676">
        <v>135000</v>
      </c>
      <c r="AV293" s="676"/>
      <c r="AW293" s="676">
        <v>7020</v>
      </c>
      <c r="AX293" s="676">
        <v>1127492</v>
      </c>
      <c r="AY293" s="676">
        <v>99833</v>
      </c>
      <c r="AZ293" s="676">
        <v>0</v>
      </c>
      <c r="BA293" s="676"/>
      <c r="BB293" s="676"/>
      <c r="BC293" s="676">
        <v>12451</v>
      </c>
      <c r="BD293" s="676"/>
      <c r="BE293" s="676">
        <v>1179.4100000000001</v>
      </c>
      <c r="BF293" s="676"/>
      <c r="BG293" s="676">
        <v>9274000</v>
      </c>
      <c r="BH293" s="676"/>
      <c r="BI293" s="676">
        <v>107498</v>
      </c>
      <c r="BJ293" s="676">
        <v>7731</v>
      </c>
      <c r="BK293" s="676">
        <v>18520</v>
      </c>
      <c r="BL293" s="676">
        <v>187</v>
      </c>
      <c r="BM293" s="676"/>
      <c r="BN293" s="676">
        <v>3826</v>
      </c>
      <c r="BO293" s="676">
        <v>1771</v>
      </c>
      <c r="BP293" s="676"/>
      <c r="BQ293" s="676"/>
      <c r="BR293" s="676">
        <v>700</v>
      </c>
      <c r="BS293" s="676">
        <v>1969159</v>
      </c>
      <c r="BT293" s="676">
        <v>8</v>
      </c>
      <c r="BU293" s="676">
        <v>43327</v>
      </c>
      <c r="BV293" s="676">
        <v>194456</v>
      </c>
      <c r="BW293" s="676">
        <v>774503</v>
      </c>
      <c r="BX293" s="676">
        <v>162</v>
      </c>
      <c r="BY293" s="676"/>
      <c r="BZ293" s="676"/>
      <c r="CA293" s="676">
        <v>46973.88</v>
      </c>
      <c r="CB293" s="676">
        <v>2950</v>
      </c>
      <c r="CC293" s="676"/>
      <c r="CD293" s="676"/>
      <c r="CE293" s="676"/>
      <c r="CF293" s="676"/>
      <c r="CG293" s="676"/>
    </row>
    <row r="294" spans="1:85" x14ac:dyDescent="0.25">
      <c r="A294" s="320"/>
      <c r="B294" s="320"/>
      <c r="C294" s="320"/>
      <c r="D294" s="320"/>
      <c r="E294" s="320">
        <v>2016</v>
      </c>
      <c r="F294" s="404"/>
      <c r="G294" s="405"/>
      <c r="H294" s="405"/>
      <c r="I294" s="405"/>
      <c r="J294" s="405"/>
      <c r="K294" s="405"/>
      <c r="L294" s="405"/>
      <c r="M294" s="405"/>
      <c r="N294" s="405"/>
      <c r="O294" s="405"/>
      <c r="P294" s="405"/>
      <c r="Q294" s="405"/>
      <c r="R294" s="405"/>
      <c r="S294" s="405"/>
      <c r="T294" s="405"/>
      <c r="U294" s="405"/>
      <c r="V294" s="405"/>
      <c r="W294" s="405"/>
      <c r="X294" s="405"/>
      <c r="Y294" s="405"/>
      <c r="Z294" s="405"/>
      <c r="AA294" s="405"/>
      <c r="AB294" s="405"/>
      <c r="AC294" s="405"/>
      <c r="AD294" s="405"/>
      <c r="AE294" s="405"/>
      <c r="AF294" s="405"/>
      <c r="AG294" s="405"/>
      <c r="AH294" s="405"/>
      <c r="AI294" s="405"/>
      <c r="AJ294" s="405"/>
      <c r="AK294" s="405"/>
      <c r="AL294" s="405"/>
      <c r="AM294" s="405"/>
      <c r="AN294" s="405"/>
      <c r="AO294" s="405"/>
      <c r="AP294" s="405"/>
      <c r="AQ294" s="405"/>
      <c r="AR294" s="405"/>
      <c r="AS294" s="405"/>
      <c r="AT294" s="405"/>
      <c r="AU294" s="405"/>
      <c r="AV294" s="405"/>
      <c r="AW294" s="405"/>
      <c r="AX294" s="405"/>
      <c r="AY294" s="405"/>
      <c r="AZ294" s="405"/>
      <c r="BA294" s="405"/>
      <c r="BB294" s="405"/>
      <c r="BC294" s="405"/>
      <c r="BD294" s="405"/>
      <c r="BE294" s="405"/>
      <c r="BF294" s="405"/>
      <c r="BG294" s="405"/>
      <c r="BH294" s="405"/>
      <c r="BI294" s="405"/>
      <c r="BJ294" s="405"/>
      <c r="BK294" s="405"/>
      <c r="BL294" s="405"/>
      <c r="BM294" s="405"/>
      <c r="BN294" s="405"/>
      <c r="BO294" s="405"/>
      <c r="BP294" s="405"/>
      <c r="BQ294" s="405"/>
      <c r="BR294" s="405"/>
      <c r="BS294" s="405"/>
      <c r="BT294" s="405"/>
      <c r="BU294" s="405"/>
      <c r="BV294" s="405"/>
      <c r="BW294" s="405"/>
      <c r="BX294" s="405"/>
      <c r="BY294" s="405"/>
      <c r="BZ294" s="405"/>
      <c r="CA294" s="405"/>
      <c r="CB294" s="405"/>
      <c r="CC294" s="405"/>
      <c r="CD294" s="405"/>
      <c r="CE294" s="405"/>
      <c r="CF294" s="405"/>
      <c r="CG294" s="405"/>
    </row>
    <row r="295" spans="1:85" s="453" customFormat="1" x14ac:dyDescent="0.25">
      <c r="A295" s="452" t="s">
        <v>642</v>
      </c>
      <c r="B295" s="452" t="s">
        <v>1053</v>
      </c>
      <c r="C295" s="452"/>
      <c r="D295" s="452" t="s">
        <v>865</v>
      </c>
      <c r="E295" s="447"/>
      <c r="F295" s="406">
        <v>2016</v>
      </c>
      <c r="G295" s="407">
        <v>2016</v>
      </c>
      <c r="H295" s="407">
        <v>2016</v>
      </c>
      <c r="I295" s="407">
        <v>2016</v>
      </c>
      <c r="J295" s="407">
        <v>2016</v>
      </c>
      <c r="K295" s="407">
        <v>2016</v>
      </c>
      <c r="L295" s="407">
        <v>2016</v>
      </c>
      <c r="M295" s="407">
        <v>2016</v>
      </c>
      <c r="N295" s="407">
        <v>2016</v>
      </c>
      <c r="O295" s="407">
        <v>2016</v>
      </c>
      <c r="P295" s="407">
        <v>2016</v>
      </c>
      <c r="Q295" s="407">
        <v>2016</v>
      </c>
      <c r="R295" s="407">
        <v>2016</v>
      </c>
      <c r="S295" s="407">
        <v>2016</v>
      </c>
      <c r="T295" s="407">
        <v>2016</v>
      </c>
      <c r="U295" s="407">
        <v>2016</v>
      </c>
      <c r="V295" s="407">
        <v>2016</v>
      </c>
      <c r="W295" s="407">
        <v>2016</v>
      </c>
      <c r="X295" s="407">
        <v>2016</v>
      </c>
      <c r="Y295" s="407">
        <v>2016</v>
      </c>
      <c r="Z295" s="407">
        <v>2016</v>
      </c>
      <c r="AA295" s="407">
        <v>2016</v>
      </c>
      <c r="AB295" s="407">
        <v>2016</v>
      </c>
      <c r="AC295" s="407">
        <v>2016</v>
      </c>
      <c r="AD295" s="407">
        <v>2016</v>
      </c>
      <c r="AE295" s="407">
        <v>2016</v>
      </c>
      <c r="AF295" s="407">
        <v>2016</v>
      </c>
      <c r="AG295" s="407">
        <v>2016</v>
      </c>
      <c r="AH295" s="407">
        <v>2016</v>
      </c>
      <c r="AI295" s="407">
        <v>2016</v>
      </c>
      <c r="AJ295" s="407">
        <v>2016</v>
      </c>
      <c r="AK295" s="407">
        <v>2016</v>
      </c>
      <c r="AL295" s="407">
        <v>2016</v>
      </c>
      <c r="AM295" s="407">
        <v>2016</v>
      </c>
      <c r="AN295" s="407">
        <v>2016</v>
      </c>
      <c r="AO295" s="407">
        <v>2016</v>
      </c>
      <c r="AP295" s="407">
        <v>2016</v>
      </c>
      <c r="AQ295" s="407">
        <v>2016</v>
      </c>
      <c r="AR295" s="407">
        <v>2016</v>
      </c>
      <c r="AS295" s="407">
        <v>2016</v>
      </c>
      <c r="AT295" s="407">
        <v>2016</v>
      </c>
      <c r="AU295" s="407">
        <v>2016</v>
      </c>
      <c r="AV295" s="407">
        <v>2016</v>
      </c>
      <c r="AW295" s="407">
        <v>2016</v>
      </c>
      <c r="AX295" s="407">
        <v>2016</v>
      </c>
      <c r="AY295" s="407">
        <v>2016</v>
      </c>
      <c r="AZ295" s="407">
        <v>2016</v>
      </c>
      <c r="BA295" s="407">
        <v>2016</v>
      </c>
      <c r="BB295" s="407">
        <v>2016</v>
      </c>
      <c r="BC295" s="407">
        <v>2016</v>
      </c>
      <c r="BD295" s="407">
        <v>2016</v>
      </c>
      <c r="BE295" s="407">
        <v>2016</v>
      </c>
      <c r="BF295" s="407">
        <v>2016</v>
      </c>
      <c r="BG295" s="407">
        <v>2016</v>
      </c>
      <c r="BH295" s="407">
        <v>2016</v>
      </c>
      <c r="BI295" s="407">
        <v>2016</v>
      </c>
      <c r="BJ295" s="407">
        <v>2016</v>
      </c>
      <c r="BK295" s="407">
        <v>2016</v>
      </c>
      <c r="BL295" s="407">
        <v>2016</v>
      </c>
      <c r="BM295" s="407">
        <v>2016</v>
      </c>
      <c r="BN295" s="407">
        <v>2016</v>
      </c>
      <c r="BO295" s="407">
        <v>2016</v>
      </c>
      <c r="BP295" s="407">
        <v>2016</v>
      </c>
      <c r="BQ295" s="407">
        <v>2016</v>
      </c>
      <c r="BR295" s="407">
        <v>2016</v>
      </c>
      <c r="BS295" s="407">
        <v>2016</v>
      </c>
      <c r="BT295" s="407">
        <v>2016</v>
      </c>
      <c r="BU295" s="407">
        <v>2016</v>
      </c>
      <c r="BV295" s="407">
        <v>2016</v>
      </c>
      <c r="BW295" s="407">
        <v>2016</v>
      </c>
      <c r="BX295" s="407">
        <v>2016</v>
      </c>
      <c r="BY295" s="407">
        <v>2016</v>
      </c>
      <c r="BZ295" s="407">
        <v>2016</v>
      </c>
      <c r="CA295" s="407">
        <v>2016</v>
      </c>
      <c r="CB295" s="407">
        <v>2016</v>
      </c>
      <c r="CC295" s="407">
        <v>2016</v>
      </c>
      <c r="CD295" s="407">
        <v>2016</v>
      </c>
      <c r="CE295" s="407">
        <v>2016</v>
      </c>
      <c r="CF295" s="407">
        <v>2016</v>
      </c>
      <c r="CG295" s="407">
        <v>2016</v>
      </c>
    </row>
    <row r="296" spans="1:85" x14ac:dyDescent="0.25">
      <c r="A296" s="320" t="s">
        <v>642</v>
      </c>
      <c r="B296" s="320" t="s">
        <v>1387</v>
      </c>
      <c r="C296" s="320" t="s">
        <v>1388</v>
      </c>
      <c r="D296" s="320" t="s">
        <v>1054</v>
      </c>
      <c r="E296" s="320">
        <v>2016</v>
      </c>
      <c r="F296" s="404">
        <v>2533184</v>
      </c>
      <c r="G296" s="676">
        <v>25898614</v>
      </c>
      <c r="H296" s="676">
        <v>24895137</v>
      </c>
      <c r="I296" s="676">
        <v>23945911</v>
      </c>
      <c r="J296" s="676">
        <v>36020302</v>
      </c>
      <c r="K296" s="676">
        <v>16896185</v>
      </c>
      <c r="L296" s="676">
        <v>7167451</v>
      </c>
      <c r="M296" s="676">
        <v>66280878</v>
      </c>
      <c r="N296" s="676">
        <v>50313330</v>
      </c>
      <c r="O296" s="676">
        <v>19401482</v>
      </c>
      <c r="P296" s="676">
        <v>11971533</v>
      </c>
      <c r="Q296" s="676">
        <v>25960621</v>
      </c>
      <c r="R296" s="676">
        <v>17630509</v>
      </c>
      <c r="S296" s="676">
        <v>53162351</v>
      </c>
      <c r="T296" s="676">
        <v>44307359</v>
      </c>
      <c r="U296" s="676">
        <v>4997340000</v>
      </c>
      <c r="V296" s="676">
        <v>9731138</v>
      </c>
      <c r="W296" s="676">
        <v>19503848</v>
      </c>
      <c r="X296" s="676">
        <v>48561169.460000001</v>
      </c>
      <c r="Y296" s="676">
        <v>55693494</v>
      </c>
      <c r="Z296" s="676">
        <v>1506879928.28</v>
      </c>
      <c r="AA296" s="676">
        <v>27189928</v>
      </c>
      <c r="AB296" s="676">
        <v>902869723</v>
      </c>
      <c r="AC296" s="676">
        <v>3568650.19</v>
      </c>
      <c r="AD296" s="676">
        <v>34434255</v>
      </c>
      <c r="AE296" s="676">
        <v>54270234</v>
      </c>
      <c r="AF296" s="676">
        <v>311080930</v>
      </c>
      <c r="AG296" s="676">
        <v>22101771</v>
      </c>
      <c r="AH296" s="676">
        <v>25925898</v>
      </c>
      <c r="AI296" s="676">
        <v>3203469</v>
      </c>
      <c r="AJ296" s="676">
        <v>6641178</v>
      </c>
      <c r="AK296" s="676">
        <v>98024148</v>
      </c>
      <c r="AL296" s="676">
        <v>19157909</v>
      </c>
      <c r="AM296" s="676">
        <v>28889342</v>
      </c>
      <c r="AN296" s="676">
        <v>8702837000</v>
      </c>
      <c r="AO296" s="676">
        <v>111095746</v>
      </c>
      <c r="AP296" s="676">
        <v>12414987</v>
      </c>
      <c r="AQ296" s="676">
        <v>47259058</v>
      </c>
      <c r="AR296" s="676">
        <v>11036185</v>
      </c>
      <c r="AS296" s="676">
        <v>4695778</v>
      </c>
      <c r="AT296" s="676">
        <v>87279581.950000003</v>
      </c>
      <c r="AU296" s="676">
        <v>4201660</v>
      </c>
      <c r="AV296" s="676">
        <v>6309751</v>
      </c>
      <c r="AW296" s="676">
        <v>1901222</v>
      </c>
      <c r="AX296" s="676">
        <v>60313999</v>
      </c>
      <c r="AY296" s="676">
        <v>21506010</v>
      </c>
      <c r="AZ296" s="676">
        <v>2572355</v>
      </c>
      <c r="BA296" s="676">
        <v>58804619</v>
      </c>
      <c r="BB296" s="676">
        <v>24160216</v>
      </c>
      <c r="BC296" s="676">
        <v>36926479</v>
      </c>
      <c r="BD296" s="676">
        <v>902814621</v>
      </c>
      <c r="BE296" s="676">
        <v>50936811.07</v>
      </c>
      <c r="BF296" s="676">
        <v>436367000</v>
      </c>
      <c r="BG296" s="676">
        <v>9488645000</v>
      </c>
      <c r="BH296" s="676">
        <v>3265033000</v>
      </c>
      <c r="BI296" s="676">
        <v>1420830469</v>
      </c>
      <c r="BJ296" s="676">
        <v>62345664</v>
      </c>
      <c r="BK296" s="676">
        <v>6361143</v>
      </c>
      <c r="BL296" s="676">
        <v>56331679</v>
      </c>
      <c r="BM296" s="676">
        <v>979530000</v>
      </c>
      <c r="BN296" s="676">
        <v>47660901</v>
      </c>
      <c r="BO296" s="676">
        <v>4953500</v>
      </c>
      <c r="BP296" s="676">
        <v>4010823</v>
      </c>
      <c r="BQ296" s="676">
        <v>3469532</v>
      </c>
      <c r="BR296" s="676">
        <v>4089476</v>
      </c>
      <c r="BS296" s="676">
        <v>63136753</v>
      </c>
      <c r="BT296" s="676">
        <v>345464583</v>
      </c>
      <c r="BU296" s="676">
        <v>14361325</v>
      </c>
      <c r="BV296" s="676">
        <v>592140733</v>
      </c>
      <c r="BW296" s="676">
        <v>1336643261</v>
      </c>
      <c r="BX296" s="676">
        <v>90728283</v>
      </c>
      <c r="BY296" s="676">
        <v>5754472</v>
      </c>
      <c r="BZ296" s="676">
        <v>913479000</v>
      </c>
      <c r="CA296" s="676">
        <v>25931615.170000002</v>
      </c>
      <c r="CB296" s="676">
        <v>51670445.539999999</v>
      </c>
      <c r="CC296" s="676">
        <v>1055851000</v>
      </c>
      <c r="CD296" s="676">
        <v>4316723</v>
      </c>
      <c r="CE296" s="676">
        <v>3516381000</v>
      </c>
      <c r="CF296" s="676">
        <v>342260000</v>
      </c>
      <c r="CG296" s="676">
        <v>1013941000</v>
      </c>
    </row>
    <row r="297" spans="1:85" x14ac:dyDescent="0.25">
      <c r="A297" s="320" t="s">
        <v>428</v>
      </c>
      <c r="B297" s="320" t="s">
        <v>1389</v>
      </c>
      <c r="C297" s="320" t="s">
        <v>1390</v>
      </c>
      <c r="D297" s="320" t="s">
        <v>1055</v>
      </c>
      <c r="E297" s="320">
        <v>2016</v>
      </c>
      <c r="F297" s="404">
        <v>2281386</v>
      </c>
      <c r="G297" s="676">
        <v>25124852</v>
      </c>
      <c r="H297" s="676">
        <v>14624354</v>
      </c>
      <c r="I297" s="676">
        <v>9454326</v>
      </c>
      <c r="J297" s="676">
        <v>23772907</v>
      </c>
      <c r="K297" s="676">
        <v>15378071</v>
      </c>
      <c r="L297" s="676">
        <v>5874425</v>
      </c>
      <c r="M297" s="676">
        <v>37875715</v>
      </c>
      <c r="N297" s="676">
        <v>22071259</v>
      </c>
      <c r="O297" s="676">
        <v>3059899</v>
      </c>
      <c r="P297" s="676">
        <v>7794598</v>
      </c>
      <c r="Q297" s="676">
        <v>25880154</v>
      </c>
      <c r="R297" s="676">
        <v>8339255</v>
      </c>
      <c r="S297" s="676">
        <v>13603349</v>
      </c>
      <c r="T297" s="676">
        <v>21770294</v>
      </c>
      <c r="U297" s="676">
        <v>2609771000</v>
      </c>
      <c r="V297" s="676">
        <v>5552876</v>
      </c>
      <c r="W297" s="676">
        <v>18340505</v>
      </c>
      <c r="X297" s="676">
        <v>43210451.979999997</v>
      </c>
      <c r="Y297" s="676">
        <v>4647379</v>
      </c>
      <c r="Z297" s="676">
        <v>228074590.03</v>
      </c>
      <c r="AA297" s="676">
        <v>26476446</v>
      </c>
      <c r="AB297" s="676">
        <v>760038061</v>
      </c>
      <c r="AC297" s="676">
        <v>2718604.57</v>
      </c>
      <c r="AD297" s="676">
        <v>30080333</v>
      </c>
      <c r="AE297" s="676">
        <v>51940031</v>
      </c>
      <c r="AF297" s="676">
        <v>235444311</v>
      </c>
      <c r="AG297" s="676">
        <v>19568773</v>
      </c>
      <c r="AH297" s="676">
        <v>21743724</v>
      </c>
      <c r="AI297" s="676">
        <v>1763384</v>
      </c>
      <c r="AJ297" s="676">
        <v>810153</v>
      </c>
      <c r="AK297" s="676">
        <v>68838511</v>
      </c>
      <c r="AL297" s="676">
        <v>2739859</v>
      </c>
      <c r="AM297" s="676">
        <v>19754404</v>
      </c>
      <c r="AN297" s="676">
        <v>3746281000</v>
      </c>
      <c r="AO297" s="676">
        <v>98132165</v>
      </c>
      <c r="AP297" s="676">
        <v>6142794</v>
      </c>
      <c r="AQ297" s="676">
        <v>29180572</v>
      </c>
      <c r="AR297" s="676">
        <v>5088488</v>
      </c>
      <c r="AS297" s="676">
        <v>526681</v>
      </c>
      <c r="AT297" s="676">
        <v>79521648.519999996</v>
      </c>
      <c r="AU297" s="676">
        <v>72650</v>
      </c>
      <c r="AV297" s="676">
        <v>5746607</v>
      </c>
      <c r="AW297" s="676">
        <v>1366368</v>
      </c>
      <c r="AX297" s="676">
        <v>33204113</v>
      </c>
      <c r="AY297" s="676">
        <v>2259338</v>
      </c>
      <c r="AZ297" s="676">
        <v>2279028</v>
      </c>
      <c r="BA297" s="676">
        <v>40726393</v>
      </c>
      <c r="BB297" s="676">
        <v>13654410</v>
      </c>
      <c r="BC297" s="676">
        <v>13575243</v>
      </c>
      <c r="BD297" s="676">
        <v>621066209</v>
      </c>
      <c r="BE297" s="676">
        <v>21432172.670000002</v>
      </c>
      <c r="BF297" s="676">
        <v>232107000</v>
      </c>
      <c r="BG297" s="676">
        <v>3936356000</v>
      </c>
      <c r="BH297" s="676">
        <v>2738577000</v>
      </c>
      <c r="BI297" s="676">
        <v>940338856</v>
      </c>
      <c r="BJ297" s="676">
        <v>39799723</v>
      </c>
      <c r="BK297" s="676">
        <v>5779005</v>
      </c>
      <c r="BL297" s="676">
        <v>53120480</v>
      </c>
      <c r="BM297" s="676">
        <v>854694000</v>
      </c>
      <c r="BN297" s="676">
        <v>28350914</v>
      </c>
      <c r="BO297" s="676">
        <v>4491846</v>
      </c>
      <c r="BP297" s="676">
        <v>2817982</v>
      </c>
      <c r="BQ297" s="676">
        <v>3262334</v>
      </c>
      <c r="BR297" s="676">
        <v>3253541</v>
      </c>
      <c r="BS297" s="676">
        <v>16880357</v>
      </c>
      <c r="BT297" s="676">
        <v>314845858</v>
      </c>
      <c r="BU297" s="676">
        <v>2523604</v>
      </c>
      <c r="BV297" s="676">
        <v>591262132</v>
      </c>
      <c r="BW297" s="676">
        <v>450045877</v>
      </c>
      <c r="BX297" s="676">
        <v>70980023</v>
      </c>
      <c r="BY297" s="676">
        <v>1736180</v>
      </c>
      <c r="BZ297" s="676">
        <v>617092000</v>
      </c>
      <c r="CA297" s="676">
        <v>21529732.489999998</v>
      </c>
      <c r="CB297" s="676">
        <v>34198108.490000002</v>
      </c>
      <c r="CC297" s="676">
        <v>334705000</v>
      </c>
      <c r="CD297" s="676">
        <v>2647247</v>
      </c>
      <c r="CE297" s="676">
        <v>1678479000</v>
      </c>
      <c r="CF297" s="676">
        <v>114338000</v>
      </c>
      <c r="CG297" s="676">
        <v>143487000</v>
      </c>
    </row>
    <row r="298" spans="1:85" x14ac:dyDescent="0.25">
      <c r="A298" s="320" t="s">
        <v>1056</v>
      </c>
      <c r="B298" s="320" t="s">
        <v>1391</v>
      </c>
      <c r="C298" s="320" t="s">
        <v>1392</v>
      </c>
      <c r="D298" s="320" t="s">
        <v>1057</v>
      </c>
      <c r="E298" s="320">
        <v>2016</v>
      </c>
      <c r="F298" s="404">
        <v>2277943</v>
      </c>
      <c r="G298" s="676">
        <v>24391887</v>
      </c>
      <c r="H298" s="676">
        <v>11449352</v>
      </c>
      <c r="I298" s="676">
        <v>8861312</v>
      </c>
      <c r="J298" s="676">
        <v>33194</v>
      </c>
      <c r="K298" s="676">
        <v>15122000</v>
      </c>
      <c r="L298" s="676">
        <v>35053200</v>
      </c>
      <c r="M298" s="676">
        <v>33193</v>
      </c>
      <c r="N298" s="676">
        <v>331940</v>
      </c>
      <c r="O298" s="676">
        <v>13280</v>
      </c>
      <c r="P298" s="676">
        <v>1891689</v>
      </c>
      <c r="Q298" s="676">
        <v>18240770</v>
      </c>
      <c r="R298" s="676">
        <v>7000000</v>
      </c>
      <c r="S298" s="676">
        <v>363474</v>
      </c>
      <c r="T298" s="676">
        <v>17285949</v>
      </c>
      <c r="U298" s="676">
        <v>282929000</v>
      </c>
      <c r="V298" s="676">
        <v>99600</v>
      </c>
      <c r="W298" s="676">
        <v>16331570</v>
      </c>
      <c r="X298" s="676">
        <v>50082939.829999998</v>
      </c>
      <c r="Y298" s="676">
        <v>299000</v>
      </c>
      <c r="Z298" s="676">
        <v>36446940</v>
      </c>
      <c r="AA298" s="676">
        <v>27624840</v>
      </c>
      <c r="AB298" s="676">
        <v>742142800</v>
      </c>
      <c r="AC298" s="676">
        <v>6250076.2699999996</v>
      </c>
      <c r="AD298" s="676">
        <v>31337531</v>
      </c>
      <c r="AE298" s="676">
        <v>31140890</v>
      </c>
      <c r="AF298" s="676">
        <v>292427637</v>
      </c>
      <c r="AG298" s="676">
        <v>24381219</v>
      </c>
      <c r="AH298" s="676">
        <v>19830792</v>
      </c>
      <c r="AI298" s="676">
        <v>1423692</v>
      </c>
      <c r="AJ298" s="676">
        <v>2996152</v>
      </c>
      <c r="AK298" s="676">
        <v>54821494</v>
      </c>
      <c r="AL298" s="676">
        <v>1000000</v>
      </c>
      <c r="AM298" s="676">
        <v>15400000</v>
      </c>
      <c r="AN298" s="676">
        <v>3355587000</v>
      </c>
      <c r="AO298" s="676">
        <v>94267129</v>
      </c>
      <c r="AP298" s="676">
        <v>1116516</v>
      </c>
      <c r="AQ298" s="676">
        <v>22483007</v>
      </c>
      <c r="AR298" s="676">
        <v>5227900</v>
      </c>
      <c r="AS298" s="676">
        <v>25000</v>
      </c>
      <c r="AT298" s="676">
        <v>82302692.700000003</v>
      </c>
      <c r="AU298" s="676">
        <v>25000</v>
      </c>
      <c r="AV298" s="676">
        <v>4286464</v>
      </c>
      <c r="AW298" s="676">
        <v>2794444</v>
      </c>
      <c r="AX298" s="676">
        <v>33200</v>
      </c>
      <c r="AY298" s="676">
        <v>25000</v>
      </c>
      <c r="AZ298" s="676">
        <v>1890149</v>
      </c>
      <c r="BA298" s="676">
        <v>28834012</v>
      </c>
      <c r="BB298" s="676">
        <v>6639</v>
      </c>
      <c r="BC298" s="676">
        <v>11045035</v>
      </c>
      <c r="BD298" s="676">
        <v>105000000</v>
      </c>
      <c r="BE298" s="676">
        <v>1660000</v>
      </c>
      <c r="BF298" s="676">
        <v>214300000</v>
      </c>
      <c r="BG298" s="676">
        <v>1269296000</v>
      </c>
      <c r="BH298" s="676">
        <v>885062000</v>
      </c>
      <c r="BI298" s="676">
        <v>1051309539</v>
      </c>
      <c r="BJ298" s="676">
        <v>70625</v>
      </c>
      <c r="BK298" s="676">
        <v>5669494</v>
      </c>
      <c r="BL298" s="676">
        <v>50364400</v>
      </c>
      <c r="BM298" s="676">
        <v>116754000</v>
      </c>
      <c r="BN298" s="676">
        <v>18442212</v>
      </c>
      <c r="BO298" s="676">
        <v>589325</v>
      </c>
      <c r="BP298" s="676">
        <v>2049293</v>
      </c>
      <c r="BQ298" s="676">
        <v>7212508</v>
      </c>
      <c r="BR298" s="676">
        <v>2563703</v>
      </c>
      <c r="BS298" s="676">
        <v>365133</v>
      </c>
      <c r="BT298" s="676">
        <v>231860090</v>
      </c>
      <c r="BU298" s="676">
        <v>7500000</v>
      </c>
      <c r="BV298" s="676">
        <v>564296621</v>
      </c>
      <c r="BW298" s="676">
        <v>307406758</v>
      </c>
      <c r="BX298" s="676">
        <v>69153205</v>
      </c>
      <c r="BY298" s="676">
        <v>2080927</v>
      </c>
      <c r="BZ298" s="676">
        <v>111618000</v>
      </c>
      <c r="CA298" s="676">
        <v>9866855.9600000009</v>
      </c>
      <c r="CB298" s="676">
        <v>24126906.27</v>
      </c>
      <c r="CC298" s="676">
        <v>196969000</v>
      </c>
      <c r="CD298" s="676">
        <v>2777752</v>
      </c>
      <c r="CE298" s="676">
        <v>760234000</v>
      </c>
      <c r="CF298" s="676">
        <v>401646000</v>
      </c>
      <c r="CG298" s="676">
        <v>212441000</v>
      </c>
    </row>
    <row r="299" spans="1:85" x14ac:dyDescent="0.25">
      <c r="A299" s="320" t="s">
        <v>870</v>
      </c>
      <c r="B299" s="320" t="s">
        <v>1058</v>
      </c>
      <c r="C299" s="320"/>
      <c r="D299" s="320" t="s">
        <v>1059</v>
      </c>
      <c r="E299" s="320">
        <v>2016</v>
      </c>
      <c r="F299" s="404">
        <v>2277943</v>
      </c>
      <c r="G299" s="676">
        <v>24369425</v>
      </c>
      <c r="H299" s="676">
        <v>11449352</v>
      </c>
      <c r="I299" s="676">
        <v>8861312</v>
      </c>
      <c r="J299" s="676">
        <v>33194</v>
      </c>
      <c r="K299" s="676">
        <v>15122000</v>
      </c>
      <c r="L299" s="676">
        <v>35053200</v>
      </c>
      <c r="M299" s="676">
        <v>33193</v>
      </c>
      <c r="N299" s="676">
        <v>331940</v>
      </c>
      <c r="O299" s="676">
        <v>13280</v>
      </c>
      <c r="P299" s="676">
        <v>1891689</v>
      </c>
      <c r="Q299" s="676">
        <v>18240770</v>
      </c>
      <c r="R299" s="676">
        <v>7000000</v>
      </c>
      <c r="S299" s="676">
        <v>363474</v>
      </c>
      <c r="T299" s="676">
        <v>17285949</v>
      </c>
      <c r="U299" s="676">
        <v>282929000</v>
      </c>
      <c r="V299" s="676">
        <v>99600</v>
      </c>
      <c r="W299" s="676">
        <v>16331570</v>
      </c>
      <c r="X299" s="676">
        <v>50082939.829999998</v>
      </c>
      <c r="Y299" s="676">
        <v>299000</v>
      </c>
      <c r="Z299" s="676">
        <v>36446940</v>
      </c>
      <c r="AA299" s="676">
        <v>27624840</v>
      </c>
      <c r="AB299" s="676">
        <v>743214715</v>
      </c>
      <c r="AC299" s="676">
        <v>6250076.2699999996</v>
      </c>
      <c r="AD299" s="676">
        <v>31337531</v>
      </c>
      <c r="AE299" s="676">
        <v>31140890</v>
      </c>
      <c r="AF299" s="676">
        <v>292427637</v>
      </c>
      <c r="AG299" s="676">
        <v>24381219</v>
      </c>
      <c r="AH299" s="676">
        <v>19830792</v>
      </c>
      <c r="AI299" s="676">
        <v>1423692</v>
      </c>
      <c r="AJ299" s="676">
        <v>2996152</v>
      </c>
      <c r="AK299" s="676">
        <v>54821494</v>
      </c>
      <c r="AL299" s="676">
        <v>1000000</v>
      </c>
      <c r="AM299" s="676">
        <v>15400000</v>
      </c>
      <c r="AN299" s="676">
        <v>3355587000</v>
      </c>
      <c r="AO299" s="676">
        <v>94267129</v>
      </c>
      <c r="AP299" s="676">
        <v>1116516</v>
      </c>
      <c r="AQ299" s="676">
        <v>22483007</v>
      </c>
      <c r="AR299" s="676">
        <v>5209313</v>
      </c>
      <c r="AS299" s="676">
        <v>25000</v>
      </c>
      <c r="AT299" s="676">
        <v>82302692.700000003</v>
      </c>
      <c r="AU299" s="676">
        <v>25000</v>
      </c>
      <c r="AV299" s="676">
        <v>4286464</v>
      </c>
      <c r="AW299" s="676">
        <v>2794444</v>
      </c>
      <c r="AX299" s="676">
        <v>33200</v>
      </c>
      <c r="AY299" s="676">
        <v>25000</v>
      </c>
      <c r="AZ299" s="676">
        <v>1890020</v>
      </c>
      <c r="BA299" s="676">
        <v>28834012</v>
      </c>
      <c r="BB299" s="676">
        <v>6639</v>
      </c>
      <c r="BC299" s="676">
        <v>11045035</v>
      </c>
      <c r="BD299" s="676">
        <v>105000000</v>
      </c>
      <c r="BE299" s="676">
        <v>1660000</v>
      </c>
      <c r="BF299" s="676">
        <v>214300000</v>
      </c>
      <c r="BG299" s="676">
        <v>1269296000</v>
      </c>
      <c r="BH299" s="676">
        <v>885062000</v>
      </c>
      <c r="BI299" s="676">
        <v>890744376</v>
      </c>
      <c r="BJ299" s="676">
        <v>70625</v>
      </c>
      <c r="BK299" s="676">
        <v>5669494</v>
      </c>
      <c r="BL299" s="676">
        <v>50364400</v>
      </c>
      <c r="BM299" s="676">
        <v>116754000</v>
      </c>
      <c r="BN299" s="676">
        <v>18442212</v>
      </c>
      <c r="BO299" s="676">
        <v>589325</v>
      </c>
      <c r="BP299" s="676">
        <v>2049293</v>
      </c>
      <c r="BQ299" s="676">
        <v>7212508</v>
      </c>
      <c r="BR299" s="676">
        <v>2563703</v>
      </c>
      <c r="BS299" s="676">
        <v>365133</v>
      </c>
      <c r="BT299" s="676">
        <v>231860090</v>
      </c>
      <c r="BU299" s="676">
        <v>7500000</v>
      </c>
      <c r="BV299" s="676">
        <v>564296621</v>
      </c>
      <c r="BW299" s="676">
        <v>307406758</v>
      </c>
      <c r="BX299" s="676">
        <v>20906857</v>
      </c>
      <c r="BY299" s="676">
        <v>2080927</v>
      </c>
      <c r="BZ299" s="676">
        <v>111618000</v>
      </c>
      <c r="CA299" s="676">
        <v>9866855.9600000009</v>
      </c>
      <c r="CB299" s="676">
        <v>24126906.27</v>
      </c>
      <c r="CC299" s="676">
        <v>196969000</v>
      </c>
      <c r="CD299" s="676">
        <v>2777752</v>
      </c>
      <c r="CE299" s="676">
        <v>760234000</v>
      </c>
      <c r="CF299" s="676">
        <v>401646000</v>
      </c>
      <c r="CG299" s="676">
        <v>212441000</v>
      </c>
    </row>
    <row r="300" spans="1:85" x14ac:dyDescent="0.25">
      <c r="A300" s="320" t="s">
        <v>1060</v>
      </c>
      <c r="B300" s="320" t="s">
        <v>1061</v>
      </c>
      <c r="C300" s="320"/>
      <c r="D300" s="320" t="s">
        <v>1062</v>
      </c>
      <c r="E300" s="320">
        <v>2016</v>
      </c>
      <c r="F300" s="404"/>
      <c r="G300" s="676">
        <v>22462</v>
      </c>
      <c r="H300" s="676"/>
      <c r="I300" s="676"/>
      <c r="J300" s="676"/>
      <c r="K300" s="676"/>
      <c r="L300" s="676"/>
      <c r="M300" s="676"/>
      <c r="N300" s="676"/>
      <c r="O300" s="676"/>
      <c r="P300" s="676"/>
      <c r="Q300" s="676"/>
      <c r="R300" s="676"/>
      <c r="S300" s="676"/>
      <c r="T300" s="676"/>
      <c r="U300" s="676"/>
      <c r="V300" s="676"/>
      <c r="W300" s="676"/>
      <c r="X300" s="676">
        <v>0</v>
      </c>
      <c r="Y300" s="676"/>
      <c r="Z300" s="676">
        <v>0</v>
      </c>
      <c r="AA300" s="676"/>
      <c r="AB300" s="676">
        <v>-1071915</v>
      </c>
      <c r="AC300" s="676">
        <v>0</v>
      </c>
      <c r="AD300" s="676"/>
      <c r="AE300" s="676"/>
      <c r="AF300" s="676"/>
      <c r="AG300" s="676"/>
      <c r="AH300" s="676"/>
      <c r="AI300" s="676"/>
      <c r="AJ300" s="676"/>
      <c r="AK300" s="676"/>
      <c r="AL300" s="676"/>
      <c r="AM300" s="676"/>
      <c r="AN300" s="676"/>
      <c r="AO300" s="676"/>
      <c r="AP300" s="676"/>
      <c r="AQ300" s="676"/>
      <c r="AR300" s="676">
        <v>18587</v>
      </c>
      <c r="AS300" s="676"/>
      <c r="AT300" s="676">
        <v>0</v>
      </c>
      <c r="AU300" s="676"/>
      <c r="AV300" s="676"/>
      <c r="AW300" s="676"/>
      <c r="AX300" s="676"/>
      <c r="AY300" s="676"/>
      <c r="AZ300" s="676">
        <v>129</v>
      </c>
      <c r="BA300" s="676"/>
      <c r="BB300" s="676"/>
      <c r="BC300" s="676"/>
      <c r="BD300" s="676"/>
      <c r="BE300" s="676">
        <v>0</v>
      </c>
      <c r="BF300" s="676"/>
      <c r="BG300" s="676"/>
      <c r="BH300" s="676"/>
      <c r="BI300" s="676">
        <v>160565163</v>
      </c>
      <c r="BJ300" s="676"/>
      <c r="BK300" s="676"/>
      <c r="BL300" s="676"/>
      <c r="BM300" s="676"/>
      <c r="BN300" s="676">
        <v>0</v>
      </c>
      <c r="BO300" s="676"/>
      <c r="BP300" s="676"/>
      <c r="BQ300" s="676"/>
      <c r="BR300" s="676"/>
      <c r="BS300" s="676"/>
      <c r="BT300" s="676"/>
      <c r="BU300" s="676"/>
      <c r="BV300" s="676"/>
      <c r="BW300" s="676"/>
      <c r="BX300" s="676">
        <v>48246348</v>
      </c>
      <c r="BY300" s="676"/>
      <c r="BZ300" s="676"/>
      <c r="CA300" s="676"/>
      <c r="CB300" s="676"/>
      <c r="CC300" s="676"/>
      <c r="CD300" s="676"/>
      <c r="CE300" s="676"/>
      <c r="CF300" s="676"/>
      <c r="CG300" s="676"/>
    </row>
    <row r="301" spans="1:85" x14ac:dyDescent="0.25">
      <c r="A301" s="320" t="s">
        <v>1063</v>
      </c>
      <c r="B301" s="320" t="s">
        <v>1064</v>
      </c>
      <c r="C301" s="320"/>
      <c r="D301" s="320" t="s">
        <v>1065</v>
      </c>
      <c r="E301" s="320">
        <v>2016</v>
      </c>
      <c r="F301" s="404"/>
      <c r="G301" s="676"/>
      <c r="H301" s="676"/>
      <c r="I301" s="676"/>
      <c r="J301" s="676"/>
      <c r="K301" s="676"/>
      <c r="L301" s="676"/>
      <c r="M301" s="676"/>
      <c r="N301" s="676"/>
      <c r="O301" s="676"/>
      <c r="P301" s="676"/>
      <c r="Q301" s="676"/>
      <c r="R301" s="676"/>
      <c r="S301" s="676"/>
      <c r="T301" s="676"/>
      <c r="U301" s="676"/>
      <c r="V301" s="676"/>
      <c r="W301" s="676"/>
      <c r="X301" s="676">
        <v>0</v>
      </c>
      <c r="Y301" s="676"/>
      <c r="Z301" s="676">
        <v>0</v>
      </c>
      <c r="AA301" s="676"/>
      <c r="AB301" s="676"/>
      <c r="AC301" s="676">
        <v>0</v>
      </c>
      <c r="AD301" s="676"/>
      <c r="AE301" s="676"/>
      <c r="AF301" s="676"/>
      <c r="AG301" s="676"/>
      <c r="AH301" s="676"/>
      <c r="AI301" s="676"/>
      <c r="AJ301" s="676"/>
      <c r="AK301" s="676"/>
      <c r="AL301" s="676"/>
      <c r="AM301" s="676"/>
      <c r="AN301" s="676"/>
      <c r="AO301" s="676"/>
      <c r="AP301" s="676"/>
      <c r="AQ301" s="676"/>
      <c r="AR301" s="676"/>
      <c r="AS301" s="676"/>
      <c r="AT301" s="676">
        <v>0</v>
      </c>
      <c r="AU301" s="676"/>
      <c r="AV301" s="676"/>
      <c r="AW301" s="676"/>
      <c r="AX301" s="676"/>
      <c r="AY301" s="676"/>
      <c r="AZ301" s="676">
        <v>0</v>
      </c>
      <c r="BA301" s="676"/>
      <c r="BB301" s="676"/>
      <c r="BC301" s="676"/>
      <c r="BD301" s="676"/>
      <c r="BE301" s="676">
        <v>0</v>
      </c>
      <c r="BF301" s="676"/>
      <c r="BG301" s="676"/>
      <c r="BH301" s="676"/>
      <c r="BI301" s="676"/>
      <c r="BJ301" s="676"/>
      <c r="BK301" s="676"/>
      <c r="BL301" s="676"/>
      <c r="BM301" s="676"/>
      <c r="BN301" s="676">
        <v>0</v>
      </c>
      <c r="BO301" s="676"/>
      <c r="BP301" s="676"/>
      <c r="BQ301" s="676"/>
      <c r="BR301" s="676"/>
      <c r="BS301" s="676"/>
      <c r="BT301" s="676"/>
      <c r="BU301" s="676"/>
      <c r="BV301" s="676"/>
      <c r="BW301" s="676"/>
      <c r="BX301" s="676"/>
      <c r="BY301" s="676"/>
      <c r="BZ301" s="676"/>
      <c r="CA301" s="676"/>
      <c r="CB301" s="676"/>
      <c r="CC301" s="676"/>
      <c r="CD301" s="676"/>
      <c r="CE301" s="676"/>
      <c r="CF301" s="676"/>
      <c r="CG301" s="676"/>
    </row>
    <row r="302" spans="1:85" x14ac:dyDescent="0.25">
      <c r="A302" s="320" t="s">
        <v>1066</v>
      </c>
      <c r="B302" s="320" t="s">
        <v>1067</v>
      </c>
      <c r="C302" s="320"/>
      <c r="D302" s="320" t="s">
        <v>1068</v>
      </c>
      <c r="E302" s="320">
        <v>2016</v>
      </c>
      <c r="F302" s="404"/>
      <c r="G302" s="676"/>
      <c r="H302" s="676"/>
      <c r="I302" s="676"/>
      <c r="J302" s="676"/>
      <c r="K302" s="676"/>
      <c r="L302" s="676"/>
      <c r="M302" s="676"/>
      <c r="N302" s="676"/>
      <c r="O302" s="676"/>
      <c r="P302" s="676"/>
      <c r="Q302" s="676"/>
      <c r="R302" s="676"/>
      <c r="S302" s="676"/>
      <c r="T302" s="676"/>
      <c r="U302" s="676"/>
      <c r="V302" s="676"/>
      <c r="W302" s="676"/>
      <c r="X302" s="676">
        <v>0</v>
      </c>
      <c r="Y302" s="676"/>
      <c r="Z302" s="676">
        <v>0</v>
      </c>
      <c r="AA302" s="676"/>
      <c r="AB302" s="676"/>
      <c r="AC302" s="676">
        <v>0</v>
      </c>
      <c r="AD302" s="676"/>
      <c r="AE302" s="676"/>
      <c r="AF302" s="676"/>
      <c r="AG302" s="676"/>
      <c r="AH302" s="676"/>
      <c r="AI302" s="676"/>
      <c r="AJ302" s="676"/>
      <c r="AK302" s="676"/>
      <c r="AL302" s="676"/>
      <c r="AM302" s="676"/>
      <c r="AN302" s="676"/>
      <c r="AO302" s="676"/>
      <c r="AP302" s="676"/>
      <c r="AQ302" s="676"/>
      <c r="AR302" s="676"/>
      <c r="AS302" s="676"/>
      <c r="AT302" s="676">
        <v>0</v>
      </c>
      <c r="AU302" s="676"/>
      <c r="AV302" s="676"/>
      <c r="AW302" s="676"/>
      <c r="AX302" s="676">
        <v>3319</v>
      </c>
      <c r="AY302" s="676"/>
      <c r="AZ302" s="676">
        <v>0</v>
      </c>
      <c r="BA302" s="676"/>
      <c r="BB302" s="676"/>
      <c r="BC302" s="676"/>
      <c r="BD302" s="676"/>
      <c r="BE302" s="676">
        <v>0</v>
      </c>
      <c r="BF302" s="676"/>
      <c r="BG302" s="676"/>
      <c r="BH302" s="676"/>
      <c r="BI302" s="676"/>
      <c r="BJ302" s="676">
        <v>28241875</v>
      </c>
      <c r="BK302" s="676"/>
      <c r="BL302" s="676">
        <v>631229</v>
      </c>
      <c r="BM302" s="676"/>
      <c r="BN302" s="676">
        <v>0</v>
      </c>
      <c r="BO302" s="676"/>
      <c r="BP302" s="676">
        <v>133786</v>
      </c>
      <c r="BQ302" s="676"/>
      <c r="BR302" s="676"/>
      <c r="BS302" s="676"/>
      <c r="BT302" s="676"/>
      <c r="BU302" s="676"/>
      <c r="BV302" s="676"/>
      <c r="BW302" s="676"/>
      <c r="BX302" s="676"/>
      <c r="BY302" s="676"/>
      <c r="BZ302" s="676"/>
      <c r="CA302" s="676"/>
      <c r="CB302" s="676"/>
      <c r="CC302" s="676"/>
      <c r="CD302" s="676"/>
      <c r="CE302" s="676"/>
      <c r="CF302" s="676"/>
      <c r="CG302" s="676"/>
    </row>
    <row r="303" spans="1:85" x14ac:dyDescent="0.25">
      <c r="A303" s="320" t="s">
        <v>920</v>
      </c>
      <c r="B303" s="320" t="s">
        <v>1069</v>
      </c>
      <c r="C303" s="320"/>
      <c r="D303" s="320" t="s">
        <v>1070</v>
      </c>
      <c r="E303" s="320">
        <v>2016</v>
      </c>
      <c r="F303" s="404"/>
      <c r="G303" s="676"/>
      <c r="H303" s="676">
        <v>4680</v>
      </c>
      <c r="I303" s="676"/>
      <c r="J303" s="676">
        <v>10215000</v>
      </c>
      <c r="K303" s="676"/>
      <c r="L303" s="676"/>
      <c r="M303" s="676"/>
      <c r="N303" s="676">
        <v>22000000</v>
      </c>
      <c r="O303" s="676">
        <v>14425</v>
      </c>
      <c r="P303" s="676"/>
      <c r="Q303" s="676"/>
      <c r="R303" s="676"/>
      <c r="S303" s="676"/>
      <c r="T303" s="676">
        <v>105276</v>
      </c>
      <c r="U303" s="676">
        <v>3144000</v>
      </c>
      <c r="V303" s="676"/>
      <c r="W303" s="676"/>
      <c r="X303" s="676">
        <v>0</v>
      </c>
      <c r="Y303" s="676"/>
      <c r="Z303" s="676">
        <v>0</v>
      </c>
      <c r="AA303" s="676">
        <v>344784</v>
      </c>
      <c r="AB303" s="676">
        <v>353161</v>
      </c>
      <c r="AC303" s="676">
        <v>0</v>
      </c>
      <c r="AD303" s="676">
        <v>7675</v>
      </c>
      <c r="AE303" s="676">
        <v>14807944</v>
      </c>
      <c r="AF303" s="676"/>
      <c r="AG303" s="676"/>
      <c r="AH303" s="676"/>
      <c r="AI303" s="676"/>
      <c r="AJ303" s="676"/>
      <c r="AK303" s="676"/>
      <c r="AL303" s="676"/>
      <c r="AM303" s="676">
        <v>97288</v>
      </c>
      <c r="AN303" s="676"/>
      <c r="AO303" s="676">
        <v>4999804</v>
      </c>
      <c r="AP303" s="676">
        <v>1512402</v>
      </c>
      <c r="AQ303" s="676"/>
      <c r="AR303" s="676">
        <v>485000</v>
      </c>
      <c r="AS303" s="676">
        <v>186738</v>
      </c>
      <c r="AT303" s="676">
        <v>0</v>
      </c>
      <c r="AU303" s="676">
        <v>1590000</v>
      </c>
      <c r="AV303" s="676"/>
      <c r="AW303" s="676">
        <v>5226</v>
      </c>
      <c r="AX303" s="676"/>
      <c r="AY303" s="676"/>
      <c r="AZ303" s="676">
        <v>0</v>
      </c>
      <c r="BA303" s="676"/>
      <c r="BB303" s="676"/>
      <c r="BC303" s="676">
        <v>10235</v>
      </c>
      <c r="BD303" s="676"/>
      <c r="BE303" s="676">
        <v>0</v>
      </c>
      <c r="BF303" s="676">
        <v>2167000</v>
      </c>
      <c r="BG303" s="676"/>
      <c r="BH303" s="676"/>
      <c r="BI303" s="676"/>
      <c r="BJ303" s="676">
        <v>5949523</v>
      </c>
      <c r="BK303" s="676">
        <v>5214</v>
      </c>
      <c r="BL303" s="676"/>
      <c r="BM303" s="676">
        <v>2324000</v>
      </c>
      <c r="BN303" s="676">
        <v>341724</v>
      </c>
      <c r="BO303" s="676">
        <v>100231</v>
      </c>
      <c r="BP303" s="676"/>
      <c r="BQ303" s="676">
        <v>611634</v>
      </c>
      <c r="BR303" s="676">
        <v>106922</v>
      </c>
      <c r="BS303" s="676"/>
      <c r="BT303" s="676">
        <v>10071621</v>
      </c>
      <c r="BU303" s="676"/>
      <c r="BV303" s="676"/>
      <c r="BW303" s="676">
        <v>147142265</v>
      </c>
      <c r="BX303" s="676"/>
      <c r="BY303" s="676">
        <v>789537</v>
      </c>
      <c r="BZ303" s="676">
        <v>12946000</v>
      </c>
      <c r="CA303" s="676"/>
      <c r="CB303" s="676"/>
      <c r="CC303" s="676"/>
      <c r="CD303" s="676"/>
      <c r="CE303" s="676">
        <v>520228000</v>
      </c>
      <c r="CF303" s="676"/>
      <c r="CG303" s="676">
        <v>-33622000</v>
      </c>
    </row>
    <row r="304" spans="1:85" x14ac:dyDescent="0.25">
      <c r="A304" s="320" t="s">
        <v>1071</v>
      </c>
      <c r="B304" s="320" t="s">
        <v>1393</v>
      </c>
      <c r="C304" s="320" t="s">
        <v>1394</v>
      </c>
      <c r="D304" s="320" t="s">
        <v>1072</v>
      </c>
      <c r="E304" s="320">
        <v>2016</v>
      </c>
      <c r="F304" s="404"/>
      <c r="G304" s="676">
        <v>61612</v>
      </c>
      <c r="H304" s="676">
        <v>1004750</v>
      </c>
      <c r="I304" s="676">
        <v>722276</v>
      </c>
      <c r="J304" s="676">
        <v>3319</v>
      </c>
      <c r="K304" s="676">
        <v>395112</v>
      </c>
      <c r="L304" s="676">
        <v>12138</v>
      </c>
      <c r="M304" s="676">
        <v>6639</v>
      </c>
      <c r="N304" s="676">
        <v>33194</v>
      </c>
      <c r="O304" s="676">
        <v>111090</v>
      </c>
      <c r="P304" s="676">
        <v>199980</v>
      </c>
      <c r="Q304" s="676">
        <v>9699232</v>
      </c>
      <c r="R304" s="676">
        <v>184244</v>
      </c>
      <c r="S304" s="676">
        <v>194303</v>
      </c>
      <c r="T304" s="676">
        <v>1637580</v>
      </c>
      <c r="U304" s="676">
        <v>56586000</v>
      </c>
      <c r="V304" s="676">
        <v>9958</v>
      </c>
      <c r="W304" s="676">
        <v>2046229</v>
      </c>
      <c r="X304" s="676">
        <v>0</v>
      </c>
      <c r="Y304" s="676">
        <v>29900</v>
      </c>
      <c r="Z304" s="676">
        <v>8422684.8399999999</v>
      </c>
      <c r="AA304" s="676">
        <v>194660</v>
      </c>
      <c r="AB304" s="676">
        <v>3850538</v>
      </c>
      <c r="AC304" s="676">
        <v>306182.88</v>
      </c>
      <c r="AD304" s="676">
        <v>22493651</v>
      </c>
      <c r="AE304" s="676">
        <v>4512750</v>
      </c>
      <c r="AF304" s="676">
        <v>354653</v>
      </c>
      <c r="AG304" s="676">
        <v>1525716</v>
      </c>
      <c r="AH304" s="676">
        <v>2143393</v>
      </c>
      <c r="AI304" s="676">
        <v>179647</v>
      </c>
      <c r="AJ304" s="676">
        <v>4578</v>
      </c>
      <c r="AK304" s="676">
        <v>2392780</v>
      </c>
      <c r="AL304" s="676">
        <v>315437</v>
      </c>
      <c r="AM304" s="676">
        <v>2899935</v>
      </c>
      <c r="AN304" s="676">
        <v>350353000</v>
      </c>
      <c r="AO304" s="676">
        <v>3945180</v>
      </c>
      <c r="AP304" s="676">
        <v>223303</v>
      </c>
      <c r="AQ304" s="676">
        <v>1772341</v>
      </c>
      <c r="AR304" s="676">
        <v>18989</v>
      </c>
      <c r="AS304" s="676">
        <v>5000</v>
      </c>
      <c r="AT304" s="676">
        <v>4487653.12</v>
      </c>
      <c r="AU304" s="676">
        <v>5000</v>
      </c>
      <c r="AV304" s="676">
        <v>1414572</v>
      </c>
      <c r="AW304" s="676">
        <v>81487</v>
      </c>
      <c r="AX304" s="676">
        <v>3320</v>
      </c>
      <c r="AY304" s="676">
        <v>5000</v>
      </c>
      <c r="AZ304" s="676">
        <v>105005</v>
      </c>
      <c r="BA304" s="676">
        <v>1937706</v>
      </c>
      <c r="BB304" s="676">
        <v>11496</v>
      </c>
      <c r="BC304" s="676">
        <v>1329067</v>
      </c>
      <c r="BD304" s="676">
        <v>21000000</v>
      </c>
      <c r="BE304" s="676">
        <v>18210279.649999999</v>
      </c>
      <c r="BF304" s="676"/>
      <c r="BG304" s="676"/>
      <c r="BH304" s="676">
        <v>1197548000</v>
      </c>
      <c r="BI304" s="676">
        <v>2156836</v>
      </c>
      <c r="BJ304" s="676">
        <v>14125</v>
      </c>
      <c r="BK304" s="676">
        <v>245840</v>
      </c>
      <c r="BL304" s="676">
        <v>885141</v>
      </c>
      <c r="BM304" s="676">
        <v>23351000</v>
      </c>
      <c r="BN304" s="676">
        <v>1735584</v>
      </c>
      <c r="BO304" s="676">
        <v>210971</v>
      </c>
      <c r="BP304" s="676">
        <v>284234</v>
      </c>
      <c r="BQ304" s="676">
        <v>840698</v>
      </c>
      <c r="BR304" s="676">
        <v>93488</v>
      </c>
      <c r="BS304" s="676">
        <v>1420193</v>
      </c>
      <c r="BT304" s="676">
        <v>46400201</v>
      </c>
      <c r="BU304" s="676">
        <v>37391</v>
      </c>
      <c r="BV304" s="676">
        <v>27370196</v>
      </c>
      <c r="BW304" s="676">
        <v>16919670</v>
      </c>
      <c r="BX304" s="676">
        <v>416190</v>
      </c>
      <c r="BY304" s="676">
        <v>40165</v>
      </c>
      <c r="BZ304" s="676">
        <v>22339000</v>
      </c>
      <c r="CA304" s="676">
        <v>1568615.55</v>
      </c>
      <c r="CB304" s="676">
        <v>440967.88</v>
      </c>
      <c r="CC304" s="676">
        <v>39421000</v>
      </c>
      <c r="CD304" s="676">
        <v>1686</v>
      </c>
      <c r="CE304" s="676">
        <v>21904000</v>
      </c>
      <c r="CF304" s="676">
        <v>34000</v>
      </c>
      <c r="CG304" s="676">
        <v>24118000</v>
      </c>
    </row>
    <row r="305" spans="1:85" x14ac:dyDescent="0.25">
      <c r="A305" s="320" t="s">
        <v>1073</v>
      </c>
      <c r="B305" s="320" t="s">
        <v>1074</v>
      </c>
      <c r="C305" s="320"/>
      <c r="D305" s="320" t="s">
        <v>1075</v>
      </c>
      <c r="E305" s="320">
        <v>2016</v>
      </c>
      <c r="F305" s="404"/>
      <c r="G305" s="676">
        <v>61612</v>
      </c>
      <c r="H305" s="676">
        <v>1004750</v>
      </c>
      <c r="I305" s="676">
        <v>722276</v>
      </c>
      <c r="J305" s="676">
        <v>3319</v>
      </c>
      <c r="K305" s="676">
        <v>395112</v>
      </c>
      <c r="L305" s="676">
        <v>12138</v>
      </c>
      <c r="M305" s="676">
        <v>6639</v>
      </c>
      <c r="N305" s="676">
        <v>33194</v>
      </c>
      <c r="O305" s="676">
        <v>111090</v>
      </c>
      <c r="P305" s="676">
        <v>199980</v>
      </c>
      <c r="Q305" s="676">
        <v>9699232</v>
      </c>
      <c r="R305" s="676">
        <v>184244</v>
      </c>
      <c r="S305" s="676">
        <v>194303</v>
      </c>
      <c r="T305" s="676">
        <v>1637580</v>
      </c>
      <c r="U305" s="676">
        <v>56586000</v>
      </c>
      <c r="V305" s="676">
        <v>9958</v>
      </c>
      <c r="W305" s="676">
        <v>2046229</v>
      </c>
      <c r="X305" s="676">
        <v>0</v>
      </c>
      <c r="Y305" s="676">
        <v>29900</v>
      </c>
      <c r="Z305" s="676">
        <v>8422684.8399999999</v>
      </c>
      <c r="AA305" s="676">
        <v>194660</v>
      </c>
      <c r="AB305" s="676">
        <v>3850538</v>
      </c>
      <c r="AC305" s="676">
        <v>306182.88</v>
      </c>
      <c r="AD305" s="676">
        <v>22493651</v>
      </c>
      <c r="AE305" s="676">
        <v>4512750</v>
      </c>
      <c r="AF305" s="676">
        <v>354653</v>
      </c>
      <c r="AG305" s="676">
        <v>1525716</v>
      </c>
      <c r="AH305" s="676">
        <v>2143393</v>
      </c>
      <c r="AI305" s="676">
        <v>179647</v>
      </c>
      <c r="AJ305" s="676">
        <v>4578</v>
      </c>
      <c r="AK305" s="676">
        <v>2392780</v>
      </c>
      <c r="AL305" s="676">
        <v>315437</v>
      </c>
      <c r="AM305" s="676">
        <v>2899935</v>
      </c>
      <c r="AN305" s="676"/>
      <c r="AO305" s="676">
        <v>3945180</v>
      </c>
      <c r="AP305" s="676">
        <v>223303</v>
      </c>
      <c r="AQ305" s="676">
        <v>1772341</v>
      </c>
      <c r="AR305" s="676">
        <v>18989</v>
      </c>
      <c r="AS305" s="676">
        <v>5000</v>
      </c>
      <c r="AT305" s="676">
        <v>4487653.12</v>
      </c>
      <c r="AU305" s="676">
        <v>5000</v>
      </c>
      <c r="AV305" s="676">
        <v>1414572</v>
      </c>
      <c r="AW305" s="676">
        <v>81487</v>
      </c>
      <c r="AX305" s="676">
        <v>3320</v>
      </c>
      <c r="AY305" s="676">
        <v>5000</v>
      </c>
      <c r="AZ305" s="676">
        <v>105005</v>
      </c>
      <c r="BA305" s="676">
        <v>1937706</v>
      </c>
      <c r="BB305" s="676">
        <v>11496</v>
      </c>
      <c r="BC305" s="676">
        <v>1329067</v>
      </c>
      <c r="BD305" s="676">
        <v>21000000</v>
      </c>
      <c r="BE305" s="676">
        <v>18210279.649999999</v>
      </c>
      <c r="BF305" s="676"/>
      <c r="BG305" s="676"/>
      <c r="BH305" s="676"/>
      <c r="BI305" s="676">
        <v>2156836</v>
      </c>
      <c r="BJ305" s="676">
        <v>14125</v>
      </c>
      <c r="BK305" s="676">
        <v>245840</v>
      </c>
      <c r="BL305" s="676">
        <v>885141</v>
      </c>
      <c r="BM305" s="676"/>
      <c r="BN305" s="676">
        <v>1735584</v>
      </c>
      <c r="BO305" s="676">
        <v>210971</v>
      </c>
      <c r="BP305" s="676">
        <v>284234</v>
      </c>
      <c r="BQ305" s="676">
        <v>840698</v>
      </c>
      <c r="BR305" s="676">
        <v>93488</v>
      </c>
      <c r="BS305" s="676">
        <v>1420193</v>
      </c>
      <c r="BT305" s="676">
        <v>46400201</v>
      </c>
      <c r="BU305" s="676">
        <v>37391</v>
      </c>
      <c r="BV305" s="676">
        <v>27370196</v>
      </c>
      <c r="BW305" s="676">
        <v>16919670</v>
      </c>
      <c r="BX305" s="676">
        <v>416190</v>
      </c>
      <c r="BY305" s="676">
        <v>40165</v>
      </c>
      <c r="BZ305" s="676">
        <v>22339000</v>
      </c>
      <c r="CA305" s="676">
        <v>1568615.55</v>
      </c>
      <c r="CB305" s="676">
        <v>440967.88</v>
      </c>
      <c r="CC305" s="676"/>
      <c r="CD305" s="676">
        <v>1686</v>
      </c>
      <c r="CE305" s="676">
        <v>21904000</v>
      </c>
      <c r="CF305" s="676"/>
      <c r="CG305" s="676">
        <v>24118000</v>
      </c>
    </row>
    <row r="306" spans="1:85" x14ac:dyDescent="0.25">
      <c r="A306" s="320" t="s">
        <v>1076</v>
      </c>
      <c r="B306" s="320" t="s">
        <v>1077</v>
      </c>
      <c r="C306" s="320"/>
      <c r="D306" s="320" t="s">
        <v>1078</v>
      </c>
      <c r="E306" s="320">
        <v>2016</v>
      </c>
      <c r="F306" s="404"/>
      <c r="G306" s="676"/>
      <c r="H306" s="676"/>
      <c r="I306" s="676"/>
      <c r="J306" s="676"/>
      <c r="K306" s="676"/>
      <c r="L306" s="676"/>
      <c r="M306" s="676"/>
      <c r="N306" s="676"/>
      <c r="O306" s="676"/>
      <c r="P306" s="676"/>
      <c r="Q306" s="676"/>
      <c r="R306" s="676"/>
      <c r="S306" s="676"/>
      <c r="T306" s="676"/>
      <c r="U306" s="676"/>
      <c r="V306" s="676"/>
      <c r="W306" s="676"/>
      <c r="X306" s="676">
        <v>0</v>
      </c>
      <c r="Y306" s="676"/>
      <c r="Z306" s="676">
        <v>0</v>
      </c>
      <c r="AA306" s="676"/>
      <c r="AB306" s="676"/>
      <c r="AC306" s="676">
        <v>0</v>
      </c>
      <c r="AD306" s="676"/>
      <c r="AE306" s="676"/>
      <c r="AF306" s="676"/>
      <c r="AG306" s="676"/>
      <c r="AH306" s="676"/>
      <c r="AI306" s="676"/>
      <c r="AJ306" s="676"/>
      <c r="AK306" s="676"/>
      <c r="AL306" s="676"/>
      <c r="AM306" s="676"/>
      <c r="AN306" s="676"/>
      <c r="AO306" s="676"/>
      <c r="AP306" s="676"/>
      <c r="AQ306" s="676"/>
      <c r="AR306" s="676"/>
      <c r="AS306" s="676"/>
      <c r="AT306" s="676">
        <v>0</v>
      </c>
      <c r="AU306" s="676"/>
      <c r="AV306" s="676"/>
      <c r="AW306" s="676"/>
      <c r="AX306" s="676"/>
      <c r="AY306" s="676"/>
      <c r="AZ306" s="676">
        <v>0</v>
      </c>
      <c r="BA306" s="676"/>
      <c r="BB306" s="676"/>
      <c r="BC306" s="676"/>
      <c r="BD306" s="676"/>
      <c r="BE306" s="676">
        <v>0</v>
      </c>
      <c r="BF306" s="676"/>
      <c r="BG306" s="676"/>
      <c r="BH306" s="676"/>
      <c r="BI306" s="676"/>
      <c r="BJ306" s="676"/>
      <c r="BK306" s="676"/>
      <c r="BL306" s="676"/>
      <c r="BM306" s="676"/>
      <c r="BN306" s="676">
        <v>0</v>
      </c>
      <c r="BO306" s="676"/>
      <c r="BP306" s="676"/>
      <c r="BQ306" s="676"/>
      <c r="BR306" s="676"/>
      <c r="BS306" s="676"/>
      <c r="BT306" s="676"/>
      <c r="BU306" s="676"/>
      <c r="BV306" s="676"/>
      <c r="BW306" s="676"/>
      <c r="BX306" s="676"/>
      <c r="BY306" s="676"/>
      <c r="BZ306" s="676"/>
      <c r="CA306" s="676"/>
      <c r="CB306" s="676"/>
      <c r="CC306" s="676"/>
      <c r="CD306" s="676"/>
      <c r="CE306" s="676"/>
      <c r="CF306" s="676"/>
      <c r="CG306" s="676"/>
    </row>
    <row r="307" spans="1:85" x14ac:dyDescent="0.25">
      <c r="A307" s="320" t="s">
        <v>1079</v>
      </c>
      <c r="B307" s="320" t="s">
        <v>1395</v>
      </c>
      <c r="C307" s="320" t="s">
        <v>1396</v>
      </c>
      <c r="D307" s="320" t="s">
        <v>1080</v>
      </c>
      <c r="E307" s="320">
        <v>2016</v>
      </c>
      <c r="F307" s="404"/>
      <c r="G307" s="676">
        <v>1161476</v>
      </c>
      <c r="H307" s="676"/>
      <c r="I307" s="676"/>
      <c r="J307" s="676"/>
      <c r="K307" s="676">
        <v>1994</v>
      </c>
      <c r="L307" s="676"/>
      <c r="M307" s="676"/>
      <c r="N307" s="676"/>
      <c r="O307" s="676"/>
      <c r="P307" s="676"/>
      <c r="Q307" s="676"/>
      <c r="R307" s="676">
        <v>213</v>
      </c>
      <c r="S307" s="676"/>
      <c r="T307" s="676">
        <v>390628</v>
      </c>
      <c r="U307" s="676"/>
      <c r="V307" s="676"/>
      <c r="W307" s="676"/>
      <c r="X307" s="676">
        <v>0</v>
      </c>
      <c r="Y307" s="676"/>
      <c r="Z307" s="676">
        <v>31821041.050000001</v>
      </c>
      <c r="AA307" s="676"/>
      <c r="AB307" s="676">
        <v>3754151</v>
      </c>
      <c r="AC307" s="676">
        <v>0</v>
      </c>
      <c r="AD307" s="676"/>
      <c r="AE307" s="676"/>
      <c r="AF307" s="676">
        <v>331939</v>
      </c>
      <c r="AG307" s="676"/>
      <c r="AH307" s="676"/>
      <c r="AI307" s="676"/>
      <c r="AJ307" s="676"/>
      <c r="AK307" s="676">
        <v>10441842</v>
      </c>
      <c r="AL307" s="676"/>
      <c r="AM307" s="676"/>
      <c r="AN307" s="676"/>
      <c r="AO307" s="676"/>
      <c r="AP307" s="676">
        <v>1437425</v>
      </c>
      <c r="AQ307" s="676">
        <v>1924340</v>
      </c>
      <c r="AR307" s="676"/>
      <c r="AS307" s="676"/>
      <c r="AT307" s="676">
        <v>0</v>
      </c>
      <c r="AU307" s="676"/>
      <c r="AV307" s="676">
        <v>1285</v>
      </c>
      <c r="AW307" s="676"/>
      <c r="AX307" s="676"/>
      <c r="AY307" s="676"/>
      <c r="AZ307" s="676">
        <v>276162</v>
      </c>
      <c r="BA307" s="676"/>
      <c r="BB307" s="676">
        <v>2259</v>
      </c>
      <c r="BC307" s="676"/>
      <c r="BD307" s="676">
        <v>284518141</v>
      </c>
      <c r="BE307" s="676">
        <v>0</v>
      </c>
      <c r="BF307" s="676">
        <v>29531000</v>
      </c>
      <c r="BG307" s="676">
        <v>211470000</v>
      </c>
      <c r="BH307" s="676"/>
      <c r="BI307" s="676"/>
      <c r="BJ307" s="676"/>
      <c r="BK307" s="676">
        <v>12578</v>
      </c>
      <c r="BL307" s="676">
        <v>782636</v>
      </c>
      <c r="BM307" s="676"/>
      <c r="BN307" s="676">
        <v>7120614</v>
      </c>
      <c r="BO307" s="676">
        <v>56916</v>
      </c>
      <c r="BP307" s="676">
        <v>105059</v>
      </c>
      <c r="BQ307" s="676">
        <v>906210</v>
      </c>
      <c r="BR307" s="676">
        <v>290728</v>
      </c>
      <c r="BS307" s="676">
        <v>3313360</v>
      </c>
      <c r="BT307" s="676">
        <v>2818420</v>
      </c>
      <c r="BU307" s="676"/>
      <c r="BV307" s="676">
        <v>1658041</v>
      </c>
      <c r="BW307" s="676">
        <v>7380</v>
      </c>
      <c r="BX307" s="676">
        <v>1015022</v>
      </c>
      <c r="BY307" s="676">
        <v>123896</v>
      </c>
      <c r="BZ307" s="676"/>
      <c r="CA307" s="676"/>
      <c r="CB307" s="676">
        <v>6858135.2699999996</v>
      </c>
      <c r="CC307" s="676"/>
      <c r="CD307" s="676"/>
      <c r="CE307" s="676"/>
      <c r="CF307" s="676">
        <v>1228000</v>
      </c>
      <c r="CG307" s="676"/>
    </row>
    <row r="308" spans="1:85" x14ac:dyDescent="0.25">
      <c r="A308" s="320" t="s">
        <v>1081</v>
      </c>
      <c r="B308" s="320" t="s">
        <v>1082</v>
      </c>
      <c r="C308" s="320"/>
      <c r="D308" s="320" t="s">
        <v>1083</v>
      </c>
      <c r="E308" s="320">
        <v>2016</v>
      </c>
      <c r="F308" s="404"/>
      <c r="G308" s="676"/>
      <c r="H308" s="676"/>
      <c r="I308" s="676"/>
      <c r="J308" s="676"/>
      <c r="K308" s="676">
        <v>1994</v>
      </c>
      <c r="L308" s="676"/>
      <c r="M308" s="676"/>
      <c r="N308" s="676"/>
      <c r="O308" s="676"/>
      <c r="P308" s="676"/>
      <c r="Q308" s="676"/>
      <c r="R308" s="676"/>
      <c r="S308" s="676"/>
      <c r="T308" s="676">
        <v>390628</v>
      </c>
      <c r="U308" s="676"/>
      <c r="V308" s="676"/>
      <c r="W308" s="676"/>
      <c r="X308" s="676">
        <v>0</v>
      </c>
      <c r="Y308" s="676"/>
      <c r="Z308" s="676">
        <v>0</v>
      </c>
      <c r="AA308" s="676"/>
      <c r="AB308" s="676">
        <v>665766</v>
      </c>
      <c r="AC308" s="676">
        <v>0</v>
      </c>
      <c r="AD308" s="676"/>
      <c r="AE308" s="676"/>
      <c r="AF308" s="676"/>
      <c r="AG308" s="676"/>
      <c r="AH308" s="676"/>
      <c r="AI308" s="676"/>
      <c r="AJ308" s="676"/>
      <c r="AK308" s="676">
        <v>67391</v>
      </c>
      <c r="AL308" s="676"/>
      <c r="AM308" s="676"/>
      <c r="AN308" s="676"/>
      <c r="AO308" s="676"/>
      <c r="AP308" s="676">
        <v>1437425</v>
      </c>
      <c r="AQ308" s="676"/>
      <c r="AR308" s="676"/>
      <c r="AS308" s="676"/>
      <c r="AT308" s="676">
        <v>0</v>
      </c>
      <c r="AU308" s="676"/>
      <c r="AV308" s="676"/>
      <c r="AW308" s="676"/>
      <c r="AX308" s="676"/>
      <c r="AY308" s="676"/>
      <c r="AZ308" s="676">
        <v>208134</v>
      </c>
      <c r="BA308" s="676"/>
      <c r="BB308" s="676"/>
      <c r="BC308" s="676"/>
      <c r="BD308" s="676"/>
      <c r="BE308" s="676">
        <v>0</v>
      </c>
      <c r="BF308" s="676"/>
      <c r="BG308" s="676"/>
      <c r="BH308" s="676"/>
      <c r="BI308" s="676"/>
      <c r="BJ308" s="676"/>
      <c r="BK308" s="676"/>
      <c r="BL308" s="676"/>
      <c r="BM308" s="676"/>
      <c r="BN308" s="676">
        <v>0</v>
      </c>
      <c r="BO308" s="676"/>
      <c r="BP308" s="676">
        <v>105059</v>
      </c>
      <c r="BQ308" s="676">
        <v>906210</v>
      </c>
      <c r="BR308" s="676"/>
      <c r="BS308" s="676"/>
      <c r="BT308" s="676"/>
      <c r="BU308" s="676"/>
      <c r="BV308" s="676"/>
      <c r="BW308" s="676"/>
      <c r="BX308" s="676"/>
      <c r="BY308" s="676">
        <v>123896</v>
      </c>
      <c r="BZ308" s="676"/>
      <c r="CA308" s="676"/>
      <c r="CB308" s="676"/>
      <c r="CC308" s="676"/>
      <c r="CD308" s="676"/>
      <c r="CE308" s="676"/>
      <c r="CF308" s="676"/>
      <c r="CG308" s="676"/>
    </row>
    <row r="309" spans="1:85" x14ac:dyDescent="0.25">
      <c r="A309" s="320" t="s">
        <v>1084</v>
      </c>
      <c r="B309" s="320" t="s">
        <v>1085</v>
      </c>
      <c r="C309" s="320"/>
      <c r="D309" s="320" t="s">
        <v>1086</v>
      </c>
      <c r="E309" s="320">
        <v>2016</v>
      </c>
      <c r="F309" s="404"/>
      <c r="G309" s="676">
        <v>1161476</v>
      </c>
      <c r="H309" s="676"/>
      <c r="I309" s="676"/>
      <c r="J309" s="676"/>
      <c r="K309" s="676"/>
      <c r="L309" s="676"/>
      <c r="M309" s="676"/>
      <c r="N309" s="676"/>
      <c r="O309" s="676"/>
      <c r="P309" s="676"/>
      <c r="Q309" s="676"/>
      <c r="R309" s="676">
        <v>213</v>
      </c>
      <c r="S309" s="676"/>
      <c r="T309" s="676"/>
      <c r="U309" s="676"/>
      <c r="V309" s="676"/>
      <c r="W309" s="676"/>
      <c r="X309" s="676">
        <v>0</v>
      </c>
      <c r="Y309" s="676"/>
      <c r="Z309" s="676">
        <v>31821041.050000001</v>
      </c>
      <c r="AA309" s="676"/>
      <c r="AB309" s="676">
        <v>3088385</v>
      </c>
      <c r="AC309" s="676">
        <v>0</v>
      </c>
      <c r="AD309" s="676"/>
      <c r="AE309" s="676"/>
      <c r="AF309" s="676">
        <v>331939</v>
      </c>
      <c r="AG309" s="676"/>
      <c r="AH309" s="676"/>
      <c r="AI309" s="676"/>
      <c r="AJ309" s="676"/>
      <c r="AK309" s="676">
        <v>10374451</v>
      </c>
      <c r="AL309" s="676"/>
      <c r="AM309" s="676"/>
      <c r="AN309" s="676"/>
      <c r="AO309" s="676"/>
      <c r="AP309" s="676"/>
      <c r="AQ309" s="676">
        <v>1924340</v>
      </c>
      <c r="AR309" s="676"/>
      <c r="AS309" s="676"/>
      <c r="AT309" s="676">
        <v>0</v>
      </c>
      <c r="AU309" s="676"/>
      <c r="AV309" s="676">
        <v>1285</v>
      </c>
      <c r="AW309" s="676"/>
      <c r="AX309" s="676"/>
      <c r="AY309" s="676"/>
      <c r="AZ309" s="676">
        <v>68028</v>
      </c>
      <c r="BA309" s="676"/>
      <c r="BB309" s="676">
        <v>2259</v>
      </c>
      <c r="BC309" s="676"/>
      <c r="BD309" s="676">
        <v>284518141</v>
      </c>
      <c r="BE309" s="676">
        <v>0</v>
      </c>
      <c r="BF309" s="676">
        <v>29531000</v>
      </c>
      <c r="BG309" s="676"/>
      <c r="BH309" s="676"/>
      <c r="BI309" s="676"/>
      <c r="BJ309" s="676"/>
      <c r="BK309" s="676">
        <v>12578</v>
      </c>
      <c r="BL309" s="676">
        <v>782636</v>
      </c>
      <c r="BM309" s="676"/>
      <c r="BN309" s="676">
        <v>7120614</v>
      </c>
      <c r="BO309" s="676">
        <v>56916</v>
      </c>
      <c r="BP309" s="676"/>
      <c r="BQ309" s="676"/>
      <c r="BR309" s="676">
        <v>290728</v>
      </c>
      <c r="BS309" s="676">
        <v>3313360</v>
      </c>
      <c r="BT309" s="676">
        <v>2818420</v>
      </c>
      <c r="BU309" s="676"/>
      <c r="BV309" s="676">
        <v>1658041</v>
      </c>
      <c r="BW309" s="676">
        <v>7380</v>
      </c>
      <c r="BX309" s="676">
        <v>1015022</v>
      </c>
      <c r="BY309" s="676"/>
      <c r="BZ309" s="676"/>
      <c r="CA309" s="676"/>
      <c r="CB309" s="676">
        <v>6858135.2699999996</v>
      </c>
      <c r="CC309" s="676"/>
      <c r="CD309" s="676"/>
      <c r="CE309" s="676"/>
      <c r="CF309" s="676"/>
      <c r="CG309" s="676"/>
    </row>
    <row r="310" spans="1:85" x14ac:dyDescent="0.25">
      <c r="A310" s="320" t="s">
        <v>1087</v>
      </c>
      <c r="B310" s="320" t="s">
        <v>1397</v>
      </c>
      <c r="C310" s="320" t="s">
        <v>1398</v>
      </c>
      <c r="D310" s="320" t="s">
        <v>1088</v>
      </c>
      <c r="E310" s="320">
        <v>2016</v>
      </c>
      <c r="F310" s="404"/>
      <c r="G310" s="676"/>
      <c r="H310" s="676">
        <v>-612852</v>
      </c>
      <c r="I310" s="676"/>
      <c r="J310" s="676">
        <v>3805909</v>
      </c>
      <c r="K310" s="676"/>
      <c r="L310" s="676"/>
      <c r="M310" s="676">
        <v>7997672</v>
      </c>
      <c r="N310" s="676"/>
      <c r="O310" s="676"/>
      <c r="P310" s="676"/>
      <c r="Q310" s="676">
        <v>-929367</v>
      </c>
      <c r="R310" s="676">
        <v>-212811</v>
      </c>
      <c r="S310" s="676">
        <v>-106609</v>
      </c>
      <c r="T310" s="676"/>
      <c r="U310" s="676">
        <v>1615827000</v>
      </c>
      <c r="V310" s="676"/>
      <c r="W310" s="676"/>
      <c r="X310" s="676">
        <v>0</v>
      </c>
      <c r="Y310" s="676"/>
      <c r="Z310" s="676">
        <v>103227272.63</v>
      </c>
      <c r="AA310" s="676"/>
      <c r="AB310" s="676"/>
      <c r="AC310" s="676">
        <v>0</v>
      </c>
      <c r="AD310" s="676"/>
      <c r="AE310" s="676"/>
      <c r="AF310" s="676">
        <v>-176516</v>
      </c>
      <c r="AG310" s="676"/>
      <c r="AH310" s="676"/>
      <c r="AI310" s="676"/>
      <c r="AJ310" s="676"/>
      <c r="AK310" s="676"/>
      <c r="AL310" s="676">
        <v>-11428</v>
      </c>
      <c r="AM310" s="676"/>
      <c r="AN310" s="676"/>
      <c r="AO310" s="676"/>
      <c r="AP310" s="676"/>
      <c r="AQ310" s="676"/>
      <c r="AR310" s="676"/>
      <c r="AS310" s="676"/>
      <c r="AT310" s="676">
        <v>-2500</v>
      </c>
      <c r="AU310" s="676"/>
      <c r="AV310" s="676"/>
      <c r="AW310" s="676">
        <v>-64598</v>
      </c>
      <c r="AX310" s="676">
        <v>7378394</v>
      </c>
      <c r="AY310" s="676">
        <v>-450051</v>
      </c>
      <c r="AZ310" s="676">
        <v>0</v>
      </c>
      <c r="BA310" s="676">
        <v>5567458</v>
      </c>
      <c r="BB310" s="676"/>
      <c r="BC310" s="676"/>
      <c r="BD310" s="676">
        <v>-334170</v>
      </c>
      <c r="BE310" s="676">
        <v>-1062205.4099999999</v>
      </c>
      <c r="BF310" s="676">
        <v>-1236000</v>
      </c>
      <c r="BG310" s="676">
        <v>2897224000</v>
      </c>
      <c r="BH310" s="676">
        <v>257000</v>
      </c>
      <c r="BI310" s="676"/>
      <c r="BJ310" s="676">
        <v>154500</v>
      </c>
      <c r="BK310" s="676"/>
      <c r="BL310" s="676"/>
      <c r="BM310" s="676">
        <v>960000</v>
      </c>
      <c r="BN310" s="676">
        <v>0</v>
      </c>
      <c r="BO310" s="676"/>
      <c r="BP310" s="676">
        <v>128743</v>
      </c>
      <c r="BQ310" s="676"/>
      <c r="BR310" s="676"/>
      <c r="BS310" s="676"/>
      <c r="BT310" s="676">
        <v>-86566</v>
      </c>
      <c r="BU310" s="676"/>
      <c r="BV310" s="676"/>
      <c r="BW310" s="676">
        <v>26661</v>
      </c>
      <c r="BX310" s="676"/>
      <c r="BY310" s="676"/>
      <c r="BZ310" s="676"/>
      <c r="CA310" s="676"/>
      <c r="CB310" s="676"/>
      <c r="CC310" s="676"/>
      <c r="CD310" s="676"/>
      <c r="CE310" s="676"/>
      <c r="CF310" s="676"/>
      <c r="CG310" s="676">
        <v>-799000</v>
      </c>
    </row>
    <row r="311" spans="1:85" x14ac:dyDescent="0.25">
      <c r="A311" s="320" t="s">
        <v>1089</v>
      </c>
      <c r="B311" s="320" t="s">
        <v>1090</v>
      </c>
      <c r="C311" s="320"/>
      <c r="D311" s="320" t="s">
        <v>1091</v>
      </c>
      <c r="E311" s="320">
        <v>2016</v>
      </c>
      <c r="F311" s="404"/>
      <c r="G311" s="676"/>
      <c r="H311" s="676">
        <v>-612852</v>
      </c>
      <c r="I311" s="676"/>
      <c r="J311" s="676">
        <v>3805909</v>
      </c>
      <c r="K311" s="676"/>
      <c r="L311" s="676"/>
      <c r="M311" s="676">
        <v>7997672</v>
      </c>
      <c r="N311" s="676"/>
      <c r="O311" s="676"/>
      <c r="P311" s="676"/>
      <c r="Q311" s="676">
        <v>10594491</v>
      </c>
      <c r="R311" s="676">
        <v>-305800</v>
      </c>
      <c r="S311" s="676">
        <v>-106609</v>
      </c>
      <c r="T311" s="676"/>
      <c r="U311" s="676">
        <v>1615827000</v>
      </c>
      <c r="V311" s="676"/>
      <c r="W311" s="676"/>
      <c r="X311" s="676">
        <v>0</v>
      </c>
      <c r="Y311" s="676"/>
      <c r="Z311" s="676">
        <v>-11864028</v>
      </c>
      <c r="AA311" s="676"/>
      <c r="AB311" s="676"/>
      <c r="AC311" s="676">
        <v>0</v>
      </c>
      <c r="AD311" s="676"/>
      <c r="AE311" s="676"/>
      <c r="AF311" s="676">
        <v>-176516</v>
      </c>
      <c r="AG311" s="676"/>
      <c r="AH311" s="676"/>
      <c r="AI311" s="676"/>
      <c r="AJ311" s="676"/>
      <c r="AK311" s="676"/>
      <c r="AL311" s="676">
        <v>-11428</v>
      </c>
      <c r="AM311" s="676"/>
      <c r="AN311" s="676"/>
      <c r="AO311" s="676"/>
      <c r="AP311" s="676"/>
      <c r="AQ311" s="676"/>
      <c r="AR311" s="676"/>
      <c r="AS311" s="676"/>
      <c r="AT311" s="676">
        <v>-2500</v>
      </c>
      <c r="AU311" s="676"/>
      <c r="AV311" s="676"/>
      <c r="AW311" s="676">
        <v>-126913</v>
      </c>
      <c r="AX311" s="676">
        <v>7378394</v>
      </c>
      <c r="AY311" s="676">
        <v>-450051</v>
      </c>
      <c r="AZ311" s="676">
        <v>0</v>
      </c>
      <c r="BA311" s="676"/>
      <c r="BB311" s="676"/>
      <c r="BC311" s="676"/>
      <c r="BD311" s="676">
        <v>-443190</v>
      </c>
      <c r="BE311" s="676">
        <v>-1062205.4099999999</v>
      </c>
      <c r="BF311" s="676">
        <v>-1236000</v>
      </c>
      <c r="BG311" s="676"/>
      <c r="BH311" s="676"/>
      <c r="BI311" s="676"/>
      <c r="BJ311" s="676">
        <v>154500</v>
      </c>
      <c r="BK311" s="676"/>
      <c r="BL311" s="676"/>
      <c r="BM311" s="676"/>
      <c r="BN311" s="676">
        <v>0</v>
      </c>
      <c r="BO311" s="676"/>
      <c r="BP311" s="676"/>
      <c r="BQ311" s="676"/>
      <c r="BR311" s="676"/>
      <c r="BS311" s="676"/>
      <c r="BT311" s="676"/>
      <c r="BU311" s="676"/>
      <c r="BV311" s="676"/>
      <c r="BW311" s="676">
        <v>976007</v>
      </c>
      <c r="BX311" s="676"/>
      <c r="BY311" s="676"/>
      <c r="BZ311" s="676"/>
      <c r="CA311" s="676"/>
      <c r="CB311" s="676"/>
      <c r="CC311" s="676"/>
      <c r="CD311" s="676"/>
      <c r="CE311" s="676"/>
      <c r="CF311" s="676"/>
      <c r="CG311" s="676"/>
    </row>
    <row r="312" spans="1:85" x14ac:dyDescent="0.25">
      <c r="A312" s="320" t="s">
        <v>1092</v>
      </c>
      <c r="B312" s="320" t="s">
        <v>1093</v>
      </c>
      <c r="C312" s="320"/>
      <c r="D312" s="320" t="s">
        <v>1094</v>
      </c>
      <c r="E312" s="320">
        <v>2016</v>
      </c>
      <c r="F312" s="404"/>
      <c r="G312" s="676"/>
      <c r="H312" s="676"/>
      <c r="I312" s="676"/>
      <c r="J312" s="676"/>
      <c r="K312" s="676"/>
      <c r="L312" s="676"/>
      <c r="M312" s="676"/>
      <c r="N312" s="676"/>
      <c r="O312" s="676"/>
      <c r="P312" s="676"/>
      <c r="Q312" s="676">
        <v>-11523858</v>
      </c>
      <c r="R312" s="676">
        <v>92989</v>
      </c>
      <c r="S312" s="676"/>
      <c r="T312" s="676"/>
      <c r="U312" s="676"/>
      <c r="V312" s="676"/>
      <c r="W312" s="676"/>
      <c r="X312" s="676">
        <v>0</v>
      </c>
      <c r="Y312" s="676"/>
      <c r="Z312" s="676">
        <v>115091300.63</v>
      </c>
      <c r="AA312" s="676"/>
      <c r="AB312" s="676"/>
      <c r="AC312" s="676">
        <v>0</v>
      </c>
      <c r="AD312" s="676"/>
      <c r="AE312" s="676"/>
      <c r="AF312" s="676"/>
      <c r="AG312" s="676"/>
      <c r="AH312" s="676"/>
      <c r="AI312" s="676"/>
      <c r="AJ312" s="676"/>
      <c r="AK312" s="676"/>
      <c r="AL312" s="676"/>
      <c r="AM312" s="676"/>
      <c r="AN312" s="676"/>
      <c r="AO312" s="676"/>
      <c r="AP312" s="676"/>
      <c r="AQ312" s="676"/>
      <c r="AR312" s="676"/>
      <c r="AS312" s="676"/>
      <c r="AT312" s="676">
        <v>0</v>
      </c>
      <c r="AU312" s="676"/>
      <c r="AV312" s="676"/>
      <c r="AW312" s="676">
        <v>62315</v>
      </c>
      <c r="AX312" s="676"/>
      <c r="AY312" s="676"/>
      <c r="AZ312" s="676">
        <v>0</v>
      </c>
      <c r="BA312" s="676">
        <v>5567458</v>
      </c>
      <c r="BB312" s="676"/>
      <c r="BC312" s="676"/>
      <c r="BD312" s="676">
        <v>109020</v>
      </c>
      <c r="BE312" s="676">
        <v>0</v>
      </c>
      <c r="BF312" s="676"/>
      <c r="BG312" s="676"/>
      <c r="BH312" s="676"/>
      <c r="BI312" s="676"/>
      <c r="BJ312" s="676"/>
      <c r="BK312" s="676"/>
      <c r="BL312" s="676"/>
      <c r="BM312" s="676">
        <v>960000</v>
      </c>
      <c r="BN312" s="676">
        <v>0</v>
      </c>
      <c r="BO312" s="676"/>
      <c r="BP312" s="676"/>
      <c r="BQ312" s="676"/>
      <c r="BR312" s="676"/>
      <c r="BS312" s="676"/>
      <c r="BT312" s="676">
        <v>-86566</v>
      </c>
      <c r="BU312" s="676"/>
      <c r="BV312" s="676"/>
      <c r="BW312" s="676">
        <v>-949346</v>
      </c>
      <c r="BX312" s="676"/>
      <c r="BY312" s="676"/>
      <c r="BZ312" s="676"/>
      <c r="CA312" s="676"/>
      <c r="CB312" s="676"/>
      <c r="CC312" s="676"/>
      <c r="CD312" s="676"/>
      <c r="CE312" s="676"/>
      <c r="CF312" s="676"/>
      <c r="CG312" s="676">
        <v>-799000</v>
      </c>
    </row>
    <row r="313" spans="1:85" x14ac:dyDescent="0.25">
      <c r="A313" s="320" t="s">
        <v>1095</v>
      </c>
      <c r="B313" s="320" t="s">
        <v>1096</v>
      </c>
      <c r="C313" s="320"/>
      <c r="D313" s="320" t="s">
        <v>1097</v>
      </c>
      <c r="E313" s="320">
        <v>2016</v>
      </c>
      <c r="F313" s="404"/>
      <c r="G313" s="676"/>
      <c r="H313" s="676"/>
      <c r="I313" s="676"/>
      <c r="J313" s="676"/>
      <c r="K313" s="676"/>
      <c r="L313" s="676"/>
      <c r="M313" s="676"/>
      <c r="N313" s="676"/>
      <c r="O313" s="676"/>
      <c r="P313" s="676"/>
      <c r="Q313" s="676"/>
      <c r="R313" s="676"/>
      <c r="S313" s="676"/>
      <c r="T313" s="676"/>
      <c r="U313" s="676"/>
      <c r="V313" s="676"/>
      <c r="W313" s="676"/>
      <c r="X313" s="676">
        <v>0</v>
      </c>
      <c r="Y313" s="676"/>
      <c r="Z313" s="676">
        <v>0</v>
      </c>
      <c r="AA313" s="676"/>
      <c r="AB313" s="676"/>
      <c r="AC313" s="676">
        <v>0</v>
      </c>
      <c r="AD313" s="676"/>
      <c r="AE313" s="676"/>
      <c r="AF313" s="676"/>
      <c r="AG313" s="676"/>
      <c r="AH313" s="676"/>
      <c r="AI313" s="676"/>
      <c r="AJ313" s="676"/>
      <c r="AK313" s="676"/>
      <c r="AL313" s="676"/>
      <c r="AM313" s="676"/>
      <c r="AN313" s="676"/>
      <c r="AO313" s="676"/>
      <c r="AP313" s="676"/>
      <c r="AQ313" s="676"/>
      <c r="AR313" s="676"/>
      <c r="AS313" s="676"/>
      <c r="AT313" s="676">
        <v>0</v>
      </c>
      <c r="AU313" s="676"/>
      <c r="AV313" s="676"/>
      <c r="AW313" s="676"/>
      <c r="AX313" s="676"/>
      <c r="AY313" s="676"/>
      <c r="AZ313" s="676">
        <v>0</v>
      </c>
      <c r="BA313" s="676"/>
      <c r="BB313" s="676"/>
      <c r="BC313" s="676"/>
      <c r="BD313" s="676"/>
      <c r="BE313" s="676">
        <v>0</v>
      </c>
      <c r="BF313" s="676"/>
      <c r="BG313" s="676"/>
      <c r="BH313" s="676"/>
      <c r="BI313" s="676"/>
      <c r="BJ313" s="676"/>
      <c r="BK313" s="676"/>
      <c r="BL313" s="676"/>
      <c r="BM313" s="676"/>
      <c r="BN313" s="676">
        <v>0</v>
      </c>
      <c r="BO313" s="676"/>
      <c r="BP313" s="676">
        <v>128743</v>
      </c>
      <c r="BQ313" s="676"/>
      <c r="BR313" s="676"/>
      <c r="BS313" s="676"/>
      <c r="BT313" s="676"/>
      <c r="BU313" s="676"/>
      <c r="BV313" s="676"/>
      <c r="BW313" s="676"/>
      <c r="BX313" s="676"/>
      <c r="BY313" s="676"/>
      <c r="BZ313" s="676"/>
      <c r="CA313" s="676"/>
      <c r="CB313" s="676"/>
      <c r="CC313" s="676"/>
      <c r="CD313" s="676"/>
      <c r="CE313" s="676"/>
      <c r="CF313" s="676"/>
      <c r="CG313" s="676"/>
    </row>
    <row r="314" spans="1:85" x14ac:dyDescent="0.25">
      <c r="A314" s="320" t="s">
        <v>1098</v>
      </c>
      <c r="B314" s="320" t="s">
        <v>1399</v>
      </c>
      <c r="C314" s="320" t="s">
        <v>1400</v>
      </c>
      <c r="D314" s="320" t="s">
        <v>1099</v>
      </c>
      <c r="E314" s="320">
        <v>2016</v>
      </c>
      <c r="F314" s="404"/>
      <c r="G314" s="676">
        <v>-589908</v>
      </c>
      <c r="H314" s="676">
        <v>2350831</v>
      </c>
      <c r="I314" s="676">
        <v>-1255193</v>
      </c>
      <c r="J314" s="676">
        <v>8856921</v>
      </c>
      <c r="K314" s="676"/>
      <c r="L314" s="676">
        <v>-29487001</v>
      </c>
      <c r="M314" s="676">
        <v>21956901</v>
      </c>
      <c r="N314" s="676">
        <v>-3918944</v>
      </c>
      <c r="O314" s="676">
        <v>1438422</v>
      </c>
      <c r="P314" s="676">
        <v>3909806</v>
      </c>
      <c r="Q314" s="676"/>
      <c r="R314" s="676">
        <v>180621</v>
      </c>
      <c r="S314" s="676">
        <v>2216579</v>
      </c>
      <c r="T314" s="676">
        <v>2026735</v>
      </c>
      <c r="U314" s="676">
        <v>651285000</v>
      </c>
      <c r="V314" s="676">
        <v>2991091</v>
      </c>
      <c r="W314" s="676">
        <v>84559</v>
      </c>
      <c r="X314" s="676">
        <v>-4135.08</v>
      </c>
      <c r="Y314" s="676">
        <v>-4</v>
      </c>
      <c r="Z314" s="676">
        <v>35254031.119999997</v>
      </c>
      <c r="AA314" s="676">
        <v>-1775910</v>
      </c>
      <c r="AB314" s="676">
        <v>2656219</v>
      </c>
      <c r="AC314" s="676">
        <v>-3584992.72</v>
      </c>
      <c r="AD314" s="676">
        <v>-23131854</v>
      </c>
      <c r="AE314" s="676"/>
      <c r="AF314" s="676">
        <v>-51196314</v>
      </c>
      <c r="AG314" s="676">
        <v>-5666637</v>
      </c>
      <c r="AH314" s="676">
        <v>289603</v>
      </c>
      <c r="AI314" s="676">
        <v>250321</v>
      </c>
      <c r="AJ314" s="676">
        <v>-2053387</v>
      </c>
      <c r="AK314" s="676">
        <v>0</v>
      </c>
      <c r="AL314" s="676">
        <v>77222</v>
      </c>
      <c r="AM314" s="676"/>
      <c r="AN314" s="676">
        <v>40341000</v>
      </c>
      <c r="AO314" s="676">
        <v>-5159014</v>
      </c>
      <c r="AP314" s="676"/>
      <c r="AQ314" s="676">
        <v>2737316</v>
      </c>
      <c r="AR314" s="676">
        <v>-1862981</v>
      </c>
      <c r="AS314" s="676"/>
      <c r="AT314" s="676">
        <v>0</v>
      </c>
      <c r="AU314" s="676">
        <v>-1569399</v>
      </c>
      <c r="AV314" s="676"/>
      <c r="AW314" s="676">
        <v>-1495199</v>
      </c>
      <c r="AX314" s="676">
        <v>14032748</v>
      </c>
      <c r="AY314" s="676"/>
      <c r="AZ314" s="676">
        <v>0</v>
      </c>
      <c r="BA314" s="676">
        <v>3787721</v>
      </c>
      <c r="BB314" s="676">
        <v>12230953</v>
      </c>
      <c r="BC314" s="676">
        <v>244041</v>
      </c>
      <c r="BD314" s="676">
        <v>210882238</v>
      </c>
      <c r="BE314" s="676">
        <v>277759.81</v>
      </c>
      <c r="BF314" s="676">
        <v>-14932000</v>
      </c>
      <c r="BG314" s="676">
        <v>-558467000</v>
      </c>
      <c r="BH314" s="676">
        <v>655710000</v>
      </c>
      <c r="BI314" s="676">
        <v>-105137148</v>
      </c>
      <c r="BJ314" s="676">
        <v>50425</v>
      </c>
      <c r="BK314" s="676"/>
      <c r="BL314" s="676">
        <v>77924</v>
      </c>
      <c r="BM314" s="676">
        <v>711305000</v>
      </c>
      <c r="BN314" s="676">
        <v>0</v>
      </c>
      <c r="BO314" s="676">
        <v>3299630</v>
      </c>
      <c r="BP314" s="676"/>
      <c r="BQ314" s="676">
        <v>-6374128</v>
      </c>
      <c r="BR314" s="676">
        <v>7865</v>
      </c>
      <c r="BS314" s="676">
        <v>1983714</v>
      </c>
      <c r="BT314" s="676">
        <v>19174442</v>
      </c>
      <c r="BU314" s="676">
        <v>-5813564</v>
      </c>
      <c r="BV314" s="676"/>
      <c r="BW314" s="676">
        <v>-22665497</v>
      </c>
      <c r="BX314" s="676">
        <v>262813</v>
      </c>
      <c r="BY314" s="676">
        <v>-1440140</v>
      </c>
      <c r="BZ314" s="676">
        <v>470189000</v>
      </c>
      <c r="CA314" s="676">
        <v>9161437.3100000005</v>
      </c>
      <c r="CB314" s="676"/>
      <c r="CC314" s="676">
        <v>98315000</v>
      </c>
      <c r="CD314" s="676"/>
      <c r="CE314" s="676">
        <v>367940000</v>
      </c>
      <c r="CF314" s="676">
        <v>-288570000</v>
      </c>
      <c r="CG314" s="676">
        <v>-53499000</v>
      </c>
    </row>
    <row r="315" spans="1:85" x14ac:dyDescent="0.25">
      <c r="A315" s="320" t="s">
        <v>1100</v>
      </c>
      <c r="B315" s="320" t="s">
        <v>1101</v>
      </c>
      <c r="C315" s="320"/>
      <c r="D315" s="320" t="s">
        <v>1102</v>
      </c>
      <c r="E315" s="320">
        <v>2016</v>
      </c>
      <c r="F315" s="404"/>
      <c r="G315" s="676"/>
      <c r="H315" s="676">
        <v>2350831</v>
      </c>
      <c r="I315" s="676">
        <v>204921</v>
      </c>
      <c r="J315" s="676">
        <v>8856921</v>
      </c>
      <c r="K315" s="676"/>
      <c r="L315" s="676"/>
      <c r="M315" s="676">
        <v>21956901</v>
      </c>
      <c r="N315" s="676">
        <v>7007608</v>
      </c>
      <c r="O315" s="676">
        <v>1438422</v>
      </c>
      <c r="P315" s="676">
        <v>3909806</v>
      </c>
      <c r="Q315" s="676"/>
      <c r="R315" s="676">
        <v>180621</v>
      </c>
      <c r="S315" s="676">
        <v>2216579</v>
      </c>
      <c r="T315" s="676">
        <v>2026735</v>
      </c>
      <c r="U315" s="676">
        <v>651285000</v>
      </c>
      <c r="V315" s="676">
        <v>2991091</v>
      </c>
      <c r="W315" s="676">
        <v>84559</v>
      </c>
      <c r="X315" s="676">
        <v>0</v>
      </c>
      <c r="Y315" s="676">
        <v>-4</v>
      </c>
      <c r="Z315" s="676">
        <v>35254031.119999997</v>
      </c>
      <c r="AA315" s="676">
        <v>82518</v>
      </c>
      <c r="AB315" s="676">
        <v>2656219</v>
      </c>
      <c r="AC315" s="676">
        <v>0</v>
      </c>
      <c r="AD315" s="676"/>
      <c r="AE315" s="676"/>
      <c r="AF315" s="676"/>
      <c r="AG315" s="676"/>
      <c r="AH315" s="676">
        <v>289603</v>
      </c>
      <c r="AI315" s="676">
        <v>250321</v>
      </c>
      <c r="AJ315" s="676"/>
      <c r="AK315" s="676">
        <v>0</v>
      </c>
      <c r="AL315" s="676">
        <v>77222</v>
      </c>
      <c r="AM315" s="676"/>
      <c r="AN315" s="676">
        <v>40341000</v>
      </c>
      <c r="AO315" s="676"/>
      <c r="AP315" s="676"/>
      <c r="AQ315" s="676">
        <v>2737316</v>
      </c>
      <c r="AR315" s="676">
        <v>165381</v>
      </c>
      <c r="AS315" s="676"/>
      <c r="AT315" s="676">
        <v>0</v>
      </c>
      <c r="AU315" s="676"/>
      <c r="AV315" s="676"/>
      <c r="AW315" s="676">
        <v>50000</v>
      </c>
      <c r="AX315" s="676">
        <v>14032748</v>
      </c>
      <c r="AY315" s="676"/>
      <c r="AZ315" s="676">
        <v>0</v>
      </c>
      <c r="BA315" s="676">
        <v>3787721</v>
      </c>
      <c r="BB315" s="676">
        <v>12230953</v>
      </c>
      <c r="BC315" s="676">
        <v>244041</v>
      </c>
      <c r="BD315" s="676">
        <v>210882238</v>
      </c>
      <c r="BE315" s="676">
        <v>277759.81</v>
      </c>
      <c r="BF315" s="676"/>
      <c r="BG315" s="676"/>
      <c r="BH315" s="676">
        <v>655710000</v>
      </c>
      <c r="BI315" s="676">
        <v>42895428</v>
      </c>
      <c r="BJ315" s="676">
        <v>50425</v>
      </c>
      <c r="BK315" s="676"/>
      <c r="BL315" s="676">
        <v>77924</v>
      </c>
      <c r="BM315" s="676">
        <v>711305000</v>
      </c>
      <c r="BN315" s="676">
        <v>0</v>
      </c>
      <c r="BO315" s="676">
        <v>3299630</v>
      </c>
      <c r="BP315" s="676"/>
      <c r="BQ315" s="676">
        <v>3</v>
      </c>
      <c r="BR315" s="676">
        <v>7865</v>
      </c>
      <c r="BS315" s="676">
        <v>1983714</v>
      </c>
      <c r="BT315" s="676">
        <v>19174442</v>
      </c>
      <c r="BU315" s="676"/>
      <c r="BV315" s="676"/>
      <c r="BW315" s="676"/>
      <c r="BX315" s="676">
        <v>262813</v>
      </c>
      <c r="BY315" s="676">
        <v>1004476</v>
      </c>
      <c r="BZ315" s="676">
        <v>470189000</v>
      </c>
      <c r="CA315" s="676">
        <v>9161437.3100000005</v>
      </c>
      <c r="CB315" s="676"/>
      <c r="CC315" s="676">
        <v>98315000</v>
      </c>
      <c r="CD315" s="676"/>
      <c r="CE315" s="676">
        <v>367940000</v>
      </c>
      <c r="CF315" s="676"/>
      <c r="CG315" s="676"/>
    </row>
    <row r="316" spans="1:85" x14ac:dyDescent="0.25">
      <c r="A316" s="320" t="s">
        <v>1103</v>
      </c>
      <c r="B316" s="320" t="s">
        <v>1104</v>
      </c>
      <c r="C316" s="320"/>
      <c r="D316" s="320" t="s">
        <v>1105</v>
      </c>
      <c r="E316" s="320">
        <v>2016</v>
      </c>
      <c r="F316" s="404"/>
      <c r="G316" s="676">
        <v>-589908</v>
      </c>
      <c r="H316" s="676"/>
      <c r="I316" s="676">
        <v>-1460114</v>
      </c>
      <c r="J316" s="676"/>
      <c r="K316" s="676"/>
      <c r="L316" s="676">
        <v>-29487001</v>
      </c>
      <c r="M316" s="676"/>
      <c r="N316" s="676">
        <v>-10926552</v>
      </c>
      <c r="O316" s="676"/>
      <c r="P316" s="676"/>
      <c r="Q316" s="676"/>
      <c r="R316" s="676">
        <v>0</v>
      </c>
      <c r="S316" s="676"/>
      <c r="T316" s="676"/>
      <c r="U316" s="676"/>
      <c r="V316" s="676"/>
      <c r="W316" s="676"/>
      <c r="X316" s="676">
        <v>-4135.08</v>
      </c>
      <c r="Y316" s="676"/>
      <c r="Z316" s="676">
        <v>0</v>
      </c>
      <c r="AA316" s="676">
        <v>-1858428</v>
      </c>
      <c r="AB316" s="676"/>
      <c r="AC316" s="676">
        <v>-3584992.72</v>
      </c>
      <c r="AD316" s="676">
        <v>-23131854</v>
      </c>
      <c r="AE316" s="676"/>
      <c r="AF316" s="676">
        <v>-51196314</v>
      </c>
      <c r="AG316" s="676">
        <v>-5666637</v>
      </c>
      <c r="AH316" s="676"/>
      <c r="AI316" s="676"/>
      <c r="AJ316" s="676">
        <v>-2053387</v>
      </c>
      <c r="AK316" s="676"/>
      <c r="AL316" s="676"/>
      <c r="AM316" s="676"/>
      <c r="AN316" s="676"/>
      <c r="AO316" s="676">
        <v>-5159014</v>
      </c>
      <c r="AP316" s="676"/>
      <c r="AQ316" s="676"/>
      <c r="AR316" s="676">
        <v>-2028362</v>
      </c>
      <c r="AS316" s="676"/>
      <c r="AT316" s="676">
        <v>0</v>
      </c>
      <c r="AU316" s="676">
        <v>-1569399</v>
      </c>
      <c r="AV316" s="676"/>
      <c r="AW316" s="676">
        <v>-1545199</v>
      </c>
      <c r="AX316" s="676"/>
      <c r="AY316" s="676"/>
      <c r="AZ316" s="676">
        <v>0</v>
      </c>
      <c r="BA316" s="676"/>
      <c r="BB316" s="676"/>
      <c r="BC316" s="676"/>
      <c r="BD316" s="676"/>
      <c r="BE316" s="676">
        <v>0</v>
      </c>
      <c r="BF316" s="676">
        <v>-14932000</v>
      </c>
      <c r="BG316" s="676">
        <v>-558467000</v>
      </c>
      <c r="BH316" s="676"/>
      <c r="BI316" s="676">
        <v>-148032576</v>
      </c>
      <c r="BJ316" s="676"/>
      <c r="BK316" s="676"/>
      <c r="BL316" s="676"/>
      <c r="BM316" s="676"/>
      <c r="BN316" s="676">
        <v>0</v>
      </c>
      <c r="BO316" s="676"/>
      <c r="BP316" s="676"/>
      <c r="BQ316" s="676">
        <v>-6374131</v>
      </c>
      <c r="BR316" s="676"/>
      <c r="BS316" s="676"/>
      <c r="BT316" s="676"/>
      <c r="BU316" s="676">
        <v>-5813564</v>
      </c>
      <c r="BV316" s="676"/>
      <c r="BW316" s="676">
        <v>-22665497</v>
      </c>
      <c r="BX316" s="676"/>
      <c r="BY316" s="676">
        <v>-2444616</v>
      </c>
      <c r="BZ316" s="676"/>
      <c r="CA316" s="676"/>
      <c r="CB316" s="676"/>
      <c r="CC316" s="676"/>
      <c r="CD316" s="676"/>
      <c r="CE316" s="676"/>
      <c r="CF316" s="676">
        <v>-288570000</v>
      </c>
      <c r="CG316" s="676">
        <v>-53499000</v>
      </c>
    </row>
    <row r="317" spans="1:85" x14ac:dyDescent="0.25">
      <c r="A317" s="320" t="s">
        <v>1106</v>
      </c>
      <c r="B317" s="320" t="s">
        <v>1401</v>
      </c>
      <c r="C317" s="320" t="s">
        <v>1402</v>
      </c>
      <c r="D317" s="320" t="s">
        <v>1107</v>
      </c>
      <c r="E317" s="320">
        <v>2016</v>
      </c>
      <c r="F317" s="404">
        <v>3443</v>
      </c>
      <c r="G317" s="676">
        <v>99785</v>
      </c>
      <c r="H317" s="676">
        <v>427593</v>
      </c>
      <c r="I317" s="676">
        <v>1125931</v>
      </c>
      <c r="J317" s="676">
        <v>858564</v>
      </c>
      <c r="K317" s="676">
        <v>-141035</v>
      </c>
      <c r="L317" s="676">
        <v>296088</v>
      </c>
      <c r="M317" s="676">
        <v>7881310</v>
      </c>
      <c r="N317" s="676">
        <v>3625069</v>
      </c>
      <c r="O317" s="676">
        <v>1482682</v>
      </c>
      <c r="P317" s="676">
        <v>1793123</v>
      </c>
      <c r="Q317" s="676">
        <v>-1130481</v>
      </c>
      <c r="R317" s="676">
        <v>1186988</v>
      </c>
      <c r="S317" s="676">
        <v>10935602</v>
      </c>
      <c r="T317" s="676">
        <v>324126</v>
      </c>
      <c r="U317" s="676"/>
      <c r="V317" s="676">
        <v>2452227</v>
      </c>
      <c r="W317" s="676">
        <v>-121853</v>
      </c>
      <c r="X317" s="676">
        <v>-6868352.7699999996</v>
      </c>
      <c r="Y317" s="676">
        <v>4318483</v>
      </c>
      <c r="Z317" s="676">
        <v>12902620.390000001</v>
      </c>
      <c r="AA317" s="676">
        <v>88072</v>
      </c>
      <c r="AB317" s="676">
        <v>7281192</v>
      </c>
      <c r="AC317" s="676">
        <v>-252661.86</v>
      </c>
      <c r="AD317" s="676">
        <v>-626670</v>
      </c>
      <c r="AE317" s="676">
        <v>1478447</v>
      </c>
      <c r="AF317" s="676">
        <v>-6297088</v>
      </c>
      <c r="AG317" s="676">
        <v>-671525</v>
      </c>
      <c r="AH317" s="676">
        <v>-520064</v>
      </c>
      <c r="AI317" s="676">
        <v>-90276</v>
      </c>
      <c r="AJ317" s="676">
        <v>-137190</v>
      </c>
      <c r="AK317" s="676">
        <v>1182395</v>
      </c>
      <c r="AL317" s="676">
        <v>1358628</v>
      </c>
      <c r="AM317" s="676">
        <v>1357181</v>
      </c>
      <c r="AN317" s="676"/>
      <c r="AO317" s="676">
        <v>79066</v>
      </c>
      <c r="AP317" s="676">
        <v>1853148</v>
      </c>
      <c r="AQ317" s="676">
        <v>263568</v>
      </c>
      <c r="AR317" s="676">
        <v>1219580</v>
      </c>
      <c r="AS317" s="676">
        <v>309943</v>
      </c>
      <c r="AT317" s="676">
        <v>-7266197.2999999998</v>
      </c>
      <c r="AU317" s="676">
        <v>22049</v>
      </c>
      <c r="AV317" s="676">
        <v>44286</v>
      </c>
      <c r="AW317" s="676">
        <v>45008</v>
      </c>
      <c r="AX317" s="676">
        <v>11753132</v>
      </c>
      <c r="AY317" s="676">
        <v>2679389</v>
      </c>
      <c r="AZ317" s="676">
        <v>7712</v>
      </c>
      <c r="BA317" s="676">
        <v>599496</v>
      </c>
      <c r="BB317" s="676">
        <v>1403063</v>
      </c>
      <c r="BC317" s="676">
        <v>946865</v>
      </c>
      <c r="BD317" s="676"/>
      <c r="BE317" s="676">
        <v>2346338.62</v>
      </c>
      <c r="BF317" s="676">
        <v>2277000</v>
      </c>
      <c r="BG317" s="676">
        <v>116833000</v>
      </c>
      <c r="BH317" s="676"/>
      <c r="BI317" s="676">
        <v>-7990371</v>
      </c>
      <c r="BJ317" s="676">
        <v>5318650</v>
      </c>
      <c r="BK317" s="676">
        <v>-154121</v>
      </c>
      <c r="BL317" s="676">
        <v>379150</v>
      </c>
      <c r="BM317" s="676"/>
      <c r="BN317" s="676">
        <v>710780</v>
      </c>
      <c r="BO317" s="676">
        <v>234773</v>
      </c>
      <c r="BP317" s="676">
        <v>116867</v>
      </c>
      <c r="BQ317" s="676">
        <v>65412</v>
      </c>
      <c r="BR317" s="676">
        <v>190835</v>
      </c>
      <c r="BS317" s="676">
        <v>9797957</v>
      </c>
      <c r="BT317" s="676">
        <v>4607650</v>
      </c>
      <c r="BU317" s="676">
        <v>799777</v>
      </c>
      <c r="BV317" s="676">
        <v>-2062726</v>
      </c>
      <c r="BW317" s="676">
        <v>1208640</v>
      </c>
      <c r="BX317" s="676">
        <v>132793</v>
      </c>
      <c r="BY317" s="676">
        <v>141795</v>
      </c>
      <c r="BZ317" s="676"/>
      <c r="CA317" s="676">
        <v>932823.67</v>
      </c>
      <c r="CB317" s="676">
        <v>2772099.07</v>
      </c>
      <c r="CC317" s="676"/>
      <c r="CD317" s="676">
        <v>-132191</v>
      </c>
      <c r="CE317" s="676">
        <v>8173000</v>
      </c>
      <c r="CF317" s="676"/>
      <c r="CG317" s="676">
        <v>-5152000</v>
      </c>
    </row>
    <row r="318" spans="1:85" x14ac:dyDescent="0.25">
      <c r="A318" s="320" t="s">
        <v>1108</v>
      </c>
      <c r="B318" s="320" t="s">
        <v>1403</v>
      </c>
      <c r="C318" s="320" t="s">
        <v>1404</v>
      </c>
      <c r="D318" s="320" t="s">
        <v>1109</v>
      </c>
      <c r="E318" s="320">
        <v>2016</v>
      </c>
      <c r="F318" s="404">
        <v>231261</v>
      </c>
      <c r="G318" s="676">
        <v>759401</v>
      </c>
      <c r="H318" s="676">
        <v>10245286</v>
      </c>
      <c r="I318" s="676">
        <v>14491332</v>
      </c>
      <c r="J318" s="676">
        <v>12216816</v>
      </c>
      <c r="K318" s="676">
        <v>1518016</v>
      </c>
      <c r="L318" s="676">
        <v>1292038</v>
      </c>
      <c r="M318" s="676">
        <v>28405098</v>
      </c>
      <c r="N318" s="676">
        <v>28242071</v>
      </c>
      <c r="O318" s="676">
        <v>16341583</v>
      </c>
      <c r="P318" s="676">
        <v>4176935</v>
      </c>
      <c r="Q318" s="676">
        <v>80467</v>
      </c>
      <c r="R318" s="676">
        <v>9088491</v>
      </c>
      <c r="S318" s="676">
        <v>38417030</v>
      </c>
      <c r="T318" s="676">
        <v>22127373</v>
      </c>
      <c r="U318" s="676">
        <v>2380713000</v>
      </c>
      <c r="V318" s="676">
        <v>4088565</v>
      </c>
      <c r="W318" s="676">
        <v>1162168</v>
      </c>
      <c r="X318" s="676">
        <v>1805565.63</v>
      </c>
      <c r="Y318" s="676">
        <v>51046115</v>
      </c>
      <c r="Z318" s="676">
        <v>1177729106.24</v>
      </c>
      <c r="AA318" s="676">
        <v>713482</v>
      </c>
      <c r="AB318" s="676">
        <v>85795816</v>
      </c>
      <c r="AC318" s="676">
        <v>847085.83</v>
      </c>
      <c r="AD318" s="676">
        <v>4339336</v>
      </c>
      <c r="AE318" s="676">
        <v>2221081</v>
      </c>
      <c r="AF318" s="676">
        <v>66957542</v>
      </c>
      <c r="AG318" s="676">
        <v>2036565</v>
      </c>
      <c r="AH318" s="676">
        <v>350272</v>
      </c>
      <c r="AI318" s="676">
        <v>570315</v>
      </c>
      <c r="AJ318" s="676">
        <v>560921</v>
      </c>
      <c r="AK318" s="676">
        <v>24405407</v>
      </c>
      <c r="AL318" s="676">
        <v>16418050</v>
      </c>
      <c r="AM318" s="676">
        <v>9127720</v>
      </c>
      <c r="AN318" s="676">
        <v>541466000</v>
      </c>
      <c r="AO318" s="676">
        <v>12694199</v>
      </c>
      <c r="AP318" s="676">
        <v>4159096</v>
      </c>
      <c r="AQ318" s="676">
        <v>7927394</v>
      </c>
      <c r="AR318" s="676">
        <v>5839736</v>
      </c>
      <c r="AS318" s="676">
        <v>4086314</v>
      </c>
      <c r="AT318" s="676">
        <v>7686421.9800000004</v>
      </c>
      <c r="AU318" s="676">
        <v>4111422</v>
      </c>
      <c r="AV318" s="676">
        <v>552550</v>
      </c>
      <c r="AW318" s="676">
        <v>534854</v>
      </c>
      <c r="AX318" s="676">
        <v>27103057</v>
      </c>
      <c r="AY318" s="676">
        <v>19246124</v>
      </c>
      <c r="AZ318" s="676">
        <v>293311</v>
      </c>
      <c r="BA318" s="676">
        <v>17560989</v>
      </c>
      <c r="BB318" s="676">
        <v>10500581</v>
      </c>
      <c r="BC318" s="676">
        <v>23351236</v>
      </c>
      <c r="BD318" s="676">
        <v>186461493</v>
      </c>
      <c r="BE318" s="676">
        <v>29504274.489999998</v>
      </c>
      <c r="BF318" s="676">
        <v>204260000</v>
      </c>
      <c r="BG318" s="676">
        <v>5552289000</v>
      </c>
      <c r="BH318" s="676">
        <v>526456000</v>
      </c>
      <c r="BI318" s="676">
        <v>198977970</v>
      </c>
      <c r="BJ318" s="676">
        <v>22545909</v>
      </c>
      <c r="BK318" s="676">
        <v>574169</v>
      </c>
      <c r="BL318" s="676">
        <v>3009788</v>
      </c>
      <c r="BM318" s="676">
        <v>123108000</v>
      </c>
      <c r="BN318" s="676">
        <v>18532629</v>
      </c>
      <c r="BO318" s="676">
        <v>439526</v>
      </c>
      <c r="BP318" s="676">
        <v>1192841</v>
      </c>
      <c r="BQ318" s="676">
        <v>191111</v>
      </c>
      <c r="BR318" s="676">
        <v>835860</v>
      </c>
      <c r="BS318" s="676">
        <v>25562431</v>
      </c>
      <c r="BT318" s="676">
        <v>26563079</v>
      </c>
      <c r="BU318" s="676">
        <v>11837721</v>
      </c>
      <c r="BV318" s="676">
        <v>877714</v>
      </c>
      <c r="BW318" s="676">
        <v>483689203</v>
      </c>
      <c r="BX318" s="676">
        <v>9460210</v>
      </c>
      <c r="BY318" s="676">
        <v>3983048</v>
      </c>
      <c r="BZ318" s="676">
        <v>296387000</v>
      </c>
      <c r="CA318" s="676">
        <v>3571922.75</v>
      </c>
      <c r="CB318" s="676">
        <v>17440423.100000001</v>
      </c>
      <c r="CC318" s="676">
        <v>721146000</v>
      </c>
      <c r="CD318" s="676">
        <v>530169</v>
      </c>
      <c r="CE318" s="676">
        <v>323515000</v>
      </c>
      <c r="CF318" s="676">
        <v>227922000</v>
      </c>
      <c r="CG318" s="676">
        <v>840255000</v>
      </c>
    </row>
    <row r="319" spans="1:85" x14ac:dyDescent="0.25">
      <c r="A319" s="320" t="s">
        <v>945</v>
      </c>
      <c r="B319" s="320" t="s">
        <v>1405</v>
      </c>
      <c r="C319" s="320" t="s">
        <v>1406</v>
      </c>
      <c r="D319" s="320" t="s">
        <v>1110</v>
      </c>
      <c r="E319" s="320">
        <v>2016</v>
      </c>
      <c r="F319" s="404">
        <v>114224</v>
      </c>
      <c r="G319" s="676">
        <v>140372</v>
      </c>
      <c r="H319" s="676">
        <v>5911470</v>
      </c>
      <c r="I319" s="676">
        <v>9839747</v>
      </c>
      <c r="J319" s="676">
        <v>3042509</v>
      </c>
      <c r="K319" s="676">
        <v>332</v>
      </c>
      <c r="L319" s="676">
        <v>50144</v>
      </c>
      <c r="M319" s="676">
        <v>2070195</v>
      </c>
      <c r="N319" s="676">
        <v>6516</v>
      </c>
      <c r="O319" s="676">
        <v>31908</v>
      </c>
      <c r="P319" s="676">
        <v>5534</v>
      </c>
      <c r="Q319" s="676">
        <v>739</v>
      </c>
      <c r="R319" s="676">
        <v>1782879</v>
      </c>
      <c r="S319" s="676">
        <v>98724</v>
      </c>
      <c r="T319" s="676">
        <v>15265911</v>
      </c>
      <c r="U319" s="676">
        <v>2233053000</v>
      </c>
      <c r="V319" s="676">
        <v>22022</v>
      </c>
      <c r="W319" s="676">
        <v>501922</v>
      </c>
      <c r="X319" s="676">
        <v>1622677.02</v>
      </c>
      <c r="Y319" s="676"/>
      <c r="Z319" s="676">
        <v>11319996.609999999</v>
      </c>
      <c r="AA319" s="676">
        <v>22414</v>
      </c>
      <c r="AB319" s="676">
        <v>13353287</v>
      </c>
      <c r="AC319" s="676">
        <v>15810.7</v>
      </c>
      <c r="AD319" s="676">
        <v>12896</v>
      </c>
      <c r="AE319" s="676">
        <v>4835</v>
      </c>
      <c r="AF319" s="676">
        <v>12774022</v>
      </c>
      <c r="AG319" s="676">
        <v>4475</v>
      </c>
      <c r="AH319" s="676">
        <v>48659</v>
      </c>
      <c r="AI319" s="676">
        <v>262059</v>
      </c>
      <c r="AJ319" s="676">
        <v>104433</v>
      </c>
      <c r="AK319" s="676">
        <v>2570677</v>
      </c>
      <c r="AL319" s="676">
        <v>2970</v>
      </c>
      <c r="AM319" s="676">
        <v>354432</v>
      </c>
      <c r="AN319" s="676">
        <v>180812000</v>
      </c>
      <c r="AO319" s="676">
        <v>1175786</v>
      </c>
      <c r="AP319" s="676">
        <v>4918</v>
      </c>
      <c r="AQ319" s="676">
        <v>1040315</v>
      </c>
      <c r="AR319" s="676">
        <v>569229</v>
      </c>
      <c r="AS319" s="676">
        <v>301</v>
      </c>
      <c r="AT319" s="676">
        <v>1291226.48</v>
      </c>
      <c r="AU319" s="676">
        <v>85184</v>
      </c>
      <c r="AV319" s="676">
        <v>27356</v>
      </c>
      <c r="AW319" s="676">
        <v>56628</v>
      </c>
      <c r="AX319" s="676">
        <v>11723369</v>
      </c>
      <c r="AY319" s="676">
        <v>864525</v>
      </c>
      <c r="AZ319" s="676">
        <v>24457</v>
      </c>
      <c r="BA319" s="676">
        <v>709164</v>
      </c>
      <c r="BB319" s="676">
        <v>1817650</v>
      </c>
      <c r="BC319" s="676">
        <v>12732265</v>
      </c>
      <c r="BD319" s="676">
        <v>57403932</v>
      </c>
      <c r="BE319" s="676">
        <v>366913.71</v>
      </c>
      <c r="BF319" s="676">
        <v>14723000</v>
      </c>
      <c r="BG319" s="676">
        <v>364363000</v>
      </c>
      <c r="BH319" s="676">
        <v>8726000</v>
      </c>
      <c r="BI319" s="676">
        <v>122514416</v>
      </c>
      <c r="BJ319" s="676">
        <v>8482089</v>
      </c>
      <c r="BK319" s="676">
        <v>322915</v>
      </c>
      <c r="BL319" s="676">
        <v>2195419</v>
      </c>
      <c r="BM319" s="676">
        <v>55000</v>
      </c>
      <c r="BN319" s="676">
        <v>573675</v>
      </c>
      <c r="BO319" s="676">
        <v>23668</v>
      </c>
      <c r="BP319" s="676">
        <v>6066</v>
      </c>
      <c r="BQ319" s="676">
        <v>25249</v>
      </c>
      <c r="BR319" s="676">
        <v>280824</v>
      </c>
      <c r="BS319" s="676">
        <v>6082474</v>
      </c>
      <c r="BT319" s="676">
        <v>18043141</v>
      </c>
      <c r="BU319" s="676">
        <v>422</v>
      </c>
      <c r="BV319" s="676">
        <v>10149</v>
      </c>
      <c r="BW319" s="676">
        <v>214514903</v>
      </c>
      <c r="BX319" s="676">
        <v>1171165</v>
      </c>
      <c r="BY319" s="676">
        <v>77990</v>
      </c>
      <c r="BZ319" s="676">
        <v>19948000</v>
      </c>
      <c r="CA319" s="676">
        <v>1465220.94</v>
      </c>
      <c r="CB319" s="676">
        <v>614325.22</v>
      </c>
      <c r="CC319" s="676">
        <v>630164000</v>
      </c>
      <c r="CD319" s="676">
        <v>2585</v>
      </c>
      <c r="CE319" s="676">
        <v>58894000</v>
      </c>
      <c r="CF319" s="676">
        <v>22121000</v>
      </c>
      <c r="CG319" s="676">
        <v>438028000</v>
      </c>
    </row>
    <row r="320" spans="1:85" x14ac:dyDescent="0.25">
      <c r="A320" s="320" t="s">
        <v>1111</v>
      </c>
      <c r="B320" s="320" t="s">
        <v>1407</v>
      </c>
      <c r="C320" s="320" t="s">
        <v>1408</v>
      </c>
      <c r="D320" s="320" t="s">
        <v>1112</v>
      </c>
      <c r="E320" s="320">
        <v>2016</v>
      </c>
      <c r="F320" s="404"/>
      <c r="G320" s="676"/>
      <c r="H320" s="676"/>
      <c r="I320" s="676"/>
      <c r="J320" s="676"/>
      <c r="K320" s="676">
        <v>0</v>
      </c>
      <c r="L320" s="676"/>
      <c r="M320" s="676"/>
      <c r="N320" s="676"/>
      <c r="O320" s="676"/>
      <c r="P320" s="676"/>
      <c r="Q320" s="676"/>
      <c r="R320" s="676"/>
      <c r="S320" s="676"/>
      <c r="T320" s="676"/>
      <c r="U320" s="676"/>
      <c r="V320" s="676"/>
      <c r="W320" s="676"/>
      <c r="X320" s="676">
        <v>0</v>
      </c>
      <c r="Y320" s="676"/>
      <c r="Z320" s="676">
        <v>0</v>
      </c>
      <c r="AA320" s="676"/>
      <c r="AB320" s="676">
        <v>12543</v>
      </c>
      <c r="AC320" s="676">
        <v>0</v>
      </c>
      <c r="AD320" s="676"/>
      <c r="AE320" s="676"/>
      <c r="AF320" s="676"/>
      <c r="AG320" s="676"/>
      <c r="AH320" s="676">
        <v>31600</v>
      </c>
      <c r="AI320" s="676">
        <v>39772</v>
      </c>
      <c r="AJ320" s="676"/>
      <c r="AK320" s="676"/>
      <c r="AL320" s="676"/>
      <c r="AM320" s="676"/>
      <c r="AN320" s="676">
        <v>25604000</v>
      </c>
      <c r="AO320" s="676">
        <v>0</v>
      </c>
      <c r="AP320" s="676"/>
      <c r="AQ320" s="676">
        <v>19814</v>
      </c>
      <c r="AR320" s="676"/>
      <c r="AS320" s="676"/>
      <c r="AT320" s="676">
        <v>1180056.79</v>
      </c>
      <c r="AU320" s="676"/>
      <c r="AV320" s="676"/>
      <c r="AW320" s="676"/>
      <c r="AX320" s="676">
        <v>114433</v>
      </c>
      <c r="AY320" s="676"/>
      <c r="AZ320" s="676">
        <v>0</v>
      </c>
      <c r="BA320" s="676"/>
      <c r="BB320" s="676"/>
      <c r="BC320" s="676"/>
      <c r="BD320" s="676"/>
      <c r="BE320" s="676">
        <v>0</v>
      </c>
      <c r="BF320" s="676"/>
      <c r="BG320" s="676"/>
      <c r="BH320" s="676"/>
      <c r="BI320" s="676"/>
      <c r="BJ320" s="676"/>
      <c r="BK320" s="676"/>
      <c r="BL320" s="676">
        <v>17000</v>
      </c>
      <c r="BM320" s="676"/>
      <c r="BN320" s="676">
        <v>0</v>
      </c>
      <c r="BO320" s="676"/>
      <c r="BP320" s="676"/>
      <c r="BQ320" s="676"/>
      <c r="BR320" s="676"/>
      <c r="BS320" s="676"/>
      <c r="BT320" s="676"/>
      <c r="BU320" s="676"/>
      <c r="BV320" s="676"/>
      <c r="BW320" s="676">
        <v>104020179</v>
      </c>
      <c r="BX320" s="676"/>
      <c r="BY320" s="676">
        <v>29151</v>
      </c>
      <c r="BZ320" s="676"/>
      <c r="CA320" s="676">
        <v>32724</v>
      </c>
      <c r="CB320" s="676"/>
      <c r="CC320" s="676"/>
      <c r="CD320" s="676"/>
      <c r="CE320" s="676"/>
      <c r="CF320" s="676">
        <v>16546000</v>
      </c>
      <c r="CG320" s="676"/>
    </row>
    <row r="321" spans="1:85" x14ac:dyDescent="0.25">
      <c r="A321" s="320" t="s">
        <v>1113</v>
      </c>
      <c r="B321" s="320" t="s">
        <v>1114</v>
      </c>
      <c r="C321" s="320"/>
      <c r="D321" s="320" t="s">
        <v>1115</v>
      </c>
      <c r="E321" s="320">
        <v>2016</v>
      </c>
      <c r="F321" s="404"/>
      <c r="G321" s="676"/>
      <c r="H321" s="676"/>
      <c r="I321" s="676"/>
      <c r="J321" s="676"/>
      <c r="K321" s="676"/>
      <c r="L321" s="676"/>
      <c r="M321" s="676"/>
      <c r="N321" s="676"/>
      <c r="O321" s="676"/>
      <c r="P321" s="676"/>
      <c r="Q321" s="676"/>
      <c r="R321" s="676"/>
      <c r="S321" s="676"/>
      <c r="T321" s="676"/>
      <c r="U321" s="676"/>
      <c r="V321" s="676"/>
      <c r="W321" s="676"/>
      <c r="X321" s="676">
        <v>0</v>
      </c>
      <c r="Y321" s="676"/>
      <c r="Z321" s="676">
        <v>0</v>
      </c>
      <c r="AA321" s="676"/>
      <c r="AB321" s="676"/>
      <c r="AC321" s="676">
        <v>0</v>
      </c>
      <c r="AD321" s="676"/>
      <c r="AE321" s="676"/>
      <c r="AF321" s="676"/>
      <c r="AG321" s="676"/>
      <c r="AH321" s="676"/>
      <c r="AI321" s="676"/>
      <c r="AJ321" s="676"/>
      <c r="AK321" s="676"/>
      <c r="AL321" s="676"/>
      <c r="AM321" s="676"/>
      <c r="AN321" s="676"/>
      <c r="AO321" s="676"/>
      <c r="AP321" s="676"/>
      <c r="AQ321" s="676"/>
      <c r="AR321" s="676"/>
      <c r="AS321" s="676"/>
      <c r="AT321" s="676">
        <v>0</v>
      </c>
      <c r="AU321" s="676"/>
      <c r="AV321" s="676"/>
      <c r="AW321" s="676"/>
      <c r="AX321" s="676"/>
      <c r="AY321" s="676"/>
      <c r="AZ321" s="676">
        <v>0</v>
      </c>
      <c r="BA321" s="676"/>
      <c r="BB321" s="676"/>
      <c r="BC321" s="676"/>
      <c r="BD321" s="676"/>
      <c r="BE321" s="676">
        <v>0</v>
      </c>
      <c r="BF321" s="676"/>
      <c r="BG321" s="676"/>
      <c r="BH321" s="676"/>
      <c r="BI321" s="676"/>
      <c r="BJ321" s="676"/>
      <c r="BK321" s="676"/>
      <c r="BL321" s="676"/>
      <c r="BM321" s="676"/>
      <c r="BN321" s="676">
        <v>0</v>
      </c>
      <c r="BO321" s="676"/>
      <c r="BP321" s="676"/>
      <c r="BQ321" s="676"/>
      <c r="BR321" s="676"/>
      <c r="BS321" s="676"/>
      <c r="BT321" s="676"/>
      <c r="BU321" s="676"/>
      <c r="BV321" s="676"/>
      <c r="BW321" s="676"/>
      <c r="BX321" s="676"/>
      <c r="BY321" s="676"/>
      <c r="BZ321" s="676"/>
      <c r="CA321" s="676"/>
      <c r="CB321" s="676"/>
      <c r="CC321" s="676"/>
      <c r="CD321" s="676"/>
      <c r="CE321" s="676"/>
      <c r="CF321" s="676"/>
      <c r="CG321" s="676"/>
    </row>
    <row r="322" spans="1:85" x14ac:dyDescent="0.25">
      <c r="A322" s="320" t="s">
        <v>1116</v>
      </c>
      <c r="B322" s="320" t="s">
        <v>1117</v>
      </c>
      <c r="C322" s="320"/>
      <c r="D322" s="320" t="s">
        <v>1118</v>
      </c>
      <c r="E322" s="320">
        <v>2016</v>
      </c>
      <c r="F322" s="404"/>
      <c r="G322" s="676"/>
      <c r="H322" s="676"/>
      <c r="I322" s="676"/>
      <c r="J322" s="676"/>
      <c r="K322" s="676"/>
      <c r="L322" s="676"/>
      <c r="M322" s="676"/>
      <c r="N322" s="676"/>
      <c r="O322" s="676"/>
      <c r="P322" s="676"/>
      <c r="Q322" s="676"/>
      <c r="R322" s="676"/>
      <c r="S322" s="676"/>
      <c r="T322" s="676"/>
      <c r="U322" s="676"/>
      <c r="V322" s="676"/>
      <c r="W322" s="676"/>
      <c r="X322" s="676">
        <v>0</v>
      </c>
      <c r="Y322" s="676"/>
      <c r="Z322" s="676">
        <v>0</v>
      </c>
      <c r="AA322" s="676"/>
      <c r="AB322" s="676"/>
      <c r="AC322" s="676">
        <v>0</v>
      </c>
      <c r="AD322" s="676"/>
      <c r="AE322" s="676"/>
      <c r="AF322" s="676"/>
      <c r="AG322" s="676"/>
      <c r="AH322" s="676"/>
      <c r="AI322" s="676"/>
      <c r="AJ322" s="676"/>
      <c r="AK322" s="676"/>
      <c r="AL322" s="676"/>
      <c r="AM322" s="676"/>
      <c r="AN322" s="676"/>
      <c r="AO322" s="676"/>
      <c r="AP322" s="676"/>
      <c r="AQ322" s="676"/>
      <c r="AR322" s="676"/>
      <c r="AS322" s="676"/>
      <c r="AT322" s="676">
        <v>0</v>
      </c>
      <c r="AU322" s="676"/>
      <c r="AV322" s="676"/>
      <c r="AW322" s="676"/>
      <c r="AX322" s="676"/>
      <c r="AY322" s="676"/>
      <c r="AZ322" s="676">
        <v>0</v>
      </c>
      <c r="BA322" s="676"/>
      <c r="BB322" s="676"/>
      <c r="BC322" s="676"/>
      <c r="BD322" s="676"/>
      <c r="BE322" s="676">
        <v>0</v>
      </c>
      <c r="BF322" s="676"/>
      <c r="BG322" s="676"/>
      <c r="BH322" s="676"/>
      <c r="BI322" s="676"/>
      <c r="BJ322" s="676"/>
      <c r="BK322" s="676"/>
      <c r="BL322" s="676"/>
      <c r="BM322" s="676"/>
      <c r="BN322" s="676">
        <v>0</v>
      </c>
      <c r="BO322" s="676"/>
      <c r="BP322" s="676"/>
      <c r="BQ322" s="676"/>
      <c r="BR322" s="676"/>
      <c r="BS322" s="676"/>
      <c r="BT322" s="676"/>
      <c r="BU322" s="676"/>
      <c r="BV322" s="676"/>
      <c r="BW322" s="676"/>
      <c r="BX322" s="676"/>
      <c r="BY322" s="676"/>
      <c r="BZ322" s="676"/>
      <c r="CA322" s="676"/>
      <c r="CB322" s="676"/>
      <c r="CC322" s="676"/>
      <c r="CD322" s="676"/>
      <c r="CE322" s="676"/>
      <c r="CF322" s="676"/>
      <c r="CG322" s="676"/>
    </row>
    <row r="323" spans="1:85" x14ac:dyDescent="0.25">
      <c r="A323" s="320" t="s">
        <v>1119</v>
      </c>
      <c r="B323" s="320" t="s">
        <v>1120</v>
      </c>
      <c r="C323" s="320"/>
      <c r="D323" s="320" t="s">
        <v>1121</v>
      </c>
      <c r="E323" s="320">
        <v>2016</v>
      </c>
      <c r="F323" s="404"/>
      <c r="G323" s="676"/>
      <c r="H323" s="676"/>
      <c r="I323" s="676"/>
      <c r="J323" s="676"/>
      <c r="K323" s="676"/>
      <c r="L323" s="676"/>
      <c r="M323" s="676"/>
      <c r="N323" s="676"/>
      <c r="O323" s="676"/>
      <c r="P323" s="676"/>
      <c r="Q323" s="676"/>
      <c r="R323" s="676"/>
      <c r="S323" s="676"/>
      <c r="T323" s="676"/>
      <c r="U323" s="676"/>
      <c r="V323" s="676"/>
      <c r="W323" s="676"/>
      <c r="X323" s="676">
        <v>0</v>
      </c>
      <c r="Y323" s="676"/>
      <c r="Z323" s="676">
        <v>0</v>
      </c>
      <c r="AA323" s="676"/>
      <c r="AB323" s="676">
        <v>12543</v>
      </c>
      <c r="AC323" s="676">
        <v>0</v>
      </c>
      <c r="AD323" s="676"/>
      <c r="AE323" s="676"/>
      <c r="AF323" s="676"/>
      <c r="AG323" s="676"/>
      <c r="AH323" s="676">
        <v>31600</v>
      </c>
      <c r="AI323" s="676">
        <v>39772</v>
      </c>
      <c r="AJ323" s="676"/>
      <c r="AK323" s="676"/>
      <c r="AL323" s="676"/>
      <c r="AM323" s="676"/>
      <c r="AN323" s="676"/>
      <c r="AO323" s="676"/>
      <c r="AP323" s="676"/>
      <c r="AQ323" s="676">
        <v>19814</v>
      </c>
      <c r="AR323" s="676"/>
      <c r="AS323" s="676"/>
      <c r="AT323" s="676">
        <v>1180056.79</v>
      </c>
      <c r="AU323" s="676"/>
      <c r="AV323" s="676"/>
      <c r="AW323" s="676"/>
      <c r="AX323" s="676">
        <v>114433</v>
      </c>
      <c r="AY323" s="676"/>
      <c r="AZ323" s="676">
        <v>0</v>
      </c>
      <c r="BA323" s="676"/>
      <c r="BB323" s="676"/>
      <c r="BC323" s="676"/>
      <c r="BD323" s="676"/>
      <c r="BE323" s="676">
        <v>0</v>
      </c>
      <c r="BF323" s="676"/>
      <c r="BG323" s="676"/>
      <c r="BH323" s="676"/>
      <c r="BI323" s="676"/>
      <c r="BJ323" s="676"/>
      <c r="BK323" s="676"/>
      <c r="BL323" s="676">
        <v>17000</v>
      </c>
      <c r="BM323" s="676"/>
      <c r="BN323" s="676">
        <v>0</v>
      </c>
      <c r="BO323" s="676"/>
      <c r="BP323" s="676"/>
      <c r="BQ323" s="676"/>
      <c r="BR323" s="676"/>
      <c r="BS323" s="676"/>
      <c r="BT323" s="676"/>
      <c r="BU323" s="676"/>
      <c r="BV323" s="676"/>
      <c r="BW323" s="676">
        <v>104020179</v>
      </c>
      <c r="BX323" s="676"/>
      <c r="BY323" s="676">
        <v>29151</v>
      </c>
      <c r="BZ323" s="676"/>
      <c r="CA323" s="676">
        <v>32724</v>
      </c>
      <c r="CB323" s="676"/>
      <c r="CC323" s="676"/>
      <c r="CD323" s="676"/>
      <c r="CE323" s="676"/>
      <c r="CF323" s="676"/>
      <c r="CG323" s="676"/>
    </row>
    <row r="324" spans="1:85" x14ac:dyDescent="0.25">
      <c r="A324" s="320" t="s">
        <v>1122</v>
      </c>
      <c r="B324" s="320" t="s">
        <v>976</v>
      </c>
      <c r="C324" s="320"/>
      <c r="D324" s="320" t="s">
        <v>1123</v>
      </c>
      <c r="E324" s="320">
        <v>2016</v>
      </c>
      <c r="F324" s="404"/>
      <c r="G324" s="676"/>
      <c r="H324" s="676"/>
      <c r="I324" s="676"/>
      <c r="J324" s="676"/>
      <c r="K324" s="676"/>
      <c r="L324" s="676"/>
      <c r="M324" s="676"/>
      <c r="N324" s="676"/>
      <c r="O324" s="676"/>
      <c r="P324" s="676"/>
      <c r="Q324" s="676"/>
      <c r="R324" s="676"/>
      <c r="S324" s="676"/>
      <c r="T324" s="676"/>
      <c r="U324" s="676"/>
      <c r="V324" s="676"/>
      <c r="W324" s="676"/>
      <c r="X324" s="676">
        <v>0</v>
      </c>
      <c r="Y324" s="676"/>
      <c r="Z324" s="676">
        <v>10865113.619999999</v>
      </c>
      <c r="AA324" s="676"/>
      <c r="AB324" s="676"/>
      <c r="AC324" s="676">
        <v>0</v>
      </c>
      <c r="AD324" s="676"/>
      <c r="AE324" s="676"/>
      <c r="AF324" s="676"/>
      <c r="AG324" s="676"/>
      <c r="AH324" s="676"/>
      <c r="AI324" s="676"/>
      <c r="AJ324" s="676"/>
      <c r="AK324" s="676"/>
      <c r="AL324" s="676"/>
      <c r="AM324" s="676"/>
      <c r="AN324" s="676"/>
      <c r="AO324" s="676"/>
      <c r="AP324" s="676"/>
      <c r="AQ324" s="676"/>
      <c r="AR324" s="676"/>
      <c r="AS324" s="676"/>
      <c r="AT324" s="676">
        <v>0</v>
      </c>
      <c r="AU324" s="676"/>
      <c r="AV324" s="676"/>
      <c r="AW324" s="676"/>
      <c r="AX324" s="676"/>
      <c r="AY324" s="676"/>
      <c r="AZ324" s="676">
        <v>0</v>
      </c>
      <c r="BA324" s="676"/>
      <c r="BB324" s="676"/>
      <c r="BC324" s="676"/>
      <c r="BD324" s="676"/>
      <c r="BE324" s="676">
        <v>0</v>
      </c>
      <c r="BF324" s="676"/>
      <c r="BG324" s="676"/>
      <c r="BH324" s="676"/>
      <c r="BI324" s="676"/>
      <c r="BJ324" s="676"/>
      <c r="BK324" s="676"/>
      <c r="BL324" s="676"/>
      <c r="BM324" s="676"/>
      <c r="BN324" s="676">
        <v>0</v>
      </c>
      <c r="BO324" s="676"/>
      <c r="BP324" s="676"/>
      <c r="BQ324" s="676"/>
      <c r="BR324" s="676"/>
      <c r="BS324" s="676"/>
      <c r="BT324" s="676"/>
      <c r="BU324" s="676"/>
      <c r="BV324" s="676"/>
      <c r="BW324" s="676"/>
      <c r="BX324" s="676"/>
      <c r="BY324" s="676"/>
      <c r="BZ324" s="676"/>
      <c r="CA324" s="676"/>
      <c r="CB324" s="676"/>
      <c r="CC324" s="676"/>
      <c r="CD324" s="676"/>
      <c r="CE324" s="676"/>
      <c r="CF324" s="676"/>
      <c r="CG324" s="676"/>
    </row>
    <row r="325" spans="1:85" x14ac:dyDescent="0.25">
      <c r="A325" s="320" t="s">
        <v>1124</v>
      </c>
      <c r="B325" s="320" t="s">
        <v>1125</v>
      </c>
      <c r="C325" s="320"/>
      <c r="D325" s="320" t="s">
        <v>1126</v>
      </c>
      <c r="E325" s="320">
        <v>2016</v>
      </c>
      <c r="F325" s="404"/>
      <c r="G325" s="676"/>
      <c r="H325" s="676">
        <v>4342790</v>
      </c>
      <c r="I325" s="676">
        <v>8184880</v>
      </c>
      <c r="J325" s="676">
        <v>3030725</v>
      </c>
      <c r="K325" s="676"/>
      <c r="L325" s="676"/>
      <c r="M325" s="676"/>
      <c r="N325" s="676"/>
      <c r="O325" s="676"/>
      <c r="P325" s="676"/>
      <c r="Q325" s="676"/>
      <c r="R325" s="676"/>
      <c r="S325" s="676"/>
      <c r="T325" s="676"/>
      <c r="U325" s="676"/>
      <c r="V325" s="676"/>
      <c r="W325" s="676"/>
      <c r="X325" s="676">
        <v>0</v>
      </c>
      <c r="Y325" s="676"/>
      <c r="Z325" s="676">
        <v>0</v>
      </c>
      <c r="AA325" s="676"/>
      <c r="AB325" s="676"/>
      <c r="AC325" s="676">
        <v>0</v>
      </c>
      <c r="AD325" s="676"/>
      <c r="AE325" s="676"/>
      <c r="AF325" s="676"/>
      <c r="AG325" s="676"/>
      <c r="AH325" s="676"/>
      <c r="AI325" s="676"/>
      <c r="AJ325" s="676"/>
      <c r="AK325" s="676"/>
      <c r="AL325" s="676"/>
      <c r="AM325" s="676"/>
      <c r="AN325" s="676"/>
      <c r="AO325" s="676"/>
      <c r="AP325" s="676"/>
      <c r="AQ325" s="676"/>
      <c r="AR325" s="676"/>
      <c r="AS325" s="676"/>
      <c r="AT325" s="676">
        <v>0</v>
      </c>
      <c r="AU325" s="676"/>
      <c r="AV325" s="676"/>
      <c r="AW325" s="676"/>
      <c r="AX325" s="676"/>
      <c r="AY325" s="676">
        <v>156696</v>
      </c>
      <c r="AZ325" s="676">
        <v>0</v>
      </c>
      <c r="BA325" s="676"/>
      <c r="BB325" s="676">
        <v>1654483</v>
      </c>
      <c r="BC325" s="676"/>
      <c r="BD325" s="676"/>
      <c r="BE325" s="676">
        <v>0</v>
      </c>
      <c r="BF325" s="676"/>
      <c r="BG325" s="676"/>
      <c r="BH325" s="676"/>
      <c r="BI325" s="676"/>
      <c r="BJ325" s="676">
        <v>5000000</v>
      </c>
      <c r="BK325" s="676"/>
      <c r="BL325" s="676"/>
      <c r="BM325" s="676"/>
      <c r="BN325" s="676">
        <v>0</v>
      </c>
      <c r="BO325" s="676"/>
      <c r="BP325" s="676"/>
      <c r="BQ325" s="676"/>
      <c r="BR325" s="676"/>
      <c r="BS325" s="676">
        <v>5972000</v>
      </c>
      <c r="BT325" s="676"/>
      <c r="BU325" s="676"/>
      <c r="BV325" s="676"/>
      <c r="BW325" s="676"/>
      <c r="BX325" s="676"/>
      <c r="BY325" s="676"/>
      <c r="BZ325" s="676"/>
      <c r="CA325" s="676"/>
      <c r="CB325" s="676"/>
      <c r="CC325" s="676"/>
      <c r="CD325" s="676"/>
      <c r="CE325" s="676"/>
      <c r="CF325" s="676"/>
      <c r="CG325" s="676"/>
    </row>
    <row r="326" spans="1:85" x14ac:dyDescent="0.25">
      <c r="A326" s="320" t="s">
        <v>1127</v>
      </c>
      <c r="B326" s="320" t="s">
        <v>1128</v>
      </c>
      <c r="C326" s="320"/>
      <c r="D326" s="320" t="s">
        <v>1129</v>
      </c>
      <c r="E326" s="320">
        <v>2016</v>
      </c>
      <c r="F326" s="404"/>
      <c r="G326" s="676"/>
      <c r="H326" s="676"/>
      <c r="I326" s="676"/>
      <c r="J326" s="676"/>
      <c r="K326" s="676"/>
      <c r="L326" s="676"/>
      <c r="M326" s="676"/>
      <c r="N326" s="676"/>
      <c r="O326" s="676"/>
      <c r="P326" s="676"/>
      <c r="Q326" s="676"/>
      <c r="R326" s="676"/>
      <c r="S326" s="676"/>
      <c r="T326" s="676"/>
      <c r="U326" s="676"/>
      <c r="V326" s="676"/>
      <c r="W326" s="676"/>
      <c r="X326" s="676">
        <v>0</v>
      </c>
      <c r="Y326" s="676"/>
      <c r="Z326" s="676">
        <v>0</v>
      </c>
      <c r="AA326" s="676"/>
      <c r="AB326" s="676"/>
      <c r="AC326" s="676">
        <v>0</v>
      </c>
      <c r="AD326" s="676"/>
      <c r="AE326" s="676"/>
      <c r="AF326" s="676"/>
      <c r="AG326" s="676"/>
      <c r="AH326" s="676"/>
      <c r="AI326" s="676"/>
      <c r="AJ326" s="676"/>
      <c r="AK326" s="676"/>
      <c r="AL326" s="676"/>
      <c r="AM326" s="676"/>
      <c r="AN326" s="676"/>
      <c r="AO326" s="676"/>
      <c r="AP326" s="676"/>
      <c r="AQ326" s="676"/>
      <c r="AR326" s="676"/>
      <c r="AS326" s="676"/>
      <c r="AT326" s="676">
        <v>0</v>
      </c>
      <c r="AU326" s="676"/>
      <c r="AV326" s="676"/>
      <c r="AW326" s="676"/>
      <c r="AX326" s="676"/>
      <c r="AY326" s="676"/>
      <c r="AZ326" s="676">
        <v>0</v>
      </c>
      <c r="BA326" s="676"/>
      <c r="BB326" s="676"/>
      <c r="BC326" s="676"/>
      <c r="BD326" s="676"/>
      <c r="BE326" s="676">
        <v>0</v>
      </c>
      <c r="BF326" s="676"/>
      <c r="BG326" s="676"/>
      <c r="BH326" s="676"/>
      <c r="BI326" s="676"/>
      <c r="BJ326" s="676"/>
      <c r="BK326" s="676"/>
      <c r="BL326" s="676"/>
      <c r="BM326" s="676"/>
      <c r="BN326" s="676">
        <v>0</v>
      </c>
      <c r="BO326" s="676"/>
      <c r="BP326" s="676"/>
      <c r="BQ326" s="676"/>
      <c r="BR326" s="676"/>
      <c r="BS326" s="676"/>
      <c r="BT326" s="676"/>
      <c r="BU326" s="676"/>
      <c r="BV326" s="676"/>
      <c r="BW326" s="676"/>
      <c r="BX326" s="676"/>
      <c r="BY326" s="676"/>
      <c r="BZ326" s="676"/>
      <c r="CA326" s="676"/>
      <c r="CB326" s="676"/>
      <c r="CC326" s="676"/>
      <c r="CD326" s="676"/>
      <c r="CE326" s="676"/>
      <c r="CF326" s="676"/>
      <c r="CG326" s="676">
        <v>24106000</v>
      </c>
    </row>
    <row r="327" spans="1:85" x14ac:dyDescent="0.25">
      <c r="A327" s="320" t="s">
        <v>1130</v>
      </c>
      <c r="B327" s="320" t="s">
        <v>1131</v>
      </c>
      <c r="C327" s="320"/>
      <c r="D327" s="320" t="s">
        <v>1132</v>
      </c>
      <c r="E327" s="320">
        <v>2016</v>
      </c>
      <c r="F327" s="404"/>
      <c r="G327" s="676"/>
      <c r="H327" s="676"/>
      <c r="I327" s="676"/>
      <c r="J327" s="676"/>
      <c r="K327" s="676"/>
      <c r="L327" s="676"/>
      <c r="M327" s="676"/>
      <c r="N327" s="676"/>
      <c r="O327" s="676"/>
      <c r="P327" s="676"/>
      <c r="Q327" s="676"/>
      <c r="R327" s="676">
        <v>1080603</v>
      </c>
      <c r="S327" s="676">
        <v>63610</v>
      </c>
      <c r="T327" s="676">
        <v>994699</v>
      </c>
      <c r="U327" s="676">
        <v>19720000</v>
      </c>
      <c r="V327" s="676"/>
      <c r="W327" s="676"/>
      <c r="X327" s="676">
        <v>1620604.38</v>
      </c>
      <c r="Y327" s="676"/>
      <c r="Z327" s="676">
        <v>0</v>
      </c>
      <c r="AA327" s="676"/>
      <c r="AB327" s="676"/>
      <c r="AC327" s="676">
        <v>0</v>
      </c>
      <c r="AD327" s="676"/>
      <c r="AE327" s="676"/>
      <c r="AF327" s="676">
        <v>6349622</v>
      </c>
      <c r="AG327" s="676"/>
      <c r="AH327" s="676">
        <v>15273</v>
      </c>
      <c r="AI327" s="676"/>
      <c r="AJ327" s="676">
        <v>100000</v>
      </c>
      <c r="AK327" s="676">
        <v>139750</v>
      </c>
      <c r="AL327" s="676"/>
      <c r="AM327" s="676"/>
      <c r="AN327" s="676"/>
      <c r="AO327" s="676"/>
      <c r="AP327" s="676"/>
      <c r="AQ327" s="676"/>
      <c r="AR327" s="676">
        <v>564956</v>
      </c>
      <c r="AS327" s="676"/>
      <c r="AT327" s="676">
        <v>0</v>
      </c>
      <c r="AU327" s="676"/>
      <c r="AV327" s="676"/>
      <c r="AW327" s="676"/>
      <c r="AX327" s="676">
        <v>11600000</v>
      </c>
      <c r="AY327" s="676"/>
      <c r="AZ327" s="676">
        <v>0</v>
      </c>
      <c r="BA327" s="676"/>
      <c r="BB327" s="676"/>
      <c r="BC327" s="676">
        <v>10282196</v>
      </c>
      <c r="BD327" s="676"/>
      <c r="BE327" s="676">
        <v>0</v>
      </c>
      <c r="BF327" s="676"/>
      <c r="BG327" s="676">
        <v>310000</v>
      </c>
      <c r="BH327" s="676"/>
      <c r="BI327" s="676">
        <v>537212</v>
      </c>
      <c r="BJ327" s="676">
        <v>2240500</v>
      </c>
      <c r="BK327" s="676"/>
      <c r="BL327" s="676"/>
      <c r="BM327" s="676"/>
      <c r="BN327" s="676">
        <v>0</v>
      </c>
      <c r="BO327" s="676"/>
      <c r="BP327" s="676"/>
      <c r="BQ327" s="676"/>
      <c r="BR327" s="676"/>
      <c r="BS327" s="676"/>
      <c r="BT327" s="676">
        <v>978392</v>
      </c>
      <c r="BU327" s="676"/>
      <c r="BV327" s="676"/>
      <c r="BW327" s="676"/>
      <c r="BX327" s="676"/>
      <c r="BY327" s="676">
        <v>949</v>
      </c>
      <c r="BZ327" s="676">
        <v>19948000</v>
      </c>
      <c r="CA327" s="676"/>
      <c r="CB327" s="676"/>
      <c r="CC327" s="676"/>
      <c r="CD327" s="676"/>
      <c r="CE327" s="676">
        <v>16267000</v>
      </c>
      <c r="CF327" s="676">
        <v>5575000</v>
      </c>
      <c r="CG327" s="676">
        <v>386905000</v>
      </c>
    </row>
    <row r="328" spans="1:85" x14ac:dyDescent="0.25">
      <c r="A328" s="320" t="s">
        <v>1133</v>
      </c>
      <c r="B328" s="320" t="s">
        <v>1134</v>
      </c>
      <c r="C328" s="320"/>
      <c r="D328" s="320" t="s">
        <v>1135</v>
      </c>
      <c r="E328" s="320">
        <v>2016</v>
      </c>
      <c r="F328" s="404"/>
      <c r="G328" s="676"/>
      <c r="H328" s="676"/>
      <c r="I328" s="676"/>
      <c r="J328" s="676"/>
      <c r="K328" s="676"/>
      <c r="L328" s="676">
        <v>41816</v>
      </c>
      <c r="M328" s="676"/>
      <c r="N328" s="676"/>
      <c r="O328" s="676"/>
      <c r="P328" s="676"/>
      <c r="Q328" s="676"/>
      <c r="R328" s="676"/>
      <c r="S328" s="676"/>
      <c r="T328" s="676"/>
      <c r="U328" s="676"/>
      <c r="V328" s="676"/>
      <c r="W328" s="676"/>
      <c r="X328" s="676">
        <v>0</v>
      </c>
      <c r="Y328" s="676"/>
      <c r="Z328" s="676">
        <v>0</v>
      </c>
      <c r="AA328" s="676"/>
      <c r="AB328" s="676"/>
      <c r="AC328" s="676">
        <v>0</v>
      </c>
      <c r="AD328" s="676"/>
      <c r="AE328" s="676"/>
      <c r="AF328" s="676"/>
      <c r="AG328" s="676"/>
      <c r="AH328" s="676"/>
      <c r="AI328" s="676"/>
      <c r="AJ328" s="676"/>
      <c r="AK328" s="676"/>
      <c r="AL328" s="676"/>
      <c r="AM328" s="676"/>
      <c r="AN328" s="676"/>
      <c r="AO328" s="676"/>
      <c r="AP328" s="676"/>
      <c r="AQ328" s="676"/>
      <c r="AR328" s="676"/>
      <c r="AS328" s="676"/>
      <c r="AT328" s="676">
        <v>0</v>
      </c>
      <c r="AU328" s="676"/>
      <c r="AV328" s="676"/>
      <c r="AW328" s="676"/>
      <c r="AX328" s="676"/>
      <c r="AY328" s="676"/>
      <c r="AZ328" s="676">
        <v>0</v>
      </c>
      <c r="BA328" s="676"/>
      <c r="BB328" s="676"/>
      <c r="BC328" s="676"/>
      <c r="BD328" s="676"/>
      <c r="BE328" s="676">
        <v>0</v>
      </c>
      <c r="BF328" s="676"/>
      <c r="BG328" s="676"/>
      <c r="BH328" s="676"/>
      <c r="BI328" s="676">
        <v>474</v>
      </c>
      <c r="BJ328" s="676"/>
      <c r="BK328" s="676"/>
      <c r="BL328" s="676"/>
      <c r="BM328" s="676"/>
      <c r="BN328" s="676">
        <v>0</v>
      </c>
      <c r="BO328" s="676"/>
      <c r="BP328" s="676"/>
      <c r="BQ328" s="676"/>
      <c r="BR328" s="676"/>
      <c r="BS328" s="676"/>
      <c r="BT328" s="676"/>
      <c r="BU328" s="676"/>
      <c r="BV328" s="676"/>
      <c r="BW328" s="676">
        <v>53433</v>
      </c>
      <c r="BX328" s="676"/>
      <c r="BY328" s="676"/>
      <c r="BZ328" s="676"/>
      <c r="CA328" s="676"/>
      <c r="CB328" s="676"/>
      <c r="CC328" s="676"/>
      <c r="CD328" s="676"/>
      <c r="CE328" s="676"/>
      <c r="CF328" s="676"/>
      <c r="CG328" s="676"/>
    </row>
    <row r="329" spans="1:85" x14ac:dyDescent="0.25">
      <c r="A329" s="320" t="s">
        <v>1136</v>
      </c>
      <c r="B329" s="320" t="s">
        <v>1137</v>
      </c>
      <c r="C329" s="320"/>
      <c r="D329" s="320" t="s">
        <v>1138</v>
      </c>
      <c r="E329" s="320">
        <v>2016</v>
      </c>
      <c r="F329" s="404"/>
      <c r="G329" s="676"/>
      <c r="H329" s="676"/>
      <c r="I329" s="676"/>
      <c r="J329" s="676"/>
      <c r="K329" s="676"/>
      <c r="L329" s="676"/>
      <c r="M329" s="676"/>
      <c r="N329" s="676"/>
      <c r="O329" s="676"/>
      <c r="P329" s="676"/>
      <c r="Q329" s="676"/>
      <c r="R329" s="676"/>
      <c r="S329" s="676"/>
      <c r="T329" s="676"/>
      <c r="U329" s="676"/>
      <c r="V329" s="676"/>
      <c r="W329" s="676"/>
      <c r="X329" s="676">
        <v>0</v>
      </c>
      <c r="Y329" s="676"/>
      <c r="Z329" s="676">
        <v>0</v>
      </c>
      <c r="AA329" s="676"/>
      <c r="AB329" s="676"/>
      <c r="AC329" s="676">
        <v>0</v>
      </c>
      <c r="AD329" s="676"/>
      <c r="AE329" s="676"/>
      <c r="AF329" s="676"/>
      <c r="AG329" s="676"/>
      <c r="AH329" s="676"/>
      <c r="AI329" s="676"/>
      <c r="AJ329" s="676"/>
      <c r="AK329" s="676"/>
      <c r="AL329" s="676"/>
      <c r="AM329" s="676"/>
      <c r="AN329" s="676"/>
      <c r="AO329" s="676"/>
      <c r="AP329" s="676"/>
      <c r="AQ329" s="676"/>
      <c r="AR329" s="676"/>
      <c r="AS329" s="676"/>
      <c r="AT329" s="676">
        <v>0</v>
      </c>
      <c r="AU329" s="676"/>
      <c r="AV329" s="676"/>
      <c r="AW329" s="676"/>
      <c r="AX329" s="676"/>
      <c r="AY329" s="676"/>
      <c r="AZ329" s="676">
        <v>0</v>
      </c>
      <c r="BA329" s="676"/>
      <c r="BB329" s="676"/>
      <c r="BC329" s="676"/>
      <c r="BD329" s="676"/>
      <c r="BE329" s="676">
        <v>0</v>
      </c>
      <c r="BF329" s="676"/>
      <c r="BG329" s="676"/>
      <c r="BH329" s="676"/>
      <c r="BI329" s="676"/>
      <c r="BJ329" s="676"/>
      <c r="BK329" s="676"/>
      <c r="BL329" s="676"/>
      <c r="BM329" s="676"/>
      <c r="BN329" s="676">
        <v>0</v>
      </c>
      <c r="BO329" s="676"/>
      <c r="BP329" s="676"/>
      <c r="BQ329" s="676"/>
      <c r="BR329" s="676"/>
      <c r="BS329" s="676"/>
      <c r="BT329" s="676"/>
      <c r="BU329" s="676"/>
      <c r="BV329" s="676"/>
      <c r="BW329" s="676"/>
      <c r="BX329" s="676"/>
      <c r="BY329" s="676"/>
      <c r="BZ329" s="676"/>
      <c r="CA329" s="676"/>
      <c r="CB329" s="676"/>
      <c r="CC329" s="676"/>
      <c r="CD329" s="676"/>
      <c r="CE329" s="676"/>
      <c r="CF329" s="676"/>
      <c r="CG329" s="676"/>
    </row>
    <row r="330" spans="1:85" x14ac:dyDescent="0.25">
      <c r="A330" s="320" t="s">
        <v>1139</v>
      </c>
      <c r="B330" s="320" t="s">
        <v>1140</v>
      </c>
      <c r="C330" s="320"/>
      <c r="D330" s="320" t="s">
        <v>1141</v>
      </c>
      <c r="E330" s="320">
        <v>2016</v>
      </c>
      <c r="F330" s="404"/>
      <c r="G330" s="676"/>
      <c r="H330" s="676"/>
      <c r="I330" s="676"/>
      <c r="J330" s="676"/>
      <c r="K330" s="676"/>
      <c r="L330" s="676"/>
      <c r="M330" s="676"/>
      <c r="N330" s="676"/>
      <c r="O330" s="676"/>
      <c r="P330" s="676"/>
      <c r="Q330" s="676"/>
      <c r="R330" s="676"/>
      <c r="S330" s="676"/>
      <c r="T330" s="676"/>
      <c r="U330" s="676">
        <v>1260969000</v>
      </c>
      <c r="V330" s="676"/>
      <c r="W330" s="676"/>
      <c r="X330" s="676">
        <v>0</v>
      </c>
      <c r="Y330" s="676"/>
      <c r="Z330" s="676">
        <v>0</v>
      </c>
      <c r="AA330" s="676"/>
      <c r="AB330" s="676"/>
      <c r="AC330" s="676">
        <v>0</v>
      </c>
      <c r="AD330" s="676"/>
      <c r="AE330" s="676"/>
      <c r="AF330" s="676"/>
      <c r="AG330" s="676"/>
      <c r="AH330" s="676"/>
      <c r="AI330" s="676"/>
      <c r="AJ330" s="676"/>
      <c r="AK330" s="676"/>
      <c r="AL330" s="676"/>
      <c r="AM330" s="676"/>
      <c r="AN330" s="676"/>
      <c r="AO330" s="676"/>
      <c r="AP330" s="676"/>
      <c r="AQ330" s="676"/>
      <c r="AR330" s="676"/>
      <c r="AS330" s="676"/>
      <c r="AT330" s="676">
        <v>0</v>
      </c>
      <c r="AU330" s="676"/>
      <c r="AV330" s="676"/>
      <c r="AW330" s="676"/>
      <c r="AX330" s="676"/>
      <c r="AY330" s="676"/>
      <c r="AZ330" s="676">
        <v>0</v>
      </c>
      <c r="BA330" s="676"/>
      <c r="BB330" s="676"/>
      <c r="BC330" s="676"/>
      <c r="BD330" s="676"/>
      <c r="BE330" s="676">
        <v>0</v>
      </c>
      <c r="BF330" s="676"/>
      <c r="BG330" s="676"/>
      <c r="BH330" s="676"/>
      <c r="BI330" s="676"/>
      <c r="BJ330" s="676"/>
      <c r="BK330" s="676"/>
      <c r="BL330" s="676"/>
      <c r="BM330" s="676"/>
      <c r="BN330" s="676">
        <v>0</v>
      </c>
      <c r="BO330" s="676"/>
      <c r="BP330" s="676"/>
      <c r="BQ330" s="676"/>
      <c r="BR330" s="676"/>
      <c r="BS330" s="676"/>
      <c r="BT330" s="676"/>
      <c r="BU330" s="676"/>
      <c r="BV330" s="676"/>
      <c r="BW330" s="676"/>
      <c r="BX330" s="676"/>
      <c r="BY330" s="676"/>
      <c r="BZ330" s="676"/>
      <c r="CA330" s="676"/>
      <c r="CB330" s="676"/>
      <c r="CC330" s="676">
        <v>628828000</v>
      </c>
      <c r="CD330" s="676"/>
      <c r="CE330" s="676"/>
      <c r="CF330" s="676"/>
      <c r="CG330" s="676"/>
    </row>
    <row r="331" spans="1:85" x14ac:dyDescent="0.25">
      <c r="A331" s="320" t="s">
        <v>1142</v>
      </c>
      <c r="B331" s="320" t="s">
        <v>1143</v>
      </c>
      <c r="C331" s="320"/>
      <c r="D331" s="320" t="s">
        <v>1144</v>
      </c>
      <c r="E331" s="320">
        <v>2016</v>
      </c>
      <c r="F331" s="404">
        <v>2069</v>
      </c>
      <c r="G331" s="676">
        <v>3728</v>
      </c>
      <c r="H331" s="676">
        <v>11862</v>
      </c>
      <c r="I331" s="676">
        <v>10402</v>
      </c>
      <c r="J331" s="676">
        <v>11784</v>
      </c>
      <c r="K331" s="676">
        <v>332</v>
      </c>
      <c r="L331" s="676">
        <v>8328</v>
      </c>
      <c r="M331" s="676">
        <v>17347</v>
      </c>
      <c r="N331" s="676">
        <v>6516</v>
      </c>
      <c r="O331" s="676">
        <v>13568</v>
      </c>
      <c r="P331" s="676">
        <v>5534</v>
      </c>
      <c r="Q331" s="676">
        <v>739</v>
      </c>
      <c r="R331" s="676">
        <v>68968</v>
      </c>
      <c r="S331" s="676">
        <v>35114</v>
      </c>
      <c r="T331" s="676">
        <v>76656</v>
      </c>
      <c r="U331" s="676"/>
      <c r="V331" s="676">
        <v>22022</v>
      </c>
      <c r="W331" s="676">
        <v>32056</v>
      </c>
      <c r="X331" s="676">
        <v>2072.64</v>
      </c>
      <c r="Y331" s="676"/>
      <c r="Z331" s="676">
        <v>454882.99</v>
      </c>
      <c r="AA331" s="676">
        <v>22414</v>
      </c>
      <c r="AB331" s="676">
        <v>505345</v>
      </c>
      <c r="AC331" s="676">
        <v>15810.7</v>
      </c>
      <c r="AD331" s="676">
        <v>12896</v>
      </c>
      <c r="AE331" s="676">
        <v>4835</v>
      </c>
      <c r="AF331" s="676">
        <v>35286</v>
      </c>
      <c r="AG331" s="676">
        <v>4475</v>
      </c>
      <c r="AH331" s="676">
        <v>1786</v>
      </c>
      <c r="AI331" s="676">
        <v>8731</v>
      </c>
      <c r="AJ331" s="676">
        <v>4433</v>
      </c>
      <c r="AK331" s="676">
        <v>2430927</v>
      </c>
      <c r="AL331" s="676">
        <v>2970</v>
      </c>
      <c r="AM331" s="676">
        <v>286587</v>
      </c>
      <c r="AN331" s="676"/>
      <c r="AO331" s="676">
        <v>15448</v>
      </c>
      <c r="AP331" s="676">
        <v>4918</v>
      </c>
      <c r="AQ331" s="676">
        <v>14475</v>
      </c>
      <c r="AR331" s="676">
        <v>4273</v>
      </c>
      <c r="AS331" s="676">
        <v>301</v>
      </c>
      <c r="AT331" s="676">
        <v>5097.5600000000004</v>
      </c>
      <c r="AU331" s="676">
        <v>1656</v>
      </c>
      <c r="AV331" s="676">
        <v>26138</v>
      </c>
      <c r="AW331" s="676">
        <v>8795</v>
      </c>
      <c r="AX331" s="676">
        <v>8936</v>
      </c>
      <c r="AY331" s="676">
        <v>13916</v>
      </c>
      <c r="AZ331" s="676">
        <v>24457</v>
      </c>
      <c r="BA331" s="676">
        <v>9894</v>
      </c>
      <c r="BB331" s="676">
        <v>29304</v>
      </c>
      <c r="BC331" s="676">
        <v>48501</v>
      </c>
      <c r="BD331" s="676">
        <v>151625</v>
      </c>
      <c r="BE331" s="676">
        <v>366913.71</v>
      </c>
      <c r="BF331" s="676">
        <v>140000</v>
      </c>
      <c r="BG331" s="676"/>
      <c r="BH331" s="676"/>
      <c r="BI331" s="676">
        <v>151192</v>
      </c>
      <c r="BJ331" s="676">
        <v>3606</v>
      </c>
      <c r="BK331" s="676">
        <v>4452</v>
      </c>
      <c r="BL331" s="676">
        <v>10964</v>
      </c>
      <c r="BM331" s="676">
        <v>55000</v>
      </c>
      <c r="BN331" s="676">
        <v>1842</v>
      </c>
      <c r="BO331" s="676">
        <v>5029</v>
      </c>
      <c r="BP331" s="676">
        <v>6066</v>
      </c>
      <c r="BQ331" s="676">
        <v>16786</v>
      </c>
      <c r="BR331" s="676">
        <v>90233</v>
      </c>
      <c r="BS331" s="676">
        <v>110474</v>
      </c>
      <c r="BT331" s="676">
        <v>249533</v>
      </c>
      <c r="BU331" s="676">
        <v>422</v>
      </c>
      <c r="BV331" s="676">
        <v>10149</v>
      </c>
      <c r="BW331" s="676">
        <v>227123</v>
      </c>
      <c r="BX331" s="676">
        <v>33068</v>
      </c>
      <c r="BY331" s="676">
        <v>7229</v>
      </c>
      <c r="BZ331" s="676"/>
      <c r="CA331" s="676">
        <v>1387.49</v>
      </c>
      <c r="CB331" s="676">
        <v>24082.5</v>
      </c>
      <c r="CC331" s="676"/>
      <c r="CD331" s="676">
        <v>2585</v>
      </c>
      <c r="CE331" s="676">
        <v>561000</v>
      </c>
      <c r="CF331" s="676"/>
      <c r="CG331" s="676"/>
    </row>
    <row r="332" spans="1:85" x14ac:dyDescent="0.25">
      <c r="A332" s="320" t="s">
        <v>1145</v>
      </c>
      <c r="B332" s="320" t="s">
        <v>1146</v>
      </c>
      <c r="C332" s="320"/>
      <c r="D332" s="320" t="s">
        <v>1147</v>
      </c>
      <c r="E332" s="320">
        <v>2016</v>
      </c>
      <c r="F332" s="404"/>
      <c r="G332" s="676"/>
      <c r="H332" s="676"/>
      <c r="I332" s="676">
        <v>751848</v>
      </c>
      <c r="J332" s="676"/>
      <c r="K332" s="676"/>
      <c r="L332" s="676"/>
      <c r="M332" s="676"/>
      <c r="N332" s="676"/>
      <c r="O332" s="676"/>
      <c r="P332" s="676"/>
      <c r="Q332" s="676"/>
      <c r="R332" s="676">
        <v>176587</v>
      </c>
      <c r="S332" s="676"/>
      <c r="T332" s="676">
        <v>12107111</v>
      </c>
      <c r="U332" s="676"/>
      <c r="V332" s="676"/>
      <c r="W332" s="676"/>
      <c r="X332" s="676">
        <v>0</v>
      </c>
      <c r="Y332" s="676"/>
      <c r="Z332" s="676">
        <v>0</v>
      </c>
      <c r="AA332" s="676"/>
      <c r="AB332" s="676"/>
      <c r="AC332" s="676">
        <v>0</v>
      </c>
      <c r="AD332" s="676"/>
      <c r="AE332" s="676"/>
      <c r="AF332" s="676"/>
      <c r="AG332" s="676"/>
      <c r="AH332" s="676"/>
      <c r="AI332" s="676">
        <v>183273</v>
      </c>
      <c r="AJ332" s="676"/>
      <c r="AK332" s="676"/>
      <c r="AL332" s="676"/>
      <c r="AM332" s="676"/>
      <c r="AN332" s="676"/>
      <c r="AO332" s="676"/>
      <c r="AP332" s="676"/>
      <c r="AQ332" s="676"/>
      <c r="AR332" s="676"/>
      <c r="AS332" s="676"/>
      <c r="AT332" s="676">
        <v>0</v>
      </c>
      <c r="AU332" s="676">
        <v>83528</v>
      </c>
      <c r="AV332" s="676"/>
      <c r="AW332" s="676"/>
      <c r="AX332" s="676"/>
      <c r="AY332" s="676">
        <v>693913</v>
      </c>
      <c r="AZ332" s="676">
        <v>0</v>
      </c>
      <c r="BA332" s="676">
        <v>50867</v>
      </c>
      <c r="BB332" s="676"/>
      <c r="BC332" s="676"/>
      <c r="BD332" s="676"/>
      <c r="BE332" s="676">
        <v>0</v>
      </c>
      <c r="BF332" s="676">
        <v>13308000</v>
      </c>
      <c r="BG332" s="676"/>
      <c r="BH332" s="676"/>
      <c r="BI332" s="676"/>
      <c r="BJ332" s="676"/>
      <c r="BK332" s="676"/>
      <c r="BL332" s="676"/>
      <c r="BM332" s="676"/>
      <c r="BN332" s="676">
        <v>0</v>
      </c>
      <c r="BO332" s="676"/>
      <c r="BP332" s="676"/>
      <c r="BQ332" s="676"/>
      <c r="BR332" s="676"/>
      <c r="BS332" s="676"/>
      <c r="BT332" s="676"/>
      <c r="BU332" s="676"/>
      <c r="BV332" s="676"/>
      <c r="BW332" s="676"/>
      <c r="BX332" s="676">
        <v>277778</v>
      </c>
      <c r="BY332" s="676">
        <v>40661</v>
      </c>
      <c r="BZ332" s="676"/>
      <c r="CA332" s="676"/>
      <c r="CB332" s="676"/>
      <c r="CC332" s="676"/>
      <c r="CD332" s="676"/>
      <c r="CE332" s="676"/>
      <c r="CF332" s="676"/>
      <c r="CG332" s="676"/>
    </row>
    <row r="333" spans="1:85" x14ac:dyDescent="0.25">
      <c r="A333" s="320" t="s">
        <v>1148</v>
      </c>
      <c r="B333" s="320" t="s">
        <v>1149</v>
      </c>
      <c r="C333" s="320"/>
      <c r="D333" s="320" t="s">
        <v>1150</v>
      </c>
      <c r="E333" s="320">
        <v>2016</v>
      </c>
      <c r="F333" s="404"/>
      <c r="G333" s="676"/>
      <c r="H333" s="676"/>
      <c r="I333" s="676"/>
      <c r="J333" s="676"/>
      <c r="K333" s="676"/>
      <c r="L333" s="676"/>
      <c r="M333" s="676"/>
      <c r="N333" s="676"/>
      <c r="O333" s="676"/>
      <c r="P333" s="676"/>
      <c r="Q333" s="676"/>
      <c r="R333" s="676"/>
      <c r="S333" s="676"/>
      <c r="T333" s="676"/>
      <c r="U333" s="676"/>
      <c r="V333" s="676"/>
      <c r="W333" s="676"/>
      <c r="X333" s="676">
        <v>0</v>
      </c>
      <c r="Y333" s="676"/>
      <c r="Z333" s="676">
        <v>0</v>
      </c>
      <c r="AA333" s="676"/>
      <c r="AB333" s="676"/>
      <c r="AC333" s="676">
        <v>0</v>
      </c>
      <c r="AD333" s="676"/>
      <c r="AE333" s="676"/>
      <c r="AF333" s="676">
        <v>176516</v>
      </c>
      <c r="AG333" s="676"/>
      <c r="AH333" s="676"/>
      <c r="AI333" s="676"/>
      <c r="AJ333" s="676"/>
      <c r="AK333" s="676"/>
      <c r="AL333" s="676"/>
      <c r="AM333" s="676"/>
      <c r="AN333" s="676"/>
      <c r="AO333" s="676"/>
      <c r="AP333" s="676"/>
      <c r="AQ333" s="676"/>
      <c r="AR333" s="676"/>
      <c r="AS333" s="676"/>
      <c r="AT333" s="676">
        <v>0</v>
      </c>
      <c r="AU333" s="676"/>
      <c r="AV333" s="676"/>
      <c r="AW333" s="676"/>
      <c r="AX333" s="676"/>
      <c r="AY333" s="676"/>
      <c r="AZ333" s="676">
        <v>0</v>
      </c>
      <c r="BA333" s="676"/>
      <c r="BB333" s="676"/>
      <c r="BC333" s="676"/>
      <c r="BD333" s="676"/>
      <c r="BE333" s="676">
        <v>0</v>
      </c>
      <c r="BF333" s="676"/>
      <c r="BG333" s="676">
        <v>77884000</v>
      </c>
      <c r="BH333" s="676"/>
      <c r="BI333" s="676"/>
      <c r="BJ333" s="676"/>
      <c r="BK333" s="676"/>
      <c r="BL333" s="676"/>
      <c r="BM333" s="676"/>
      <c r="BN333" s="676">
        <v>0</v>
      </c>
      <c r="BO333" s="676"/>
      <c r="BP333" s="676"/>
      <c r="BQ333" s="676"/>
      <c r="BR333" s="676"/>
      <c r="BS333" s="676"/>
      <c r="BT333" s="676"/>
      <c r="BU333" s="676"/>
      <c r="BV333" s="676"/>
      <c r="BW333" s="676"/>
      <c r="BX333" s="676"/>
      <c r="BY333" s="676"/>
      <c r="BZ333" s="676"/>
      <c r="CA333" s="676"/>
      <c r="CB333" s="676"/>
      <c r="CC333" s="676"/>
      <c r="CD333" s="676"/>
      <c r="CE333" s="676"/>
      <c r="CF333" s="676"/>
      <c r="CG333" s="676">
        <v>18791000</v>
      </c>
    </row>
    <row r="334" spans="1:85" x14ac:dyDescent="0.25">
      <c r="A334" s="320" t="s">
        <v>1151</v>
      </c>
      <c r="B334" s="320" t="s">
        <v>1152</v>
      </c>
      <c r="C334" s="320"/>
      <c r="D334" s="320" t="s">
        <v>1153</v>
      </c>
      <c r="E334" s="320">
        <v>2016</v>
      </c>
      <c r="F334" s="404">
        <v>112155</v>
      </c>
      <c r="G334" s="676">
        <v>136644</v>
      </c>
      <c r="H334" s="676">
        <v>1556818</v>
      </c>
      <c r="I334" s="676">
        <v>892617</v>
      </c>
      <c r="J334" s="676"/>
      <c r="K334" s="676"/>
      <c r="L334" s="676"/>
      <c r="M334" s="676">
        <v>2052848</v>
      </c>
      <c r="N334" s="676"/>
      <c r="O334" s="676">
        <v>18340</v>
      </c>
      <c r="P334" s="676"/>
      <c r="Q334" s="676"/>
      <c r="R334" s="676">
        <v>456721</v>
      </c>
      <c r="S334" s="676"/>
      <c r="T334" s="676">
        <v>2087445</v>
      </c>
      <c r="U334" s="676">
        <v>952364000</v>
      </c>
      <c r="V334" s="676"/>
      <c r="W334" s="676">
        <v>469866</v>
      </c>
      <c r="X334" s="676">
        <v>0</v>
      </c>
      <c r="Y334" s="676"/>
      <c r="Z334" s="676">
        <v>0</v>
      </c>
      <c r="AA334" s="676"/>
      <c r="AB334" s="676">
        <v>12835399</v>
      </c>
      <c r="AC334" s="676">
        <v>0</v>
      </c>
      <c r="AD334" s="676"/>
      <c r="AE334" s="676"/>
      <c r="AF334" s="676">
        <v>6212598</v>
      </c>
      <c r="AG334" s="676"/>
      <c r="AH334" s="676"/>
      <c r="AI334" s="676">
        <v>30283</v>
      </c>
      <c r="AJ334" s="676"/>
      <c r="AK334" s="676"/>
      <c r="AL334" s="676"/>
      <c r="AM334" s="676">
        <v>67845</v>
      </c>
      <c r="AN334" s="676">
        <v>155208000</v>
      </c>
      <c r="AO334" s="676">
        <v>1160338</v>
      </c>
      <c r="AP334" s="676"/>
      <c r="AQ334" s="676">
        <v>1006026</v>
      </c>
      <c r="AR334" s="676"/>
      <c r="AS334" s="676"/>
      <c r="AT334" s="676">
        <v>106072.13</v>
      </c>
      <c r="AU334" s="676"/>
      <c r="AV334" s="676">
        <v>1218</v>
      </c>
      <c r="AW334" s="676">
        <v>47833</v>
      </c>
      <c r="AX334" s="676"/>
      <c r="AY334" s="676"/>
      <c r="AZ334" s="676">
        <v>0</v>
      </c>
      <c r="BA334" s="676">
        <v>648403</v>
      </c>
      <c r="BB334" s="676">
        <v>133863</v>
      </c>
      <c r="BC334" s="676">
        <v>2401568</v>
      </c>
      <c r="BD334" s="676">
        <v>57252307</v>
      </c>
      <c r="BE334" s="676">
        <v>0</v>
      </c>
      <c r="BF334" s="676">
        <v>1275000</v>
      </c>
      <c r="BG334" s="676">
        <v>286169000</v>
      </c>
      <c r="BH334" s="676"/>
      <c r="BI334" s="676">
        <v>121825538</v>
      </c>
      <c r="BJ334" s="676">
        <v>1237983</v>
      </c>
      <c r="BK334" s="676">
        <v>318463</v>
      </c>
      <c r="BL334" s="676">
        <v>2167455</v>
      </c>
      <c r="BM334" s="676"/>
      <c r="BN334" s="676">
        <v>571833</v>
      </c>
      <c r="BO334" s="676">
        <v>18639</v>
      </c>
      <c r="BP334" s="676"/>
      <c r="BQ334" s="676">
        <v>8463</v>
      </c>
      <c r="BR334" s="676">
        <v>190591</v>
      </c>
      <c r="BS334" s="676"/>
      <c r="BT334" s="676">
        <v>16815216</v>
      </c>
      <c r="BU334" s="676"/>
      <c r="BV334" s="676"/>
      <c r="BW334" s="676">
        <v>110214168</v>
      </c>
      <c r="BX334" s="676">
        <v>860319</v>
      </c>
      <c r="BY334" s="676"/>
      <c r="BZ334" s="676"/>
      <c r="CA334" s="676">
        <v>1431109.45</v>
      </c>
      <c r="CB334" s="676">
        <v>590242.72</v>
      </c>
      <c r="CC334" s="676">
        <v>1336000</v>
      </c>
      <c r="CD334" s="676"/>
      <c r="CE334" s="676">
        <v>42066000</v>
      </c>
      <c r="CF334" s="676"/>
      <c r="CG334" s="676">
        <v>8226000</v>
      </c>
    </row>
    <row r="335" spans="1:85" x14ac:dyDescent="0.25">
      <c r="A335" s="320" t="s">
        <v>965</v>
      </c>
      <c r="B335" s="320" t="s">
        <v>1409</v>
      </c>
      <c r="C335" s="320" t="s">
        <v>1410</v>
      </c>
      <c r="D335" s="320" t="s">
        <v>1154</v>
      </c>
      <c r="E335" s="320">
        <v>2016</v>
      </c>
      <c r="F335" s="404"/>
      <c r="G335" s="676"/>
      <c r="H335" s="676">
        <v>75495</v>
      </c>
      <c r="I335" s="676">
        <v>62226</v>
      </c>
      <c r="J335" s="676">
        <v>25877</v>
      </c>
      <c r="K335" s="676">
        <v>0</v>
      </c>
      <c r="L335" s="676"/>
      <c r="M335" s="676"/>
      <c r="N335" s="676"/>
      <c r="O335" s="676">
        <v>128700</v>
      </c>
      <c r="P335" s="676">
        <v>14315</v>
      </c>
      <c r="Q335" s="676">
        <v>5741</v>
      </c>
      <c r="R335" s="676"/>
      <c r="S335" s="676"/>
      <c r="T335" s="676">
        <v>204720</v>
      </c>
      <c r="U335" s="676">
        <v>10997000</v>
      </c>
      <c r="V335" s="676">
        <v>98066</v>
      </c>
      <c r="W335" s="676"/>
      <c r="X335" s="676">
        <v>0</v>
      </c>
      <c r="Y335" s="676"/>
      <c r="Z335" s="676">
        <v>1051456909.77</v>
      </c>
      <c r="AA335" s="676">
        <v>0</v>
      </c>
      <c r="AB335" s="676">
        <v>20439275</v>
      </c>
      <c r="AC335" s="676">
        <v>0</v>
      </c>
      <c r="AD335" s="676">
        <v>575795</v>
      </c>
      <c r="AE335" s="676">
        <v>665629</v>
      </c>
      <c r="AF335" s="676">
        <v>16329</v>
      </c>
      <c r="AG335" s="676"/>
      <c r="AH335" s="676"/>
      <c r="AI335" s="676">
        <v>3306</v>
      </c>
      <c r="AJ335" s="676"/>
      <c r="AK335" s="676">
        <v>4689706</v>
      </c>
      <c r="AL335" s="676"/>
      <c r="AM335" s="676"/>
      <c r="AN335" s="676"/>
      <c r="AO335" s="676"/>
      <c r="AP335" s="676">
        <v>625640</v>
      </c>
      <c r="AQ335" s="676">
        <v>700832</v>
      </c>
      <c r="AR335" s="676">
        <v>181255</v>
      </c>
      <c r="AS335" s="676">
        <v>326228</v>
      </c>
      <c r="AT335" s="676">
        <v>67923.460000000006</v>
      </c>
      <c r="AU335" s="676"/>
      <c r="AV335" s="676">
        <v>17425</v>
      </c>
      <c r="AW335" s="676">
        <v>6765</v>
      </c>
      <c r="AX335" s="676"/>
      <c r="AY335" s="676"/>
      <c r="AZ335" s="676">
        <v>0</v>
      </c>
      <c r="BA335" s="676">
        <v>488509</v>
      </c>
      <c r="BB335" s="676">
        <v>225746</v>
      </c>
      <c r="BC335" s="676">
        <v>479256</v>
      </c>
      <c r="BD335" s="676">
        <v>9422325</v>
      </c>
      <c r="BE335" s="676">
        <v>27027769.16</v>
      </c>
      <c r="BF335" s="676">
        <v>10655000</v>
      </c>
      <c r="BG335" s="676">
        <v>1983484000</v>
      </c>
      <c r="BH335" s="676">
        <v>31190000</v>
      </c>
      <c r="BI335" s="676">
        <v>31669712</v>
      </c>
      <c r="BJ335" s="676"/>
      <c r="BK335" s="676"/>
      <c r="BL335" s="676">
        <v>50992</v>
      </c>
      <c r="BM335" s="676">
        <v>1410000</v>
      </c>
      <c r="BN335" s="676">
        <v>0</v>
      </c>
      <c r="BO335" s="676"/>
      <c r="BP335" s="676"/>
      <c r="BQ335" s="676"/>
      <c r="BR335" s="676">
        <v>14685</v>
      </c>
      <c r="BS335" s="676">
        <v>26343</v>
      </c>
      <c r="BT335" s="676">
        <v>152433</v>
      </c>
      <c r="BU335" s="676"/>
      <c r="BV335" s="676"/>
      <c r="BW335" s="676">
        <v>20632345</v>
      </c>
      <c r="BX335" s="676">
        <v>1403472</v>
      </c>
      <c r="BY335" s="676">
        <v>91083</v>
      </c>
      <c r="BZ335" s="676">
        <v>1105000</v>
      </c>
      <c r="CA335" s="676">
        <v>193881.2</v>
      </c>
      <c r="CB335" s="676">
        <v>388219</v>
      </c>
      <c r="CC335" s="676">
        <v>1554000</v>
      </c>
      <c r="CD335" s="676"/>
      <c r="CE335" s="676">
        <v>89823000</v>
      </c>
      <c r="CF335" s="676">
        <v>58797000</v>
      </c>
      <c r="CG335" s="676">
        <v>15266000</v>
      </c>
    </row>
    <row r="336" spans="1:85" x14ac:dyDescent="0.25">
      <c r="A336" s="320" t="s">
        <v>1155</v>
      </c>
      <c r="B336" s="320" t="s">
        <v>1156</v>
      </c>
      <c r="C336" s="320"/>
      <c r="D336" s="320" t="s">
        <v>1157</v>
      </c>
      <c r="E336" s="320">
        <v>2016</v>
      </c>
      <c r="F336" s="404"/>
      <c r="G336" s="676"/>
      <c r="H336" s="676"/>
      <c r="I336" s="676"/>
      <c r="J336" s="676"/>
      <c r="K336" s="676"/>
      <c r="L336" s="676"/>
      <c r="M336" s="676"/>
      <c r="N336" s="676"/>
      <c r="O336" s="676"/>
      <c r="P336" s="676"/>
      <c r="Q336" s="676"/>
      <c r="R336" s="676"/>
      <c r="S336" s="676"/>
      <c r="T336" s="676"/>
      <c r="U336" s="676"/>
      <c r="V336" s="676"/>
      <c r="W336" s="676"/>
      <c r="X336" s="676">
        <v>0</v>
      </c>
      <c r="Y336" s="676"/>
      <c r="Z336" s="676">
        <v>0</v>
      </c>
      <c r="AA336" s="676"/>
      <c r="AB336" s="676">
        <v>8484031</v>
      </c>
      <c r="AC336" s="676">
        <v>0</v>
      </c>
      <c r="AD336" s="676"/>
      <c r="AE336" s="676"/>
      <c r="AF336" s="676"/>
      <c r="AG336" s="676"/>
      <c r="AH336" s="676"/>
      <c r="AI336" s="676">
        <v>2406</v>
      </c>
      <c r="AJ336" s="676"/>
      <c r="AK336" s="676"/>
      <c r="AL336" s="676"/>
      <c r="AM336" s="676"/>
      <c r="AN336" s="676"/>
      <c r="AO336" s="676"/>
      <c r="AP336" s="676"/>
      <c r="AQ336" s="676"/>
      <c r="AR336" s="676"/>
      <c r="AS336" s="676"/>
      <c r="AT336" s="676">
        <v>0</v>
      </c>
      <c r="AU336" s="676"/>
      <c r="AV336" s="676"/>
      <c r="AW336" s="676"/>
      <c r="AX336" s="676"/>
      <c r="AY336" s="676"/>
      <c r="AZ336" s="676">
        <v>0</v>
      </c>
      <c r="BA336" s="676"/>
      <c r="BB336" s="676"/>
      <c r="BC336" s="676"/>
      <c r="BD336" s="676"/>
      <c r="BE336" s="676">
        <v>0</v>
      </c>
      <c r="BF336" s="676"/>
      <c r="BG336" s="676"/>
      <c r="BH336" s="676"/>
      <c r="BI336" s="676"/>
      <c r="BJ336" s="676"/>
      <c r="BK336" s="676"/>
      <c r="BL336" s="676"/>
      <c r="BM336" s="676"/>
      <c r="BN336" s="676">
        <v>0</v>
      </c>
      <c r="BO336" s="676"/>
      <c r="BP336" s="676"/>
      <c r="BQ336" s="676"/>
      <c r="BR336" s="676"/>
      <c r="BS336" s="676"/>
      <c r="BT336" s="676"/>
      <c r="BU336" s="676"/>
      <c r="BV336" s="676"/>
      <c r="BW336" s="676"/>
      <c r="BX336" s="676">
        <v>874808</v>
      </c>
      <c r="BY336" s="676"/>
      <c r="BZ336" s="676"/>
      <c r="CA336" s="676"/>
      <c r="CB336" s="676"/>
      <c r="CC336" s="676"/>
      <c r="CD336" s="676"/>
      <c r="CE336" s="676"/>
      <c r="CF336" s="676"/>
      <c r="CG336" s="676"/>
    </row>
    <row r="337" spans="1:85" x14ac:dyDescent="0.25">
      <c r="A337" s="320" t="s">
        <v>1158</v>
      </c>
      <c r="B337" s="320" t="s">
        <v>1159</v>
      </c>
      <c r="C337" s="320"/>
      <c r="D337" s="320" t="s">
        <v>1160</v>
      </c>
      <c r="E337" s="320">
        <v>2016</v>
      </c>
      <c r="F337" s="404"/>
      <c r="G337" s="676"/>
      <c r="H337" s="676">
        <v>75495</v>
      </c>
      <c r="I337" s="676">
        <v>62226</v>
      </c>
      <c r="J337" s="676">
        <v>25877</v>
      </c>
      <c r="K337" s="676"/>
      <c r="L337" s="676"/>
      <c r="M337" s="676"/>
      <c r="N337" s="676"/>
      <c r="O337" s="676">
        <v>128700</v>
      </c>
      <c r="P337" s="676">
        <v>14315</v>
      </c>
      <c r="Q337" s="676">
        <v>5741</v>
      </c>
      <c r="R337" s="676"/>
      <c r="S337" s="676"/>
      <c r="T337" s="676">
        <v>204720</v>
      </c>
      <c r="U337" s="676">
        <v>10997000</v>
      </c>
      <c r="V337" s="676">
        <v>98066</v>
      </c>
      <c r="W337" s="676"/>
      <c r="X337" s="676">
        <v>0</v>
      </c>
      <c r="Y337" s="676"/>
      <c r="Z337" s="676">
        <v>1051456909.77</v>
      </c>
      <c r="AA337" s="676"/>
      <c r="AB337" s="676">
        <v>11955244</v>
      </c>
      <c r="AC337" s="676">
        <v>0</v>
      </c>
      <c r="AD337" s="676">
        <v>575795</v>
      </c>
      <c r="AE337" s="676">
        <v>665629</v>
      </c>
      <c r="AF337" s="676">
        <v>16329</v>
      </c>
      <c r="AG337" s="676"/>
      <c r="AH337" s="676"/>
      <c r="AI337" s="676">
        <v>900</v>
      </c>
      <c r="AJ337" s="676"/>
      <c r="AK337" s="676">
        <v>4689706</v>
      </c>
      <c r="AL337" s="676"/>
      <c r="AM337" s="676"/>
      <c r="AN337" s="676"/>
      <c r="AO337" s="676"/>
      <c r="AP337" s="676">
        <v>625640</v>
      </c>
      <c r="AQ337" s="676">
        <v>700832</v>
      </c>
      <c r="AR337" s="676">
        <v>181255</v>
      </c>
      <c r="AS337" s="676">
        <v>326228</v>
      </c>
      <c r="AT337" s="676">
        <v>67923.460000000006</v>
      </c>
      <c r="AU337" s="676"/>
      <c r="AV337" s="676">
        <v>17425</v>
      </c>
      <c r="AW337" s="676">
        <v>6765</v>
      </c>
      <c r="AX337" s="676"/>
      <c r="AY337" s="676"/>
      <c r="AZ337" s="676">
        <v>0</v>
      </c>
      <c r="BA337" s="676">
        <v>488509</v>
      </c>
      <c r="BB337" s="676">
        <v>225746</v>
      </c>
      <c r="BC337" s="676">
        <v>479256</v>
      </c>
      <c r="BD337" s="676">
        <v>9422325</v>
      </c>
      <c r="BE337" s="676">
        <v>27027769.16</v>
      </c>
      <c r="BF337" s="676">
        <v>10655000</v>
      </c>
      <c r="BG337" s="676">
        <v>1983484000</v>
      </c>
      <c r="BH337" s="676">
        <v>31190000</v>
      </c>
      <c r="BI337" s="676">
        <v>31669712</v>
      </c>
      <c r="BJ337" s="676"/>
      <c r="BK337" s="676"/>
      <c r="BL337" s="676">
        <v>50992</v>
      </c>
      <c r="BM337" s="676">
        <v>1410000</v>
      </c>
      <c r="BN337" s="676">
        <v>0</v>
      </c>
      <c r="BO337" s="676"/>
      <c r="BP337" s="676"/>
      <c r="BQ337" s="676"/>
      <c r="BR337" s="676">
        <v>14685</v>
      </c>
      <c r="BS337" s="676">
        <v>26343</v>
      </c>
      <c r="BT337" s="676">
        <v>152433</v>
      </c>
      <c r="BU337" s="676"/>
      <c r="BV337" s="676"/>
      <c r="BW337" s="676">
        <v>20632345</v>
      </c>
      <c r="BX337" s="676">
        <v>528664</v>
      </c>
      <c r="BY337" s="676">
        <v>91083</v>
      </c>
      <c r="BZ337" s="676">
        <v>1105000</v>
      </c>
      <c r="CA337" s="676">
        <v>193881.2</v>
      </c>
      <c r="CB337" s="676">
        <v>388219</v>
      </c>
      <c r="CC337" s="676">
        <v>1554000</v>
      </c>
      <c r="CD337" s="676"/>
      <c r="CE337" s="676"/>
      <c r="CF337" s="676">
        <v>58797000</v>
      </c>
      <c r="CG337" s="676">
        <v>15266000</v>
      </c>
    </row>
    <row r="338" spans="1:85" x14ac:dyDescent="0.25">
      <c r="A338" s="320" t="s">
        <v>993</v>
      </c>
      <c r="B338" s="320" t="s">
        <v>1161</v>
      </c>
      <c r="C338" s="320"/>
      <c r="D338" s="320" t="s">
        <v>1162</v>
      </c>
      <c r="E338" s="320">
        <v>2016</v>
      </c>
      <c r="F338" s="404"/>
      <c r="G338" s="676"/>
      <c r="H338" s="676"/>
      <c r="I338" s="676"/>
      <c r="J338" s="676"/>
      <c r="K338" s="676"/>
      <c r="L338" s="676">
        <v>214230</v>
      </c>
      <c r="M338" s="676"/>
      <c r="N338" s="676"/>
      <c r="O338" s="676"/>
      <c r="P338" s="676"/>
      <c r="Q338" s="676"/>
      <c r="R338" s="676"/>
      <c r="S338" s="676"/>
      <c r="T338" s="676">
        <v>899980</v>
      </c>
      <c r="U338" s="676">
        <v>74955000</v>
      </c>
      <c r="V338" s="676"/>
      <c r="W338" s="676"/>
      <c r="X338" s="676">
        <v>0</v>
      </c>
      <c r="Y338" s="676"/>
      <c r="Z338" s="676">
        <v>0</v>
      </c>
      <c r="AA338" s="676"/>
      <c r="AB338" s="676"/>
      <c r="AC338" s="676">
        <v>0</v>
      </c>
      <c r="AD338" s="676"/>
      <c r="AE338" s="676"/>
      <c r="AF338" s="676">
        <v>47444100</v>
      </c>
      <c r="AG338" s="676"/>
      <c r="AH338" s="676"/>
      <c r="AI338" s="676"/>
      <c r="AJ338" s="676">
        <v>55447</v>
      </c>
      <c r="AK338" s="676">
        <v>3900000</v>
      </c>
      <c r="AL338" s="676">
        <v>420458</v>
      </c>
      <c r="AM338" s="676">
        <v>4809922</v>
      </c>
      <c r="AN338" s="676">
        <v>185886000</v>
      </c>
      <c r="AO338" s="676"/>
      <c r="AP338" s="676"/>
      <c r="AQ338" s="676"/>
      <c r="AR338" s="676"/>
      <c r="AS338" s="676"/>
      <c r="AT338" s="676">
        <v>0</v>
      </c>
      <c r="AU338" s="676"/>
      <c r="AV338" s="676"/>
      <c r="AW338" s="676"/>
      <c r="AX338" s="676"/>
      <c r="AY338" s="676">
        <v>1056400</v>
      </c>
      <c r="AZ338" s="676">
        <v>0</v>
      </c>
      <c r="BA338" s="676">
        <v>11961790</v>
      </c>
      <c r="BB338" s="676"/>
      <c r="BC338" s="676"/>
      <c r="BD338" s="676">
        <v>55786111</v>
      </c>
      <c r="BE338" s="676">
        <v>0</v>
      </c>
      <c r="BF338" s="676">
        <v>21065000</v>
      </c>
      <c r="BG338" s="676">
        <v>1295024000</v>
      </c>
      <c r="BH338" s="676">
        <v>84397000</v>
      </c>
      <c r="BI338" s="676">
        <v>22048833</v>
      </c>
      <c r="BJ338" s="676">
        <v>5457610</v>
      </c>
      <c r="BK338" s="676"/>
      <c r="BL338" s="676"/>
      <c r="BM338" s="676">
        <v>17610000</v>
      </c>
      <c r="BN338" s="676">
        <v>10732582</v>
      </c>
      <c r="BO338" s="676"/>
      <c r="BP338" s="676"/>
      <c r="BQ338" s="676"/>
      <c r="BR338" s="676"/>
      <c r="BS338" s="676"/>
      <c r="BT338" s="676"/>
      <c r="BU338" s="676"/>
      <c r="BV338" s="676"/>
      <c r="BW338" s="676">
        <v>221519153</v>
      </c>
      <c r="BX338" s="676"/>
      <c r="BY338" s="676"/>
      <c r="BZ338" s="676">
        <v>170000000</v>
      </c>
      <c r="CA338" s="676"/>
      <c r="CB338" s="676">
        <v>5818259.5499999998</v>
      </c>
      <c r="CC338" s="676"/>
      <c r="CD338" s="676"/>
      <c r="CE338" s="676">
        <v>62741000</v>
      </c>
      <c r="CF338" s="676">
        <v>8798000</v>
      </c>
      <c r="CG338" s="676">
        <v>207490000</v>
      </c>
    </row>
    <row r="339" spans="1:85" x14ac:dyDescent="0.25">
      <c r="A339" s="320" t="s">
        <v>1022</v>
      </c>
      <c r="B339" s="320" t="s">
        <v>1411</v>
      </c>
      <c r="C339" s="320" t="s">
        <v>1412</v>
      </c>
      <c r="D339" s="320" t="s">
        <v>1163</v>
      </c>
      <c r="E339" s="320">
        <v>2016</v>
      </c>
      <c r="F339" s="404">
        <v>103708</v>
      </c>
      <c r="G339" s="676">
        <v>533931</v>
      </c>
      <c r="H339" s="676">
        <v>4026472</v>
      </c>
      <c r="I339" s="676">
        <v>4404862</v>
      </c>
      <c r="J339" s="676">
        <v>8894506</v>
      </c>
      <c r="K339" s="676">
        <v>1453355</v>
      </c>
      <c r="L339" s="676">
        <v>492523</v>
      </c>
      <c r="M339" s="676">
        <v>25912438</v>
      </c>
      <c r="N339" s="676">
        <v>27314596</v>
      </c>
      <c r="O339" s="676">
        <v>14943849</v>
      </c>
      <c r="P339" s="676">
        <v>3747868</v>
      </c>
      <c r="Q339" s="676">
        <v>54214</v>
      </c>
      <c r="R339" s="676">
        <v>6530005</v>
      </c>
      <c r="S339" s="676">
        <v>38003688</v>
      </c>
      <c r="T339" s="676">
        <v>5365950</v>
      </c>
      <c r="U339" s="676">
        <v>61526000</v>
      </c>
      <c r="V339" s="676">
        <v>3722785</v>
      </c>
      <c r="W339" s="676">
        <v>575153</v>
      </c>
      <c r="X339" s="676">
        <v>139781.24</v>
      </c>
      <c r="Y339" s="676">
        <v>50938775</v>
      </c>
      <c r="Z339" s="676">
        <v>16583887.66</v>
      </c>
      <c r="AA339" s="676">
        <v>418078</v>
      </c>
      <c r="AB339" s="676">
        <v>37262915</v>
      </c>
      <c r="AC339" s="676">
        <v>741971.31</v>
      </c>
      <c r="AD339" s="676">
        <v>2540393</v>
      </c>
      <c r="AE339" s="676">
        <v>870683</v>
      </c>
      <c r="AF339" s="676">
        <v>2342577</v>
      </c>
      <c r="AG339" s="676">
        <v>708227</v>
      </c>
      <c r="AH339" s="676">
        <v>210255</v>
      </c>
      <c r="AI339" s="676">
        <v>285649</v>
      </c>
      <c r="AJ339" s="676">
        <v>267084</v>
      </c>
      <c r="AK339" s="676">
        <v>8306171</v>
      </c>
      <c r="AL339" s="676">
        <v>9541490</v>
      </c>
      <c r="AM339" s="676">
        <v>2662732</v>
      </c>
      <c r="AN339" s="676">
        <v>122106000</v>
      </c>
      <c r="AO339" s="676">
        <v>11039456</v>
      </c>
      <c r="AP339" s="676">
        <v>3135585</v>
      </c>
      <c r="AQ339" s="676">
        <v>5513322</v>
      </c>
      <c r="AR339" s="676">
        <v>4463369</v>
      </c>
      <c r="AS339" s="676">
        <v>3329039</v>
      </c>
      <c r="AT339" s="676">
        <v>5995363.5599999996</v>
      </c>
      <c r="AU339" s="676">
        <v>3670527</v>
      </c>
      <c r="AV339" s="676">
        <v>434317</v>
      </c>
      <c r="AW339" s="676">
        <v>454626</v>
      </c>
      <c r="AX339" s="676">
        <v>15321638</v>
      </c>
      <c r="AY339" s="676">
        <v>14534132</v>
      </c>
      <c r="AZ339" s="676">
        <v>221691</v>
      </c>
      <c r="BA339" s="676">
        <v>1532981</v>
      </c>
      <c r="BB339" s="676">
        <v>8030939</v>
      </c>
      <c r="BC339" s="676">
        <v>8670327</v>
      </c>
      <c r="BD339" s="676">
        <v>50214838</v>
      </c>
      <c r="BE339" s="676">
        <v>1231746.23</v>
      </c>
      <c r="BF339" s="676">
        <v>149670000</v>
      </c>
      <c r="BG339" s="676">
        <v>617077000</v>
      </c>
      <c r="BH339" s="676">
        <v>382425000</v>
      </c>
      <c r="BI339" s="676">
        <v>20435598</v>
      </c>
      <c r="BJ339" s="676">
        <v>7483169</v>
      </c>
      <c r="BK339" s="676">
        <v>212232</v>
      </c>
      <c r="BL339" s="676">
        <v>671242</v>
      </c>
      <c r="BM339" s="676">
        <v>99834000</v>
      </c>
      <c r="BN339" s="676">
        <v>5825886</v>
      </c>
      <c r="BO339" s="676">
        <v>359746</v>
      </c>
      <c r="BP339" s="676">
        <v>976159</v>
      </c>
      <c r="BQ339" s="676">
        <v>145846</v>
      </c>
      <c r="BR339" s="676">
        <v>333327</v>
      </c>
      <c r="BS339" s="676">
        <v>13101903</v>
      </c>
      <c r="BT339" s="676">
        <v>7647106</v>
      </c>
      <c r="BU339" s="676">
        <v>10370189</v>
      </c>
      <c r="BV339" s="676">
        <v>536105</v>
      </c>
      <c r="BW339" s="676">
        <v>11796205</v>
      </c>
      <c r="BX339" s="676">
        <v>2359894</v>
      </c>
      <c r="BY339" s="676">
        <v>3374635</v>
      </c>
      <c r="BZ339" s="676">
        <v>105297000</v>
      </c>
      <c r="CA339" s="676">
        <v>1482747.03</v>
      </c>
      <c r="CB339" s="676">
        <v>7834587.1900000004</v>
      </c>
      <c r="CC339" s="676">
        <v>85314000</v>
      </c>
      <c r="CD339" s="676">
        <v>506939</v>
      </c>
      <c r="CE339" s="676">
        <v>109823000</v>
      </c>
      <c r="CF339" s="676">
        <v>72938000</v>
      </c>
      <c r="CG339" s="676">
        <v>73173000</v>
      </c>
    </row>
    <row r="340" spans="1:85" x14ac:dyDescent="0.25">
      <c r="A340" s="320" t="s">
        <v>1164</v>
      </c>
      <c r="B340" s="320" t="s">
        <v>1413</v>
      </c>
      <c r="C340" s="320" t="s">
        <v>1414</v>
      </c>
      <c r="D340" s="320" t="s">
        <v>1165</v>
      </c>
      <c r="E340" s="320">
        <v>2016</v>
      </c>
      <c r="F340" s="404">
        <v>21053</v>
      </c>
      <c r="G340" s="676">
        <v>99588</v>
      </c>
      <c r="H340" s="676">
        <v>2537566</v>
      </c>
      <c r="I340" s="676">
        <v>1535051</v>
      </c>
      <c r="J340" s="676">
        <v>2506857</v>
      </c>
      <c r="K340" s="676">
        <v>981285</v>
      </c>
      <c r="L340" s="676">
        <v>250794</v>
      </c>
      <c r="M340" s="676">
        <v>25886556</v>
      </c>
      <c r="N340" s="676">
        <v>17684524</v>
      </c>
      <c r="O340" s="676">
        <v>13953079</v>
      </c>
      <c r="P340" s="676">
        <v>3485507</v>
      </c>
      <c r="Q340" s="676">
        <v>15045</v>
      </c>
      <c r="R340" s="676">
        <v>4278613</v>
      </c>
      <c r="S340" s="676">
        <v>32176813</v>
      </c>
      <c r="T340" s="676">
        <v>2216047</v>
      </c>
      <c r="U340" s="676">
        <v>19077000</v>
      </c>
      <c r="V340" s="676">
        <v>3512957</v>
      </c>
      <c r="W340" s="676">
        <v>352917</v>
      </c>
      <c r="X340" s="676">
        <v>31163.22</v>
      </c>
      <c r="Y340" s="676">
        <v>45832962</v>
      </c>
      <c r="Z340" s="676">
        <v>13498450.73</v>
      </c>
      <c r="AA340" s="676">
        <v>127855</v>
      </c>
      <c r="AB340" s="676">
        <v>27734723</v>
      </c>
      <c r="AC340" s="676">
        <v>426187.85</v>
      </c>
      <c r="AD340" s="676">
        <v>1895338</v>
      </c>
      <c r="AE340" s="676">
        <v>545166</v>
      </c>
      <c r="AF340" s="676">
        <v>1171763</v>
      </c>
      <c r="AG340" s="676">
        <v>37501</v>
      </c>
      <c r="AH340" s="676">
        <v>100889</v>
      </c>
      <c r="AI340" s="676">
        <v>245077</v>
      </c>
      <c r="AJ340" s="676">
        <v>88958</v>
      </c>
      <c r="AK340" s="676">
        <v>1974731</v>
      </c>
      <c r="AL340" s="676">
        <v>8465593</v>
      </c>
      <c r="AM340" s="676">
        <v>1516116</v>
      </c>
      <c r="AN340" s="676">
        <v>115382000</v>
      </c>
      <c r="AO340" s="676">
        <v>8977802</v>
      </c>
      <c r="AP340" s="676">
        <v>1434845</v>
      </c>
      <c r="AQ340" s="676">
        <v>3379919</v>
      </c>
      <c r="AR340" s="676">
        <v>1050315</v>
      </c>
      <c r="AS340" s="676">
        <v>637970</v>
      </c>
      <c r="AT340" s="676">
        <v>4896541.05</v>
      </c>
      <c r="AU340" s="676">
        <v>2538280</v>
      </c>
      <c r="AV340" s="676">
        <v>128188</v>
      </c>
      <c r="AW340" s="676">
        <v>353886</v>
      </c>
      <c r="AX340" s="676">
        <v>14768472</v>
      </c>
      <c r="AY340" s="676">
        <v>7342129</v>
      </c>
      <c r="AZ340" s="676">
        <v>44742</v>
      </c>
      <c r="BA340" s="676">
        <v>980141</v>
      </c>
      <c r="BB340" s="676">
        <v>5745579</v>
      </c>
      <c r="BC340" s="676">
        <v>2536396</v>
      </c>
      <c r="BD340" s="676">
        <v>35416762</v>
      </c>
      <c r="BE340" s="676">
        <v>91352.61</v>
      </c>
      <c r="BF340" s="676">
        <v>121968000</v>
      </c>
      <c r="BG340" s="676">
        <v>300311000</v>
      </c>
      <c r="BH340" s="676">
        <v>207304000</v>
      </c>
      <c r="BI340" s="676">
        <v>7943954</v>
      </c>
      <c r="BJ340" s="676">
        <v>4035912</v>
      </c>
      <c r="BK340" s="676">
        <v>94514</v>
      </c>
      <c r="BL340" s="676">
        <v>510578</v>
      </c>
      <c r="BM340" s="676">
        <v>63061000</v>
      </c>
      <c r="BN340" s="676">
        <v>4708669</v>
      </c>
      <c r="BO340" s="676">
        <v>133953</v>
      </c>
      <c r="BP340" s="676">
        <v>145139</v>
      </c>
      <c r="BQ340" s="676">
        <v>37764</v>
      </c>
      <c r="BR340" s="676">
        <v>115646</v>
      </c>
      <c r="BS340" s="676">
        <v>6264213</v>
      </c>
      <c r="BT340" s="676">
        <v>6291072</v>
      </c>
      <c r="BU340" s="676">
        <v>7599375</v>
      </c>
      <c r="BV340" s="676">
        <v>429430</v>
      </c>
      <c r="BW340" s="676">
        <v>9790095</v>
      </c>
      <c r="BX340" s="676">
        <v>1876346</v>
      </c>
      <c r="BY340" s="676">
        <v>1643108</v>
      </c>
      <c r="BZ340" s="676">
        <v>5071000</v>
      </c>
      <c r="CA340" s="676">
        <v>780368.45</v>
      </c>
      <c r="CB340" s="676">
        <v>5746532.6500000004</v>
      </c>
      <c r="CC340" s="676">
        <v>10184000</v>
      </c>
      <c r="CD340" s="676">
        <v>464075</v>
      </c>
      <c r="CE340" s="676">
        <v>77057000</v>
      </c>
      <c r="CF340" s="676">
        <v>59869000</v>
      </c>
      <c r="CG340" s="676">
        <v>49842000</v>
      </c>
    </row>
    <row r="341" spans="1:85" x14ac:dyDescent="0.25">
      <c r="A341" s="320" t="s">
        <v>1166</v>
      </c>
      <c r="B341" s="320" t="s">
        <v>1114</v>
      </c>
      <c r="C341" s="320"/>
      <c r="D341" s="320" t="s">
        <v>1167</v>
      </c>
      <c r="E341" s="320">
        <v>2016</v>
      </c>
      <c r="F341" s="404"/>
      <c r="G341" s="676"/>
      <c r="H341" s="676">
        <v>1527772</v>
      </c>
      <c r="I341" s="676">
        <v>1007313</v>
      </c>
      <c r="J341" s="676">
        <v>1013508</v>
      </c>
      <c r="K341" s="676">
        <v>3539</v>
      </c>
      <c r="L341" s="676"/>
      <c r="M341" s="676">
        <v>1736960</v>
      </c>
      <c r="N341" s="676">
        <v>11727594</v>
      </c>
      <c r="O341" s="676">
        <v>599223</v>
      </c>
      <c r="P341" s="676">
        <v>420586</v>
      </c>
      <c r="Q341" s="676"/>
      <c r="R341" s="676">
        <v>278643</v>
      </c>
      <c r="S341" s="676">
        <v>2881162</v>
      </c>
      <c r="T341" s="676">
        <v>401676</v>
      </c>
      <c r="U341" s="676"/>
      <c r="V341" s="676">
        <v>357906</v>
      </c>
      <c r="W341" s="676"/>
      <c r="X341" s="676">
        <v>0</v>
      </c>
      <c r="Y341" s="676">
        <v>30634191</v>
      </c>
      <c r="Z341" s="676">
        <v>165024.54</v>
      </c>
      <c r="AA341" s="676"/>
      <c r="AB341" s="676">
        <v>210403</v>
      </c>
      <c r="AC341" s="676">
        <v>7362.33</v>
      </c>
      <c r="AD341" s="676"/>
      <c r="AE341" s="676">
        <v>2520</v>
      </c>
      <c r="AF341" s="676"/>
      <c r="AG341" s="676"/>
      <c r="AH341" s="676"/>
      <c r="AI341" s="676"/>
      <c r="AJ341" s="676"/>
      <c r="AK341" s="676"/>
      <c r="AL341" s="676"/>
      <c r="AM341" s="676"/>
      <c r="AN341" s="676"/>
      <c r="AO341" s="676">
        <v>0</v>
      </c>
      <c r="AP341" s="676">
        <v>467636</v>
      </c>
      <c r="AQ341" s="676">
        <v>76017</v>
      </c>
      <c r="AR341" s="676">
        <v>19864</v>
      </c>
      <c r="AS341" s="676">
        <v>63009</v>
      </c>
      <c r="AT341" s="676">
        <v>0</v>
      </c>
      <c r="AU341" s="676">
        <v>944317</v>
      </c>
      <c r="AV341" s="676"/>
      <c r="AW341" s="676"/>
      <c r="AX341" s="676">
        <v>588000</v>
      </c>
      <c r="AY341" s="676"/>
      <c r="AZ341" s="676">
        <v>0</v>
      </c>
      <c r="BA341" s="676">
        <v>418695</v>
      </c>
      <c r="BB341" s="676">
        <v>17258</v>
      </c>
      <c r="BC341" s="676">
        <v>42429</v>
      </c>
      <c r="BD341" s="676"/>
      <c r="BE341" s="676">
        <v>0</v>
      </c>
      <c r="BF341" s="676"/>
      <c r="BG341" s="676"/>
      <c r="BH341" s="676"/>
      <c r="BI341" s="676"/>
      <c r="BJ341" s="676">
        <v>450182</v>
      </c>
      <c r="BK341" s="676"/>
      <c r="BL341" s="676"/>
      <c r="BM341" s="676"/>
      <c r="BN341" s="676">
        <v>32484</v>
      </c>
      <c r="BO341" s="676"/>
      <c r="BP341" s="676"/>
      <c r="BQ341" s="676"/>
      <c r="BR341" s="676">
        <v>138</v>
      </c>
      <c r="BS341" s="676"/>
      <c r="BT341" s="676">
        <v>1369949</v>
      </c>
      <c r="BU341" s="676">
        <v>2963903</v>
      </c>
      <c r="BV341" s="676"/>
      <c r="BW341" s="676">
        <v>3743350</v>
      </c>
      <c r="BX341" s="676"/>
      <c r="BY341" s="676">
        <v>471245</v>
      </c>
      <c r="BZ341" s="676"/>
      <c r="CA341" s="676">
        <v>82142.320000000007</v>
      </c>
      <c r="CB341" s="676">
        <v>178217.66</v>
      </c>
      <c r="CC341" s="676"/>
      <c r="CD341" s="676"/>
      <c r="CE341" s="676"/>
      <c r="CF341" s="676"/>
      <c r="CG341" s="676"/>
    </row>
    <row r="342" spans="1:85" x14ac:dyDescent="0.25">
      <c r="A342" s="320" t="s">
        <v>1168</v>
      </c>
      <c r="B342" s="320" t="s">
        <v>1117</v>
      </c>
      <c r="C342" s="320"/>
      <c r="D342" s="320" t="s">
        <v>1169</v>
      </c>
      <c r="E342" s="320">
        <v>2016</v>
      </c>
      <c r="F342" s="404"/>
      <c r="G342" s="676"/>
      <c r="H342" s="676">
        <v>144238</v>
      </c>
      <c r="I342" s="676"/>
      <c r="J342" s="676"/>
      <c r="K342" s="676"/>
      <c r="L342" s="676"/>
      <c r="M342" s="676"/>
      <c r="N342" s="676"/>
      <c r="O342" s="676"/>
      <c r="P342" s="676"/>
      <c r="Q342" s="676"/>
      <c r="R342" s="676"/>
      <c r="S342" s="676">
        <v>53214</v>
      </c>
      <c r="T342" s="676"/>
      <c r="U342" s="676"/>
      <c r="V342" s="676"/>
      <c r="W342" s="676"/>
      <c r="X342" s="676">
        <v>0</v>
      </c>
      <c r="Y342" s="676"/>
      <c r="Z342" s="676">
        <v>0</v>
      </c>
      <c r="AA342" s="676"/>
      <c r="AB342" s="676"/>
      <c r="AC342" s="676">
        <v>0</v>
      </c>
      <c r="AD342" s="676"/>
      <c r="AE342" s="676"/>
      <c r="AF342" s="676"/>
      <c r="AG342" s="676"/>
      <c r="AH342" s="676"/>
      <c r="AI342" s="676"/>
      <c r="AJ342" s="676"/>
      <c r="AK342" s="676"/>
      <c r="AL342" s="676"/>
      <c r="AM342" s="676"/>
      <c r="AN342" s="676"/>
      <c r="AO342" s="676"/>
      <c r="AP342" s="676"/>
      <c r="AQ342" s="676"/>
      <c r="AR342" s="676">
        <v>276705</v>
      </c>
      <c r="AS342" s="676">
        <v>189936</v>
      </c>
      <c r="AT342" s="676">
        <v>0</v>
      </c>
      <c r="AU342" s="676"/>
      <c r="AV342" s="676"/>
      <c r="AW342" s="676"/>
      <c r="AX342" s="676">
        <v>204000</v>
      </c>
      <c r="AY342" s="676"/>
      <c r="AZ342" s="676">
        <v>0</v>
      </c>
      <c r="BA342" s="676"/>
      <c r="BB342" s="676"/>
      <c r="BC342" s="676"/>
      <c r="BD342" s="676"/>
      <c r="BE342" s="676">
        <v>0</v>
      </c>
      <c r="BF342" s="676"/>
      <c r="BG342" s="676"/>
      <c r="BH342" s="676"/>
      <c r="BI342" s="676"/>
      <c r="BJ342" s="676">
        <v>74</v>
      </c>
      <c r="BK342" s="676"/>
      <c r="BL342" s="676"/>
      <c r="BM342" s="676"/>
      <c r="BN342" s="676">
        <v>0</v>
      </c>
      <c r="BO342" s="676"/>
      <c r="BP342" s="676"/>
      <c r="BQ342" s="676"/>
      <c r="BR342" s="676"/>
      <c r="BS342" s="676"/>
      <c r="BT342" s="676">
        <v>21599</v>
      </c>
      <c r="BU342" s="676"/>
      <c r="BV342" s="676"/>
      <c r="BW342" s="676">
        <v>73953</v>
      </c>
      <c r="BX342" s="676"/>
      <c r="BY342" s="676">
        <v>1875</v>
      </c>
      <c r="BZ342" s="676"/>
      <c r="CA342" s="676"/>
      <c r="CB342" s="676"/>
      <c r="CC342" s="676"/>
      <c r="CD342" s="676"/>
      <c r="CE342" s="676"/>
      <c r="CF342" s="676"/>
      <c r="CG342" s="676"/>
    </row>
    <row r="343" spans="1:85" x14ac:dyDescent="0.25">
      <c r="A343" s="320" t="s">
        <v>1170</v>
      </c>
      <c r="B343" s="320" t="s">
        <v>1120</v>
      </c>
      <c r="C343" s="320"/>
      <c r="D343" s="320" t="s">
        <v>1171</v>
      </c>
      <c r="E343" s="320">
        <v>2016</v>
      </c>
      <c r="F343" s="404">
        <v>21053</v>
      </c>
      <c r="G343" s="676">
        <v>99588</v>
      </c>
      <c r="H343" s="676">
        <v>865556</v>
      </c>
      <c r="I343" s="676">
        <v>527738</v>
      </c>
      <c r="J343" s="676">
        <v>1493349</v>
      </c>
      <c r="K343" s="676">
        <v>977746</v>
      </c>
      <c r="L343" s="676">
        <v>250794</v>
      </c>
      <c r="M343" s="676">
        <v>24149596</v>
      </c>
      <c r="N343" s="676">
        <v>5956930</v>
      </c>
      <c r="O343" s="676">
        <v>13353856</v>
      </c>
      <c r="P343" s="676">
        <v>3064921</v>
      </c>
      <c r="Q343" s="676">
        <v>15045</v>
      </c>
      <c r="R343" s="676">
        <v>3999970</v>
      </c>
      <c r="S343" s="676">
        <v>29242437</v>
      </c>
      <c r="T343" s="676">
        <v>1814371</v>
      </c>
      <c r="U343" s="676"/>
      <c r="V343" s="676">
        <v>3155051</v>
      </c>
      <c r="W343" s="676">
        <v>352917</v>
      </c>
      <c r="X343" s="676">
        <v>31163.22</v>
      </c>
      <c r="Y343" s="676">
        <v>15198771</v>
      </c>
      <c r="Z343" s="676">
        <v>13333426.189999999</v>
      </c>
      <c r="AA343" s="676">
        <v>127855</v>
      </c>
      <c r="AB343" s="676">
        <v>27524320</v>
      </c>
      <c r="AC343" s="676">
        <v>418825.52</v>
      </c>
      <c r="AD343" s="676">
        <v>1895338</v>
      </c>
      <c r="AE343" s="676">
        <v>542646</v>
      </c>
      <c r="AF343" s="676">
        <v>1171763</v>
      </c>
      <c r="AG343" s="676">
        <v>37501</v>
      </c>
      <c r="AH343" s="676">
        <v>100889</v>
      </c>
      <c r="AI343" s="676">
        <v>245077</v>
      </c>
      <c r="AJ343" s="676">
        <v>88958</v>
      </c>
      <c r="AK343" s="676">
        <v>1974731</v>
      </c>
      <c r="AL343" s="676">
        <v>8465593</v>
      </c>
      <c r="AM343" s="676">
        <v>1516116</v>
      </c>
      <c r="AN343" s="676"/>
      <c r="AO343" s="676">
        <v>8977802</v>
      </c>
      <c r="AP343" s="676">
        <v>967209</v>
      </c>
      <c r="AQ343" s="676">
        <v>3303902</v>
      </c>
      <c r="AR343" s="676">
        <v>753746</v>
      </c>
      <c r="AS343" s="676">
        <v>385025</v>
      </c>
      <c r="AT343" s="676">
        <v>4896541.05</v>
      </c>
      <c r="AU343" s="676">
        <v>1593963</v>
      </c>
      <c r="AV343" s="676">
        <v>128188</v>
      </c>
      <c r="AW343" s="676">
        <v>353886</v>
      </c>
      <c r="AX343" s="676">
        <v>13976472</v>
      </c>
      <c r="AY343" s="676">
        <v>7342129</v>
      </c>
      <c r="AZ343" s="676">
        <v>44742</v>
      </c>
      <c r="BA343" s="676">
        <v>561446</v>
      </c>
      <c r="BB343" s="676">
        <v>5728321</v>
      </c>
      <c r="BC343" s="676">
        <v>2493967</v>
      </c>
      <c r="BD343" s="676">
        <v>35416762</v>
      </c>
      <c r="BE343" s="676">
        <v>91352.61</v>
      </c>
      <c r="BF343" s="676"/>
      <c r="BG343" s="676"/>
      <c r="BH343" s="676"/>
      <c r="BI343" s="676">
        <v>7943954</v>
      </c>
      <c r="BJ343" s="676">
        <v>3585656</v>
      </c>
      <c r="BK343" s="676">
        <v>94514</v>
      </c>
      <c r="BL343" s="676">
        <v>510578</v>
      </c>
      <c r="BM343" s="676"/>
      <c r="BN343" s="676">
        <v>4676185</v>
      </c>
      <c r="BO343" s="676">
        <v>133953</v>
      </c>
      <c r="BP343" s="676">
        <v>145139</v>
      </c>
      <c r="BQ343" s="676">
        <v>37764</v>
      </c>
      <c r="BR343" s="676">
        <v>115508</v>
      </c>
      <c r="BS343" s="676">
        <v>6264213</v>
      </c>
      <c r="BT343" s="676">
        <v>4899524</v>
      </c>
      <c r="BU343" s="676">
        <v>4635472</v>
      </c>
      <c r="BV343" s="676">
        <v>429430</v>
      </c>
      <c r="BW343" s="676">
        <v>5972792</v>
      </c>
      <c r="BX343" s="676">
        <v>1876346</v>
      </c>
      <c r="BY343" s="676">
        <v>1169988</v>
      </c>
      <c r="BZ343" s="676"/>
      <c r="CA343" s="676">
        <v>698226.13</v>
      </c>
      <c r="CB343" s="676">
        <v>5568314.9900000002</v>
      </c>
      <c r="CC343" s="676"/>
      <c r="CD343" s="676">
        <v>464075</v>
      </c>
      <c r="CE343" s="676"/>
      <c r="CF343" s="676"/>
      <c r="CG343" s="676"/>
    </row>
    <row r="344" spans="1:85" x14ac:dyDescent="0.25">
      <c r="A344" s="320" t="s">
        <v>1172</v>
      </c>
      <c r="B344" s="320" t="s">
        <v>976</v>
      </c>
      <c r="C344" s="320"/>
      <c r="D344" s="320" t="s">
        <v>1173</v>
      </c>
      <c r="E344" s="320">
        <v>2016</v>
      </c>
      <c r="F344" s="404"/>
      <c r="G344" s="676"/>
      <c r="H344" s="676"/>
      <c r="I344" s="676"/>
      <c r="J344" s="676"/>
      <c r="K344" s="676"/>
      <c r="L344" s="676"/>
      <c r="M344" s="676"/>
      <c r="N344" s="676"/>
      <c r="O344" s="676"/>
      <c r="P344" s="676"/>
      <c r="Q344" s="676"/>
      <c r="R344" s="676"/>
      <c r="S344" s="676"/>
      <c r="T344" s="676"/>
      <c r="U344" s="676"/>
      <c r="V344" s="676"/>
      <c r="W344" s="676"/>
      <c r="X344" s="676">
        <v>0</v>
      </c>
      <c r="Y344" s="676"/>
      <c r="Z344" s="676">
        <v>0</v>
      </c>
      <c r="AA344" s="676"/>
      <c r="AB344" s="676"/>
      <c r="AC344" s="676">
        <v>0</v>
      </c>
      <c r="AD344" s="676"/>
      <c r="AE344" s="676"/>
      <c r="AF344" s="676"/>
      <c r="AG344" s="676"/>
      <c r="AH344" s="676"/>
      <c r="AI344" s="676"/>
      <c r="AJ344" s="676"/>
      <c r="AK344" s="676"/>
      <c r="AL344" s="676"/>
      <c r="AM344" s="676"/>
      <c r="AN344" s="676"/>
      <c r="AO344" s="676"/>
      <c r="AP344" s="676"/>
      <c r="AQ344" s="676"/>
      <c r="AR344" s="676"/>
      <c r="AS344" s="676"/>
      <c r="AT344" s="676">
        <v>0</v>
      </c>
      <c r="AU344" s="676"/>
      <c r="AV344" s="676"/>
      <c r="AW344" s="676"/>
      <c r="AX344" s="676"/>
      <c r="AY344" s="676"/>
      <c r="AZ344" s="676">
        <v>0</v>
      </c>
      <c r="BA344" s="676"/>
      <c r="BB344" s="676"/>
      <c r="BC344" s="676"/>
      <c r="BD344" s="676"/>
      <c r="BE344" s="676">
        <v>0</v>
      </c>
      <c r="BF344" s="676"/>
      <c r="BG344" s="676"/>
      <c r="BH344" s="676"/>
      <c r="BI344" s="676"/>
      <c r="BJ344" s="676"/>
      <c r="BK344" s="676"/>
      <c r="BL344" s="676"/>
      <c r="BM344" s="676"/>
      <c r="BN344" s="676">
        <v>0</v>
      </c>
      <c r="BO344" s="676"/>
      <c r="BP344" s="676"/>
      <c r="BQ344" s="676"/>
      <c r="BR344" s="676"/>
      <c r="BS344" s="676"/>
      <c r="BT344" s="676"/>
      <c r="BU344" s="676"/>
      <c r="BV344" s="676"/>
      <c r="BW344" s="676"/>
      <c r="BX344" s="676"/>
      <c r="BY344" s="676"/>
      <c r="BZ344" s="676"/>
      <c r="CA344" s="676"/>
      <c r="CB344" s="676"/>
      <c r="CC344" s="676"/>
      <c r="CD344" s="676"/>
      <c r="CE344" s="676"/>
      <c r="CF344" s="676"/>
      <c r="CG344" s="676"/>
    </row>
    <row r="345" spans="1:85" x14ac:dyDescent="0.25">
      <c r="A345" s="320" t="s">
        <v>1174</v>
      </c>
      <c r="B345" s="320" t="s">
        <v>1125</v>
      </c>
      <c r="C345" s="320"/>
      <c r="D345" s="320" t="s">
        <v>1175</v>
      </c>
      <c r="E345" s="320">
        <v>2016</v>
      </c>
      <c r="F345" s="404"/>
      <c r="G345" s="676"/>
      <c r="H345" s="676">
        <v>742863</v>
      </c>
      <c r="I345" s="676">
        <v>1132138</v>
      </c>
      <c r="J345" s="676">
        <v>6058172</v>
      </c>
      <c r="K345" s="676"/>
      <c r="L345" s="676"/>
      <c r="M345" s="676"/>
      <c r="N345" s="676">
        <v>6695701</v>
      </c>
      <c r="O345" s="676"/>
      <c r="P345" s="676">
        <v>3417</v>
      </c>
      <c r="Q345" s="676"/>
      <c r="R345" s="676"/>
      <c r="S345" s="676">
        <v>832011</v>
      </c>
      <c r="T345" s="676"/>
      <c r="U345" s="676"/>
      <c r="V345" s="676"/>
      <c r="W345" s="676"/>
      <c r="X345" s="676">
        <v>0</v>
      </c>
      <c r="Y345" s="676"/>
      <c r="Z345" s="676">
        <v>0</v>
      </c>
      <c r="AA345" s="676"/>
      <c r="AB345" s="676"/>
      <c r="AC345" s="676">
        <v>0</v>
      </c>
      <c r="AD345" s="676"/>
      <c r="AE345" s="676"/>
      <c r="AF345" s="676"/>
      <c r="AG345" s="676"/>
      <c r="AH345" s="676"/>
      <c r="AI345" s="676"/>
      <c r="AJ345" s="676"/>
      <c r="AK345" s="676"/>
      <c r="AL345" s="676"/>
      <c r="AM345" s="676"/>
      <c r="AN345" s="676"/>
      <c r="AO345" s="676"/>
      <c r="AP345" s="676"/>
      <c r="AQ345" s="676"/>
      <c r="AR345" s="676">
        <v>2294597</v>
      </c>
      <c r="AS345" s="676">
        <v>1474082</v>
      </c>
      <c r="AT345" s="676">
        <v>0</v>
      </c>
      <c r="AU345" s="676">
        <v>2240</v>
      </c>
      <c r="AV345" s="676"/>
      <c r="AW345" s="676"/>
      <c r="AX345" s="676"/>
      <c r="AY345" s="676">
        <v>5171402</v>
      </c>
      <c r="AZ345" s="676">
        <v>0</v>
      </c>
      <c r="BA345" s="676"/>
      <c r="BB345" s="676">
        <v>1435845</v>
      </c>
      <c r="BC345" s="676"/>
      <c r="BD345" s="676"/>
      <c r="BE345" s="676">
        <v>0</v>
      </c>
      <c r="BF345" s="676"/>
      <c r="BG345" s="676"/>
      <c r="BH345" s="676"/>
      <c r="BI345" s="676"/>
      <c r="BJ345" s="676">
        <v>1007565</v>
      </c>
      <c r="BK345" s="676"/>
      <c r="BL345" s="676"/>
      <c r="BM345" s="676">
        <v>32104000</v>
      </c>
      <c r="BN345" s="676">
        <v>0</v>
      </c>
      <c r="BO345" s="676"/>
      <c r="BP345" s="676"/>
      <c r="BQ345" s="676"/>
      <c r="BR345" s="676"/>
      <c r="BS345" s="676">
        <v>2004000</v>
      </c>
      <c r="BT345" s="676"/>
      <c r="BU345" s="676">
        <v>1500000</v>
      </c>
      <c r="BV345" s="676"/>
      <c r="BW345" s="676"/>
      <c r="BX345" s="676"/>
      <c r="BY345" s="676">
        <v>836408</v>
      </c>
      <c r="BZ345" s="676"/>
      <c r="CA345" s="676"/>
      <c r="CB345" s="676"/>
      <c r="CC345" s="676">
        <v>71787000</v>
      </c>
      <c r="CD345" s="676"/>
      <c r="CE345" s="676"/>
      <c r="CF345" s="676"/>
      <c r="CG345" s="676"/>
    </row>
    <row r="346" spans="1:85" x14ac:dyDescent="0.25">
      <c r="A346" s="320" t="s">
        <v>1176</v>
      </c>
      <c r="B346" s="320" t="s">
        <v>1128</v>
      </c>
      <c r="C346" s="320"/>
      <c r="D346" s="320" t="s">
        <v>1177</v>
      </c>
      <c r="E346" s="320">
        <v>2016</v>
      </c>
      <c r="F346" s="404"/>
      <c r="G346" s="676"/>
      <c r="H346" s="676"/>
      <c r="I346" s="676"/>
      <c r="J346" s="676"/>
      <c r="K346" s="676"/>
      <c r="L346" s="676"/>
      <c r="M346" s="676"/>
      <c r="N346" s="676"/>
      <c r="O346" s="676"/>
      <c r="P346" s="676"/>
      <c r="Q346" s="676"/>
      <c r="R346" s="676"/>
      <c r="S346" s="676"/>
      <c r="T346" s="676"/>
      <c r="U346" s="676"/>
      <c r="V346" s="676"/>
      <c r="W346" s="676"/>
      <c r="X346" s="676">
        <v>0</v>
      </c>
      <c r="Y346" s="676"/>
      <c r="Z346" s="676">
        <v>0</v>
      </c>
      <c r="AA346" s="676"/>
      <c r="AB346" s="676"/>
      <c r="AC346" s="676">
        <v>0</v>
      </c>
      <c r="AD346" s="676"/>
      <c r="AE346" s="676"/>
      <c r="AF346" s="676"/>
      <c r="AG346" s="676"/>
      <c r="AH346" s="676"/>
      <c r="AI346" s="676"/>
      <c r="AJ346" s="676"/>
      <c r="AK346" s="676"/>
      <c r="AL346" s="676"/>
      <c r="AM346" s="676"/>
      <c r="AN346" s="676"/>
      <c r="AO346" s="676"/>
      <c r="AP346" s="676"/>
      <c r="AQ346" s="676"/>
      <c r="AR346" s="676"/>
      <c r="AS346" s="676"/>
      <c r="AT346" s="676">
        <v>0</v>
      </c>
      <c r="AU346" s="676"/>
      <c r="AV346" s="676"/>
      <c r="AW346" s="676"/>
      <c r="AX346" s="676"/>
      <c r="AY346" s="676">
        <v>1471130</v>
      </c>
      <c r="AZ346" s="676">
        <v>0</v>
      </c>
      <c r="BA346" s="676"/>
      <c r="BB346" s="676"/>
      <c r="BC346" s="676"/>
      <c r="BD346" s="676"/>
      <c r="BE346" s="676">
        <v>0</v>
      </c>
      <c r="BF346" s="676"/>
      <c r="BG346" s="676"/>
      <c r="BH346" s="676"/>
      <c r="BI346" s="676"/>
      <c r="BJ346" s="676"/>
      <c r="BK346" s="676"/>
      <c r="BL346" s="676"/>
      <c r="BM346" s="676"/>
      <c r="BN346" s="676">
        <v>0</v>
      </c>
      <c r="BO346" s="676"/>
      <c r="BP346" s="676"/>
      <c r="BQ346" s="676"/>
      <c r="BR346" s="676"/>
      <c r="BS346" s="676"/>
      <c r="BT346" s="676"/>
      <c r="BU346" s="676"/>
      <c r="BV346" s="676"/>
      <c r="BW346" s="676"/>
      <c r="BX346" s="676"/>
      <c r="BY346" s="676"/>
      <c r="BZ346" s="676"/>
      <c r="CA346" s="676"/>
      <c r="CB346" s="676"/>
      <c r="CC346" s="676"/>
      <c r="CD346" s="676"/>
      <c r="CE346" s="676"/>
      <c r="CF346" s="676"/>
      <c r="CG346" s="676">
        <v>22600000</v>
      </c>
    </row>
    <row r="347" spans="1:85" x14ac:dyDescent="0.25">
      <c r="A347" s="320" t="s">
        <v>1178</v>
      </c>
      <c r="B347" s="320" t="s">
        <v>1179</v>
      </c>
      <c r="C347" s="320"/>
      <c r="D347" s="320" t="s">
        <v>1180</v>
      </c>
      <c r="E347" s="320">
        <v>2016</v>
      </c>
      <c r="F347" s="404"/>
      <c r="G347" s="676"/>
      <c r="H347" s="676">
        <v>75071</v>
      </c>
      <c r="I347" s="676"/>
      <c r="J347" s="676"/>
      <c r="K347" s="676"/>
      <c r="L347" s="676"/>
      <c r="M347" s="676"/>
      <c r="N347" s="676"/>
      <c r="O347" s="676"/>
      <c r="P347" s="676"/>
      <c r="Q347" s="676"/>
      <c r="R347" s="676">
        <v>1651278</v>
      </c>
      <c r="S347" s="676"/>
      <c r="T347" s="676"/>
      <c r="U347" s="676"/>
      <c r="V347" s="676"/>
      <c r="W347" s="676"/>
      <c r="X347" s="676">
        <v>0</v>
      </c>
      <c r="Y347" s="676"/>
      <c r="Z347" s="676">
        <v>0</v>
      </c>
      <c r="AA347" s="676"/>
      <c r="AB347" s="676"/>
      <c r="AC347" s="676">
        <v>0</v>
      </c>
      <c r="AD347" s="676"/>
      <c r="AE347" s="676"/>
      <c r="AF347" s="676"/>
      <c r="AG347" s="676"/>
      <c r="AH347" s="676"/>
      <c r="AI347" s="676"/>
      <c r="AJ347" s="676"/>
      <c r="AK347" s="676"/>
      <c r="AL347" s="676"/>
      <c r="AM347" s="676"/>
      <c r="AN347" s="676"/>
      <c r="AO347" s="676"/>
      <c r="AP347" s="676"/>
      <c r="AQ347" s="676"/>
      <c r="AR347" s="676"/>
      <c r="AS347" s="676">
        <v>296729</v>
      </c>
      <c r="AT347" s="676">
        <v>0</v>
      </c>
      <c r="AU347" s="676"/>
      <c r="AV347" s="676"/>
      <c r="AW347" s="676"/>
      <c r="AX347" s="676">
        <v>275</v>
      </c>
      <c r="AY347" s="676"/>
      <c r="AZ347" s="676">
        <v>0</v>
      </c>
      <c r="BA347" s="676"/>
      <c r="BB347" s="676"/>
      <c r="BC347" s="676"/>
      <c r="BD347" s="676"/>
      <c r="BE347" s="676">
        <v>0</v>
      </c>
      <c r="BF347" s="676"/>
      <c r="BG347" s="676"/>
      <c r="BH347" s="676"/>
      <c r="BI347" s="676"/>
      <c r="BJ347" s="676"/>
      <c r="BK347" s="676"/>
      <c r="BL347" s="676"/>
      <c r="BM347" s="676"/>
      <c r="BN347" s="676">
        <v>0</v>
      </c>
      <c r="BO347" s="676"/>
      <c r="BP347" s="676"/>
      <c r="BQ347" s="676"/>
      <c r="BR347" s="676"/>
      <c r="BS347" s="676"/>
      <c r="BT347" s="676"/>
      <c r="BU347" s="676"/>
      <c r="BV347" s="676"/>
      <c r="BW347" s="676"/>
      <c r="BX347" s="676"/>
      <c r="BY347" s="676"/>
      <c r="BZ347" s="676"/>
      <c r="CA347" s="676"/>
      <c r="CB347" s="676"/>
      <c r="CC347" s="676"/>
      <c r="CD347" s="676"/>
      <c r="CE347" s="676"/>
      <c r="CF347" s="676"/>
      <c r="CG347" s="676"/>
    </row>
    <row r="348" spans="1:85" x14ac:dyDescent="0.25">
      <c r="A348" s="320" t="s">
        <v>1181</v>
      </c>
      <c r="B348" s="320" t="s">
        <v>1182</v>
      </c>
      <c r="C348" s="320"/>
      <c r="D348" s="320" t="s">
        <v>1183</v>
      </c>
      <c r="E348" s="320">
        <v>2016</v>
      </c>
      <c r="F348" s="404">
        <v>33444</v>
      </c>
      <c r="G348" s="676">
        <v>131634</v>
      </c>
      <c r="H348" s="676">
        <v>349422</v>
      </c>
      <c r="I348" s="676">
        <v>323312</v>
      </c>
      <c r="J348" s="676">
        <v>135619</v>
      </c>
      <c r="K348" s="676">
        <v>152133</v>
      </c>
      <c r="L348" s="676">
        <v>111028</v>
      </c>
      <c r="M348" s="676">
        <v>6733</v>
      </c>
      <c r="N348" s="676">
        <v>59097</v>
      </c>
      <c r="O348" s="676">
        <v>305802</v>
      </c>
      <c r="P348" s="676">
        <v>138477</v>
      </c>
      <c r="Q348" s="676">
        <v>17663</v>
      </c>
      <c r="R348" s="676">
        <v>121722</v>
      </c>
      <c r="S348" s="676">
        <v>222915</v>
      </c>
      <c r="T348" s="676">
        <v>371897</v>
      </c>
      <c r="U348" s="676">
        <v>5000000</v>
      </c>
      <c r="V348" s="676">
        <v>55048</v>
      </c>
      <c r="W348" s="676">
        <v>104264</v>
      </c>
      <c r="X348" s="676">
        <v>51855.78</v>
      </c>
      <c r="Y348" s="676"/>
      <c r="Z348" s="676">
        <v>1355092.16</v>
      </c>
      <c r="AA348" s="676">
        <v>99543</v>
      </c>
      <c r="AB348" s="676">
        <v>3141674</v>
      </c>
      <c r="AC348" s="676">
        <v>174740.92</v>
      </c>
      <c r="AD348" s="676">
        <v>228485</v>
      </c>
      <c r="AE348" s="676">
        <v>127004</v>
      </c>
      <c r="AF348" s="676">
        <v>480496</v>
      </c>
      <c r="AG348" s="676">
        <v>16538</v>
      </c>
      <c r="AH348" s="676">
        <v>51111</v>
      </c>
      <c r="AI348" s="676">
        <v>676</v>
      </c>
      <c r="AJ348" s="676">
        <v>14139</v>
      </c>
      <c r="AK348" s="676">
        <v>2296749</v>
      </c>
      <c r="AL348" s="676">
        <v>54670</v>
      </c>
      <c r="AM348" s="676">
        <v>623170</v>
      </c>
      <c r="AN348" s="676">
        <v>4237000</v>
      </c>
      <c r="AO348" s="676">
        <v>2604</v>
      </c>
      <c r="AP348" s="676">
        <v>901443</v>
      </c>
      <c r="AQ348" s="676">
        <v>1255180</v>
      </c>
      <c r="AR348" s="676">
        <v>493570</v>
      </c>
      <c r="AS348" s="676">
        <v>515960</v>
      </c>
      <c r="AT348" s="676">
        <v>451590.09</v>
      </c>
      <c r="AU348" s="676">
        <v>608905</v>
      </c>
      <c r="AV348" s="676">
        <v>167075</v>
      </c>
      <c r="AW348" s="676">
        <v>30886</v>
      </c>
      <c r="AX348" s="676">
        <v>116757</v>
      </c>
      <c r="AY348" s="676">
        <v>177091</v>
      </c>
      <c r="AZ348" s="676">
        <v>69859</v>
      </c>
      <c r="BA348" s="676">
        <v>304186</v>
      </c>
      <c r="BB348" s="676">
        <v>232623</v>
      </c>
      <c r="BC348" s="676">
        <v>490529</v>
      </c>
      <c r="BD348" s="676">
        <v>4517860</v>
      </c>
      <c r="BE348" s="676">
        <v>337719.03999999998</v>
      </c>
      <c r="BF348" s="676">
        <v>15628000</v>
      </c>
      <c r="BG348" s="676">
        <v>22028000</v>
      </c>
      <c r="BH348" s="676">
        <v>4820000</v>
      </c>
      <c r="BI348" s="676">
        <v>2464968</v>
      </c>
      <c r="BJ348" s="676">
        <v>59338</v>
      </c>
      <c r="BK348" s="676">
        <v>64920</v>
      </c>
      <c r="BL348" s="676">
        <v>48147</v>
      </c>
      <c r="BM348" s="676">
        <v>309000</v>
      </c>
      <c r="BN348" s="676">
        <v>436281</v>
      </c>
      <c r="BO348" s="676">
        <v>122349</v>
      </c>
      <c r="BP348" s="676">
        <v>425935</v>
      </c>
      <c r="BQ348" s="676">
        <v>29815</v>
      </c>
      <c r="BR348" s="676">
        <v>103827</v>
      </c>
      <c r="BS348" s="676">
        <v>145251</v>
      </c>
      <c r="BT348" s="676">
        <v>422093</v>
      </c>
      <c r="BU348" s="676">
        <v>18520</v>
      </c>
      <c r="BV348" s="676">
        <v>55405</v>
      </c>
      <c r="BW348" s="676">
        <v>654873</v>
      </c>
      <c r="BX348" s="676">
        <v>187426</v>
      </c>
      <c r="BY348" s="676">
        <v>451656</v>
      </c>
      <c r="BZ348" s="676"/>
      <c r="CA348" s="676">
        <v>338410.54</v>
      </c>
      <c r="CB348" s="676">
        <v>684494.12</v>
      </c>
      <c r="CC348" s="676"/>
      <c r="CD348" s="676">
        <v>15183</v>
      </c>
      <c r="CE348" s="676">
        <v>14188000</v>
      </c>
      <c r="CF348" s="676"/>
      <c r="CG348" s="676"/>
    </row>
    <row r="349" spans="1:85" x14ac:dyDescent="0.25">
      <c r="A349" s="320" t="s">
        <v>1184</v>
      </c>
      <c r="B349" s="320" t="s">
        <v>1185</v>
      </c>
      <c r="C349" s="320"/>
      <c r="D349" s="320" t="s">
        <v>1186</v>
      </c>
      <c r="E349" s="320">
        <v>2016</v>
      </c>
      <c r="F349" s="404">
        <v>18992</v>
      </c>
      <c r="G349" s="676">
        <v>86868</v>
      </c>
      <c r="H349" s="676">
        <v>237856</v>
      </c>
      <c r="I349" s="676">
        <v>202717</v>
      </c>
      <c r="J349" s="676">
        <v>96344</v>
      </c>
      <c r="K349" s="676">
        <v>99281</v>
      </c>
      <c r="L349" s="676">
        <v>70447</v>
      </c>
      <c r="M349" s="676"/>
      <c r="N349" s="676">
        <v>37090</v>
      </c>
      <c r="O349" s="676">
        <v>210293</v>
      </c>
      <c r="P349" s="676">
        <v>94132</v>
      </c>
      <c r="Q349" s="676">
        <v>10455</v>
      </c>
      <c r="R349" s="676">
        <v>75433</v>
      </c>
      <c r="S349" s="676">
        <v>47306</v>
      </c>
      <c r="T349" s="676">
        <v>222133</v>
      </c>
      <c r="U349" s="676">
        <v>2738000</v>
      </c>
      <c r="V349" s="676">
        <v>35135</v>
      </c>
      <c r="W349" s="676">
        <v>69127</v>
      </c>
      <c r="X349" s="676">
        <v>37139.5</v>
      </c>
      <c r="Y349" s="676"/>
      <c r="Z349" s="676">
        <v>849210.12</v>
      </c>
      <c r="AA349" s="676">
        <v>124405</v>
      </c>
      <c r="AB349" s="676">
        <v>3253384</v>
      </c>
      <c r="AC349" s="676">
        <v>104818.1</v>
      </c>
      <c r="AD349" s="676">
        <v>190277</v>
      </c>
      <c r="AE349" s="676">
        <v>137886</v>
      </c>
      <c r="AF349" s="676">
        <v>320651</v>
      </c>
      <c r="AG349" s="676">
        <v>11730</v>
      </c>
      <c r="AH349" s="676">
        <v>31951</v>
      </c>
      <c r="AI349" s="676"/>
      <c r="AJ349" s="676">
        <v>8845</v>
      </c>
      <c r="AK349" s="676">
        <v>1175004</v>
      </c>
      <c r="AL349" s="676">
        <v>34276</v>
      </c>
      <c r="AM349" s="676">
        <v>352808</v>
      </c>
      <c r="AN349" s="676">
        <v>1288000</v>
      </c>
      <c r="AO349" s="676">
        <v>684849</v>
      </c>
      <c r="AP349" s="676">
        <v>549371</v>
      </c>
      <c r="AQ349" s="676">
        <v>664357</v>
      </c>
      <c r="AR349" s="676">
        <v>290819</v>
      </c>
      <c r="AS349" s="676">
        <v>319600</v>
      </c>
      <c r="AT349" s="676">
        <v>301524.59000000003</v>
      </c>
      <c r="AU349" s="676">
        <v>367777</v>
      </c>
      <c r="AV349" s="676">
        <v>107100</v>
      </c>
      <c r="AW349" s="676">
        <v>19652</v>
      </c>
      <c r="AX349" s="676">
        <v>62370</v>
      </c>
      <c r="AY349" s="676">
        <v>68415</v>
      </c>
      <c r="AZ349" s="676">
        <v>22230</v>
      </c>
      <c r="BA349" s="676">
        <v>171334</v>
      </c>
      <c r="BB349" s="676">
        <v>142948</v>
      </c>
      <c r="BC349" s="676">
        <v>309000</v>
      </c>
      <c r="BD349" s="676">
        <v>640377</v>
      </c>
      <c r="BE349" s="676">
        <v>234405.43</v>
      </c>
      <c r="BF349" s="676">
        <v>7296000</v>
      </c>
      <c r="BG349" s="676">
        <v>4661000</v>
      </c>
      <c r="BH349" s="676">
        <v>13568000</v>
      </c>
      <c r="BI349" s="676">
        <v>1801482</v>
      </c>
      <c r="BJ349" s="676">
        <v>44044</v>
      </c>
      <c r="BK349" s="676">
        <v>40979</v>
      </c>
      <c r="BL349" s="676">
        <v>33203</v>
      </c>
      <c r="BM349" s="676">
        <v>204000</v>
      </c>
      <c r="BN349" s="676">
        <v>291281</v>
      </c>
      <c r="BO349" s="676">
        <v>81095</v>
      </c>
      <c r="BP349" s="676">
        <v>198018</v>
      </c>
      <c r="BQ349" s="676">
        <v>18715</v>
      </c>
      <c r="BR349" s="676">
        <v>68677</v>
      </c>
      <c r="BS349" s="676">
        <v>180588</v>
      </c>
      <c r="BT349" s="676">
        <v>243907</v>
      </c>
      <c r="BU349" s="676">
        <v>17568</v>
      </c>
      <c r="BV349" s="676">
        <v>34167</v>
      </c>
      <c r="BW349" s="676">
        <v>466386</v>
      </c>
      <c r="BX349" s="676">
        <v>140114</v>
      </c>
      <c r="BY349" s="676">
        <v>266339</v>
      </c>
      <c r="BZ349" s="676"/>
      <c r="CA349" s="676">
        <v>232132.87</v>
      </c>
      <c r="CB349" s="676">
        <v>720402.75</v>
      </c>
      <c r="CC349" s="676"/>
      <c r="CD349" s="676">
        <v>16902</v>
      </c>
      <c r="CE349" s="676"/>
      <c r="CF349" s="676"/>
      <c r="CG349" s="676"/>
    </row>
    <row r="350" spans="1:85" x14ac:dyDescent="0.25">
      <c r="A350" s="320" t="s">
        <v>1187</v>
      </c>
      <c r="B350" s="320" t="s">
        <v>1188</v>
      </c>
      <c r="C350" s="320"/>
      <c r="D350" s="320" t="s">
        <v>1189</v>
      </c>
      <c r="E350" s="320">
        <v>2016</v>
      </c>
      <c r="F350" s="404">
        <v>23419</v>
      </c>
      <c r="G350" s="676">
        <v>23277</v>
      </c>
      <c r="H350" s="676">
        <v>74331</v>
      </c>
      <c r="I350" s="676">
        <v>117426</v>
      </c>
      <c r="J350" s="676">
        <v>84664</v>
      </c>
      <c r="K350" s="676">
        <v>115371</v>
      </c>
      <c r="L350" s="676">
        <v>54552</v>
      </c>
      <c r="M350" s="676">
        <v>300</v>
      </c>
      <c r="N350" s="676">
        <v>2835019</v>
      </c>
      <c r="O350" s="676">
        <v>229713</v>
      </c>
      <c r="P350" s="676">
        <v>21345</v>
      </c>
      <c r="Q350" s="676">
        <v>11006</v>
      </c>
      <c r="R350" s="676">
        <v>42433</v>
      </c>
      <c r="S350" s="676">
        <v>4700515</v>
      </c>
      <c r="T350" s="676">
        <v>69325</v>
      </c>
      <c r="U350" s="676">
        <v>15627000</v>
      </c>
      <c r="V350" s="676">
        <v>119645</v>
      </c>
      <c r="W350" s="676">
        <v>42431</v>
      </c>
      <c r="X350" s="676">
        <v>19208.13</v>
      </c>
      <c r="Y350" s="676">
        <v>4118042</v>
      </c>
      <c r="Z350" s="676">
        <v>293066.92</v>
      </c>
      <c r="AA350" s="676">
        <v>61509</v>
      </c>
      <c r="AB350" s="676">
        <v>856042</v>
      </c>
      <c r="AC350" s="676">
        <v>34847.78</v>
      </c>
      <c r="AD350" s="676">
        <v>218846</v>
      </c>
      <c r="AE350" s="676">
        <v>38121</v>
      </c>
      <c r="AF350" s="676">
        <v>85311</v>
      </c>
      <c r="AG350" s="676">
        <v>526226</v>
      </c>
      <c r="AH350" s="676">
        <v>10747</v>
      </c>
      <c r="AI350" s="676">
        <v>4264</v>
      </c>
      <c r="AJ350" s="676">
        <v>6236</v>
      </c>
      <c r="AK350" s="676">
        <v>864240</v>
      </c>
      <c r="AL350" s="676">
        <v>502551</v>
      </c>
      <c r="AM350" s="676">
        <v>148321</v>
      </c>
      <c r="AN350" s="676">
        <v>282000</v>
      </c>
      <c r="AO350" s="676">
        <v>283430</v>
      </c>
      <c r="AP350" s="676">
        <v>161144</v>
      </c>
      <c r="AQ350" s="676">
        <v>206793</v>
      </c>
      <c r="AR350" s="676">
        <v>284958</v>
      </c>
      <c r="AS350" s="676">
        <v>74343</v>
      </c>
      <c r="AT350" s="676">
        <v>126782.45</v>
      </c>
      <c r="AU350" s="676">
        <v>106194</v>
      </c>
      <c r="AV350" s="676">
        <v>26993</v>
      </c>
      <c r="AW350" s="676">
        <v>50202</v>
      </c>
      <c r="AX350" s="676">
        <v>371649</v>
      </c>
      <c r="AY350" s="676">
        <v>127123</v>
      </c>
      <c r="AZ350" s="676">
        <v>83520</v>
      </c>
      <c r="BA350" s="676">
        <v>43295</v>
      </c>
      <c r="BB350" s="676">
        <v>473050</v>
      </c>
      <c r="BC350" s="676">
        <v>122934</v>
      </c>
      <c r="BD350" s="676">
        <v>0</v>
      </c>
      <c r="BE350" s="676">
        <v>93964.68</v>
      </c>
      <c r="BF350" s="676">
        <v>1368000</v>
      </c>
      <c r="BG350" s="676">
        <v>2984000</v>
      </c>
      <c r="BH350" s="676">
        <v>2825000</v>
      </c>
      <c r="BI350" s="676">
        <v>1028904</v>
      </c>
      <c r="BJ350" s="676">
        <v>130511</v>
      </c>
      <c r="BK350" s="676">
        <v>9413</v>
      </c>
      <c r="BL350" s="676">
        <v>46518</v>
      </c>
      <c r="BM350" s="676">
        <v>3150000</v>
      </c>
      <c r="BN350" s="676">
        <v>387431</v>
      </c>
      <c r="BO350" s="676">
        <v>21949</v>
      </c>
      <c r="BP350" s="676">
        <v>201352</v>
      </c>
      <c r="BQ350" s="676">
        <v>13984</v>
      </c>
      <c r="BR350" s="676">
        <v>41755</v>
      </c>
      <c r="BS350" s="676">
        <v>1323057</v>
      </c>
      <c r="BT350" s="676">
        <v>721459</v>
      </c>
      <c r="BU350" s="676">
        <v>1027602</v>
      </c>
      <c r="BV350" s="676">
        <v>14268</v>
      </c>
      <c r="BW350" s="676">
        <v>434796</v>
      </c>
      <c r="BX350" s="676">
        <v>34644</v>
      </c>
      <c r="BY350" s="676">
        <v>96856</v>
      </c>
      <c r="BZ350" s="676"/>
      <c r="CA350" s="676">
        <v>116070.94</v>
      </c>
      <c r="CB350" s="676">
        <v>678874.4</v>
      </c>
      <c r="CC350" s="676">
        <v>0</v>
      </c>
      <c r="CD350" s="676">
        <v>10271</v>
      </c>
      <c r="CE350" s="676">
        <v>8621000</v>
      </c>
      <c r="CF350" s="676">
        <v>0</v>
      </c>
      <c r="CG350" s="676">
        <v>731000</v>
      </c>
    </row>
    <row r="351" spans="1:85" x14ac:dyDescent="0.25">
      <c r="A351" s="320" t="s">
        <v>1190</v>
      </c>
      <c r="B351" s="320" t="s">
        <v>1191</v>
      </c>
      <c r="C351" s="320"/>
      <c r="D351" s="320" t="s">
        <v>1192</v>
      </c>
      <c r="E351" s="320">
        <v>2016</v>
      </c>
      <c r="F351" s="404"/>
      <c r="G351" s="676"/>
      <c r="H351" s="676"/>
      <c r="I351" s="676"/>
      <c r="J351" s="676"/>
      <c r="K351" s="676"/>
      <c r="L351" s="676"/>
      <c r="M351" s="676">
        <v>12254</v>
      </c>
      <c r="N351" s="676"/>
      <c r="O351" s="676">
        <v>0</v>
      </c>
      <c r="P351" s="676"/>
      <c r="Q351" s="676"/>
      <c r="R351" s="676"/>
      <c r="S351" s="676"/>
      <c r="T351" s="676"/>
      <c r="U351" s="676"/>
      <c r="V351" s="676"/>
      <c r="W351" s="676"/>
      <c r="X351" s="676">
        <v>0</v>
      </c>
      <c r="Y351" s="676">
        <v>962771</v>
      </c>
      <c r="Z351" s="676">
        <v>0</v>
      </c>
      <c r="AA351" s="676"/>
      <c r="AB351" s="676"/>
      <c r="AC351" s="676">
        <v>0</v>
      </c>
      <c r="AD351" s="676"/>
      <c r="AE351" s="676"/>
      <c r="AF351" s="676"/>
      <c r="AG351" s="676"/>
      <c r="AH351" s="676"/>
      <c r="AI351" s="676"/>
      <c r="AJ351" s="676"/>
      <c r="AK351" s="676"/>
      <c r="AL351" s="676"/>
      <c r="AM351" s="676"/>
      <c r="AN351" s="676"/>
      <c r="AO351" s="676"/>
      <c r="AP351" s="676"/>
      <c r="AQ351" s="676"/>
      <c r="AR351" s="676"/>
      <c r="AS351" s="676"/>
      <c r="AT351" s="676">
        <v>0</v>
      </c>
      <c r="AU351" s="676"/>
      <c r="AV351" s="676"/>
      <c r="AW351" s="676"/>
      <c r="AX351" s="676"/>
      <c r="AY351" s="676"/>
      <c r="AZ351" s="676">
        <v>0</v>
      </c>
      <c r="BA351" s="676"/>
      <c r="BB351" s="676"/>
      <c r="BC351" s="676"/>
      <c r="BD351" s="676"/>
      <c r="BE351" s="676">
        <v>0</v>
      </c>
      <c r="BF351" s="676"/>
      <c r="BG351" s="676">
        <v>273610000</v>
      </c>
      <c r="BH351" s="676">
        <v>153908000</v>
      </c>
      <c r="BI351" s="676"/>
      <c r="BJ351" s="676"/>
      <c r="BK351" s="676"/>
      <c r="BL351" s="676"/>
      <c r="BM351" s="676"/>
      <c r="BN351" s="676">
        <v>0</v>
      </c>
      <c r="BO351" s="676"/>
      <c r="BP351" s="676"/>
      <c r="BQ351" s="676"/>
      <c r="BR351" s="676"/>
      <c r="BS351" s="676"/>
      <c r="BT351" s="676"/>
      <c r="BU351" s="676"/>
      <c r="BV351" s="676"/>
      <c r="BW351" s="676"/>
      <c r="BX351" s="676"/>
      <c r="BY351" s="676"/>
      <c r="BZ351" s="676"/>
      <c r="CA351" s="676"/>
      <c r="CB351" s="676"/>
      <c r="CC351" s="676"/>
      <c r="CD351" s="676"/>
      <c r="CE351" s="676"/>
      <c r="CF351" s="676"/>
      <c r="CG351" s="676"/>
    </row>
    <row r="352" spans="1:85" x14ac:dyDescent="0.25">
      <c r="A352" s="320" t="s">
        <v>1193</v>
      </c>
      <c r="B352" s="320" t="s">
        <v>1194</v>
      </c>
      <c r="C352" s="320"/>
      <c r="D352" s="320" t="s">
        <v>1195</v>
      </c>
      <c r="E352" s="320">
        <v>2016</v>
      </c>
      <c r="F352" s="404">
        <v>6800</v>
      </c>
      <c r="G352" s="676">
        <v>192564</v>
      </c>
      <c r="H352" s="676">
        <v>9363</v>
      </c>
      <c r="I352" s="676">
        <v>1094218</v>
      </c>
      <c r="J352" s="676">
        <v>12850</v>
      </c>
      <c r="K352" s="676">
        <v>105285</v>
      </c>
      <c r="L352" s="676">
        <v>5702</v>
      </c>
      <c r="M352" s="676">
        <v>6595</v>
      </c>
      <c r="N352" s="676">
        <v>3165</v>
      </c>
      <c r="O352" s="676">
        <v>244962</v>
      </c>
      <c r="P352" s="676">
        <v>4990</v>
      </c>
      <c r="Q352" s="676">
        <v>45</v>
      </c>
      <c r="R352" s="676">
        <v>360526</v>
      </c>
      <c r="S352" s="676">
        <v>24128</v>
      </c>
      <c r="T352" s="676">
        <v>2486548</v>
      </c>
      <c r="U352" s="676">
        <v>19084000</v>
      </c>
      <c r="V352" s="676"/>
      <c r="W352" s="676">
        <v>6414</v>
      </c>
      <c r="X352" s="676">
        <v>414.61</v>
      </c>
      <c r="Y352" s="676">
        <v>25000</v>
      </c>
      <c r="Z352" s="676">
        <v>588067.73</v>
      </c>
      <c r="AA352" s="676">
        <v>4766</v>
      </c>
      <c r="AB352" s="676">
        <v>2277092</v>
      </c>
      <c r="AC352" s="676">
        <v>1376.66</v>
      </c>
      <c r="AD352" s="676">
        <v>7447</v>
      </c>
      <c r="AE352" s="676">
        <v>22506</v>
      </c>
      <c r="AF352" s="676">
        <v>284356</v>
      </c>
      <c r="AG352" s="676">
        <v>116232</v>
      </c>
      <c r="AH352" s="676">
        <v>15557</v>
      </c>
      <c r="AI352" s="676">
        <v>35632</v>
      </c>
      <c r="AJ352" s="676">
        <v>148906</v>
      </c>
      <c r="AK352" s="676">
        <v>1995447</v>
      </c>
      <c r="AL352" s="676">
        <v>484400</v>
      </c>
      <c r="AM352" s="676">
        <v>22317</v>
      </c>
      <c r="AN352" s="676">
        <v>917000</v>
      </c>
      <c r="AO352" s="676">
        <v>1090771</v>
      </c>
      <c r="AP352" s="676">
        <v>88782</v>
      </c>
      <c r="AQ352" s="676">
        <v>7073</v>
      </c>
      <c r="AR352" s="676">
        <v>49110</v>
      </c>
      <c r="AS352" s="676">
        <v>10355</v>
      </c>
      <c r="AT352" s="676">
        <v>218925.38</v>
      </c>
      <c r="AU352" s="676">
        <v>47131</v>
      </c>
      <c r="AV352" s="676">
        <v>4961</v>
      </c>
      <c r="AW352" s="676"/>
      <c r="AX352" s="676">
        <v>2115</v>
      </c>
      <c r="AY352" s="676">
        <v>176842</v>
      </c>
      <c r="AZ352" s="676">
        <v>1340</v>
      </c>
      <c r="BA352" s="676">
        <v>34025</v>
      </c>
      <c r="BB352" s="676">
        <v>894</v>
      </c>
      <c r="BC352" s="676">
        <v>5211468</v>
      </c>
      <c r="BD352" s="676">
        <v>9639839</v>
      </c>
      <c r="BE352" s="676">
        <v>474304.47</v>
      </c>
      <c r="BF352" s="676">
        <v>3410000</v>
      </c>
      <c r="BG352" s="676">
        <v>13483000</v>
      </c>
      <c r="BH352" s="676"/>
      <c r="BI352" s="676">
        <v>7196290</v>
      </c>
      <c r="BJ352" s="676">
        <v>2205799</v>
      </c>
      <c r="BK352" s="676">
        <v>2406</v>
      </c>
      <c r="BL352" s="676">
        <v>32796</v>
      </c>
      <c r="BM352" s="676">
        <v>1006000</v>
      </c>
      <c r="BN352" s="676">
        <v>2224</v>
      </c>
      <c r="BO352" s="676">
        <v>400</v>
      </c>
      <c r="BP352" s="676">
        <v>5715</v>
      </c>
      <c r="BQ352" s="676">
        <v>45568</v>
      </c>
      <c r="BR352" s="676">
        <v>3422</v>
      </c>
      <c r="BS352" s="676">
        <v>3184794</v>
      </c>
      <c r="BT352" s="676">
        <v>-31425</v>
      </c>
      <c r="BU352" s="676">
        <v>207124</v>
      </c>
      <c r="BV352" s="676">
        <v>2835</v>
      </c>
      <c r="BW352" s="676">
        <v>450055</v>
      </c>
      <c r="BX352" s="676">
        <v>121364</v>
      </c>
      <c r="BY352" s="676">
        <v>80268</v>
      </c>
      <c r="BZ352" s="676">
        <v>100226000</v>
      </c>
      <c r="CA352" s="676">
        <v>15764.23</v>
      </c>
      <c r="CB352" s="676">
        <v>4283.2700000000004</v>
      </c>
      <c r="CC352" s="676">
        <v>3343000</v>
      </c>
      <c r="CD352" s="676">
        <v>508</v>
      </c>
      <c r="CE352" s="676">
        <v>9957000</v>
      </c>
      <c r="CF352" s="676">
        <v>13069000</v>
      </c>
      <c r="CG352" s="676"/>
    </row>
    <row r="353" spans="1:85" x14ac:dyDescent="0.25">
      <c r="A353" s="320" t="s">
        <v>1032</v>
      </c>
      <c r="B353" s="320" t="s">
        <v>1415</v>
      </c>
      <c r="C353" s="320" t="s">
        <v>1416</v>
      </c>
      <c r="D353" s="320" t="s">
        <v>1196</v>
      </c>
      <c r="E353" s="320">
        <v>2016</v>
      </c>
      <c r="F353" s="404">
        <v>13329</v>
      </c>
      <c r="G353" s="676">
        <v>85098</v>
      </c>
      <c r="H353" s="676">
        <v>231849</v>
      </c>
      <c r="I353" s="676">
        <v>184497</v>
      </c>
      <c r="J353" s="676">
        <v>253924</v>
      </c>
      <c r="K353" s="676">
        <v>64329</v>
      </c>
      <c r="L353" s="676">
        <v>392269</v>
      </c>
      <c r="M353" s="676">
        <v>422465</v>
      </c>
      <c r="N353" s="676">
        <v>919925</v>
      </c>
      <c r="O353" s="676">
        <v>1237126</v>
      </c>
      <c r="P353" s="676">
        <v>409218</v>
      </c>
      <c r="Q353" s="676">
        <v>19654</v>
      </c>
      <c r="R353" s="676">
        <v>775607</v>
      </c>
      <c r="S353" s="676">
        <v>313181</v>
      </c>
      <c r="T353" s="676">
        <v>201332</v>
      </c>
      <c r="U353" s="676">
        <v>126000</v>
      </c>
      <c r="V353" s="676">
        <v>245692</v>
      </c>
      <c r="W353" s="676">
        <v>85093</v>
      </c>
      <c r="X353" s="676">
        <v>43107.37</v>
      </c>
      <c r="Y353" s="676">
        <v>107106</v>
      </c>
      <c r="Z353" s="676">
        <v>98367891.299999997</v>
      </c>
      <c r="AA353" s="676">
        <v>272990</v>
      </c>
      <c r="AB353" s="676">
        <v>14740339</v>
      </c>
      <c r="AC353" s="676">
        <v>89303.82</v>
      </c>
      <c r="AD353" s="676">
        <v>712372</v>
      </c>
      <c r="AE353" s="676">
        <v>679934</v>
      </c>
      <c r="AF353" s="676">
        <v>2158476</v>
      </c>
      <c r="AG353" s="676">
        <v>702563</v>
      </c>
      <c r="AH353" s="676">
        <v>91358</v>
      </c>
      <c r="AI353" s="676">
        <v>19301</v>
      </c>
      <c r="AJ353" s="676">
        <v>11989</v>
      </c>
      <c r="AK353" s="676">
        <v>2338813</v>
      </c>
      <c r="AL353" s="676">
        <v>59817</v>
      </c>
      <c r="AM353" s="676">
        <v>597842</v>
      </c>
      <c r="AN353" s="676">
        <v>15484000</v>
      </c>
      <c r="AO353" s="676">
        <v>478957</v>
      </c>
      <c r="AP353" s="676">
        <v>392953</v>
      </c>
      <c r="AQ353" s="676">
        <v>672925</v>
      </c>
      <c r="AR353" s="676">
        <v>381314</v>
      </c>
      <c r="AS353" s="676">
        <v>430746</v>
      </c>
      <c r="AT353" s="676">
        <v>331908.47999999998</v>
      </c>
      <c r="AU353" s="676">
        <v>355711</v>
      </c>
      <c r="AV353" s="676">
        <v>73452</v>
      </c>
      <c r="AW353" s="676">
        <v>16835</v>
      </c>
      <c r="AX353" s="676">
        <v>57995</v>
      </c>
      <c r="AY353" s="676">
        <v>214551</v>
      </c>
      <c r="AZ353" s="676">
        <v>47163</v>
      </c>
      <c r="BA353" s="676">
        <v>175357</v>
      </c>
      <c r="BB353" s="676">
        <v>426246</v>
      </c>
      <c r="BC353" s="676">
        <v>648112</v>
      </c>
      <c r="BD353" s="676">
        <v>64843</v>
      </c>
      <c r="BE353" s="676">
        <v>877845.39</v>
      </c>
      <c r="BF353" s="676">
        <v>1147000</v>
      </c>
      <c r="BG353" s="676">
        <v>56118000</v>
      </c>
      <c r="BH353" s="676">
        <v>19718000</v>
      </c>
      <c r="BI353" s="676">
        <v>2308541</v>
      </c>
      <c r="BJ353" s="676">
        <v>1018465</v>
      </c>
      <c r="BK353" s="676">
        <v>39022</v>
      </c>
      <c r="BL353" s="676">
        <v>91112</v>
      </c>
      <c r="BM353" s="676">
        <v>24000</v>
      </c>
      <c r="BN353" s="676">
        <v>574178</v>
      </c>
      <c r="BO353" s="676">
        <v>56112</v>
      </c>
      <c r="BP353" s="676">
        <v>210616</v>
      </c>
      <c r="BQ353" s="676">
        <v>20016</v>
      </c>
      <c r="BR353" s="676">
        <v>207024</v>
      </c>
      <c r="BS353" s="676">
        <v>6351711</v>
      </c>
      <c r="BT353" s="676">
        <v>720399</v>
      </c>
      <c r="BU353" s="676">
        <v>112252</v>
      </c>
      <c r="BV353" s="676">
        <v>331460</v>
      </c>
      <c r="BW353" s="676">
        <v>1226597</v>
      </c>
      <c r="BX353" s="676">
        <v>1834824</v>
      </c>
      <c r="BY353" s="676">
        <v>439340</v>
      </c>
      <c r="BZ353" s="676">
        <v>37000</v>
      </c>
      <c r="CA353" s="676">
        <v>314713.58</v>
      </c>
      <c r="CB353" s="676">
        <v>1889739.89</v>
      </c>
      <c r="CC353" s="676"/>
      <c r="CD353" s="676">
        <v>20645</v>
      </c>
      <c r="CE353" s="676">
        <v>2230000</v>
      </c>
      <c r="CF353" s="676">
        <v>3503000</v>
      </c>
      <c r="CG353" s="676">
        <v>18848000</v>
      </c>
    </row>
    <row r="354" spans="1:85" x14ac:dyDescent="0.25">
      <c r="A354" s="320" t="s">
        <v>1034</v>
      </c>
      <c r="B354" s="320" t="s">
        <v>1156</v>
      </c>
      <c r="C354" s="320"/>
      <c r="D354" s="320" t="s">
        <v>1197</v>
      </c>
      <c r="E354" s="320">
        <v>2016</v>
      </c>
      <c r="F354" s="404">
        <v>11429</v>
      </c>
      <c r="G354" s="676">
        <v>67851</v>
      </c>
      <c r="H354" s="676">
        <v>119255</v>
      </c>
      <c r="I354" s="676">
        <v>56162</v>
      </c>
      <c r="J354" s="676">
        <v>71630</v>
      </c>
      <c r="K354" s="676">
        <v>57679</v>
      </c>
      <c r="L354" s="676">
        <v>89997</v>
      </c>
      <c r="M354" s="676">
        <v>162917</v>
      </c>
      <c r="N354" s="676">
        <v>87770</v>
      </c>
      <c r="O354" s="676">
        <v>78101</v>
      </c>
      <c r="P354" s="676">
        <v>36118</v>
      </c>
      <c r="Q354" s="676">
        <v>15814</v>
      </c>
      <c r="R354" s="676">
        <v>134392</v>
      </c>
      <c r="S354" s="676">
        <v>98004</v>
      </c>
      <c r="T354" s="676">
        <v>194833</v>
      </c>
      <c r="U354" s="676"/>
      <c r="V354" s="676">
        <v>44590</v>
      </c>
      <c r="W354" s="676">
        <v>40438</v>
      </c>
      <c r="X354" s="676">
        <v>43107.37</v>
      </c>
      <c r="Y354" s="676"/>
      <c r="Z354" s="676">
        <v>656788</v>
      </c>
      <c r="AA354" s="676">
        <v>102956</v>
      </c>
      <c r="AB354" s="676">
        <v>5272349</v>
      </c>
      <c r="AC354" s="676">
        <v>76654.16</v>
      </c>
      <c r="AD354" s="676">
        <v>96785</v>
      </c>
      <c r="AE354" s="676">
        <v>101766</v>
      </c>
      <c r="AF354" s="676">
        <v>400450</v>
      </c>
      <c r="AG354" s="676">
        <v>22168</v>
      </c>
      <c r="AH354" s="676">
        <v>47341</v>
      </c>
      <c r="AI354" s="676">
        <v>16531</v>
      </c>
      <c r="AJ354" s="676">
        <v>10970</v>
      </c>
      <c r="AK354" s="676">
        <v>1137867</v>
      </c>
      <c r="AL354" s="676">
        <v>51966</v>
      </c>
      <c r="AM354" s="676">
        <v>76060</v>
      </c>
      <c r="AN354" s="676"/>
      <c r="AO354" s="676">
        <v>478957</v>
      </c>
      <c r="AP354" s="676">
        <v>57527</v>
      </c>
      <c r="AQ354" s="676">
        <v>152543</v>
      </c>
      <c r="AR354" s="676">
        <v>97334</v>
      </c>
      <c r="AS354" s="676">
        <v>163560</v>
      </c>
      <c r="AT354" s="676">
        <v>228591.08</v>
      </c>
      <c r="AU354" s="676">
        <v>355711</v>
      </c>
      <c r="AV354" s="676">
        <v>73452</v>
      </c>
      <c r="AW354" s="676">
        <v>15570</v>
      </c>
      <c r="AX354" s="676">
        <v>51345</v>
      </c>
      <c r="AY354" s="676">
        <v>68499</v>
      </c>
      <c r="AZ354" s="676">
        <v>47163</v>
      </c>
      <c r="BA354" s="676">
        <v>149207</v>
      </c>
      <c r="BB354" s="676">
        <v>93972</v>
      </c>
      <c r="BC354" s="676">
        <v>385603</v>
      </c>
      <c r="BD354" s="676"/>
      <c r="BE354" s="676">
        <v>159059.35999999999</v>
      </c>
      <c r="BF354" s="676"/>
      <c r="BG354" s="676"/>
      <c r="BH354" s="676"/>
      <c r="BI354" s="676">
        <v>1282996</v>
      </c>
      <c r="BJ354" s="676">
        <v>982434</v>
      </c>
      <c r="BK354" s="676">
        <v>31626</v>
      </c>
      <c r="BL354" s="676">
        <v>21379</v>
      </c>
      <c r="BM354" s="676"/>
      <c r="BN354" s="676">
        <v>290085</v>
      </c>
      <c r="BO354" s="676">
        <v>46319</v>
      </c>
      <c r="BP354" s="676">
        <v>11956</v>
      </c>
      <c r="BQ354" s="676">
        <v>16616</v>
      </c>
      <c r="BR354" s="676">
        <v>22913</v>
      </c>
      <c r="BS354" s="676">
        <v>145934</v>
      </c>
      <c r="BT354" s="676">
        <v>312637</v>
      </c>
      <c r="BU354" s="676">
        <v>10912</v>
      </c>
      <c r="BV354" s="676">
        <v>20594</v>
      </c>
      <c r="BW354" s="676">
        <v>305954</v>
      </c>
      <c r="BX354" s="676">
        <v>1834824</v>
      </c>
      <c r="BY354" s="676">
        <v>385478</v>
      </c>
      <c r="BZ354" s="676"/>
      <c r="CA354" s="676">
        <v>190845.66</v>
      </c>
      <c r="CB354" s="676">
        <v>294812.14</v>
      </c>
      <c r="CC354" s="676"/>
      <c r="CD354" s="676">
        <v>10045</v>
      </c>
      <c r="CE354" s="676"/>
      <c r="CF354" s="676"/>
      <c r="CG354" s="676"/>
    </row>
    <row r="355" spans="1:85" x14ac:dyDescent="0.25">
      <c r="A355" s="320" t="s">
        <v>1037</v>
      </c>
      <c r="B355" s="320" t="s">
        <v>1159</v>
      </c>
      <c r="C355" s="320"/>
      <c r="D355" s="320" t="s">
        <v>1198</v>
      </c>
      <c r="E355" s="320">
        <v>2016</v>
      </c>
      <c r="F355" s="404">
        <v>1900</v>
      </c>
      <c r="G355" s="676">
        <v>17247</v>
      </c>
      <c r="H355" s="676">
        <v>112594</v>
      </c>
      <c r="I355" s="676">
        <v>128335</v>
      </c>
      <c r="J355" s="676">
        <v>182294</v>
      </c>
      <c r="K355" s="676">
        <v>6650</v>
      </c>
      <c r="L355" s="676">
        <v>302272</v>
      </c>
      <c r="M355" s="676">
        <v>259548</v>
      </c>
      <c r="N355" s="676">
        <v>832155</v>
      </c>
      <c r="O355" s="676">
        <v>1159025</v>
      </c>
      <c r="P355" s="676">
        <v>373100</v>
      </c>
      <c r="Q355" s="676">
        <v>3840</v>
      </c>
      <c r="R355" s="676">
        <v>641215</v>
      </c>
      <c r="S355" s="676">
        <v>215177</v>
      </c>
      <c r="T355" s="676">
        <v>6499</v>
      </c>
      <c r="U355" s="676">
        <v>126000</v>
      </c>
      <c r="V355" s="676">
        <v>201102</v>
      </c>
      <c r="W355" s="676">
        <v>44655</v>
      </c>
      <c r="X355" s="676">
        <v>0</v>
      </c>
      <c r="Y355" s="676">
        <v>107106</v>
      </c>
      <c r="Z355" s="676">
        <v>97711103.299999997</v>
      </c>
      <c r="AA355" s="676">
        <v>170034</v>
      </c>
      <c r="AB355" s="676">
        <v>9467990</v>
      </c>
      <c r="AC355" s="676">
        <v>12649.66</v>
      </c>
      <c r="AD355" s="676">
        <v>615587</v>
      </c>
      <c r="AE355" s="676">
        <v>578168</v>
      </c>
      <c r="AF355" s="676">
        <v>1758026</v>
      </c>
      <c r="AG355" s="676">
        <v>680395</v>
      </c>
      <c r="AH355" s="676">
        <v>44017</v>
      </c>
      <c r="AI355" s="676">
        <v>2770</v>
      </c>
      <c r="AJ355" s="676">
        <v>1019</v>
      </c>
      <c r="AK355" s="676">
        <v>1200946</v>
      </c>
      <c r="AL355" s="676">
        <v>7851</v>
      </c>
      <c r="AM355" s="676">
        <v>521782</v>
      </c>
      <c r="AN355" s="676">
        <v>15484000</v>
      </c>
      <c r="AO355" s="676"/>
      <c r="AP355" s="676">
        <v>335426</v>
      </c>
      <c r="AQ355" s="676">
        <v>520382</v>
      </c>
      <c r="AR355" s="676">
        <v>283980</v>
      </c>
      <c r="AS355" s="676">
        <v>267186</v>
      </c>
      <c r="AT355" s="676">
        <v>103317.4</v>
      </c>
      <c r="AU355" s="676"/>
      <c r="AV355" s="676"/>
      <c r="AW355" s="676">
        <v>1265</v>
      </c>
      <c r="AX355" s="676">
        <v>6650</v>
      </c>
      <c r="AY355" s="676">
        <v>146052</v>
      </c>
      <c r="AZ355" s="676">
        <v>0</v>
      </c>
      <c r="BA355" s="676">
        <v>26150</v>
      </c>
      <c r="BB355" s="676">
        <v>332274</v>
      </c>
      <c r="BC355" s="676">
        <v>262509</v>
      </c>
      <c r="BD355" s="676">
        <v>64843</v>
      </c>
      <c r="BE355" s="676">
        <v>718786.03</v>
      </c>
      <c r="BF355" s="676">
        <v>1147000</v>
      </c>
      <c r="BG355" s="676">
        <v>56118000</v>
      </c>
      <c r="BH355" s="676">
        <v>19718000</v>
      </c>
      <c r="BI355" s="676">
        <v>1025545</v>
      </c>
      <c r="BJ355" s="676">
        <v>36031</v>
      </c>
      <c r="BK355" s="676">
        <v>7396</v>
      </c>
      <c r="BL355" s="676">
        <v>69733</v>
      </c>
      <c r="BM355" s="676">
        <v>24000</v>
      </c>
      <c r="BN355" s="676">
        <v>284093</v>
      </c>
      <c r="BO355" s="676">
        <v>9793</v>
      </c>
      <c r="BP355" s="676">
        <v>198660</v>
      </c>
      <c r="BQ355" s="676">
        <v>3400</v>
      </c>
      <c r="BR355" s="676">
        <v>184111</v>
      </c>
      <c r="BS355" s="676">
        <v>6205777</v>
      </c>
      <c r="BT355" s="676">
        <v>407762</v>
      </c>
      <c r="BU355" s="676">
        <v>101340</v>
      </c>
      <c r="BV355" s="676">
        <v>310866</v>
      </c>
      <c r="BW355" s="676">
        <v>920643</v>
      </c>
      <c r="BX355" s="676"/>
      <c r="BY355" s="676">
        <v>53862</v>
      </c>
      <c r="BZ355" s="676">
        <v>37000</v>
      </c>
      <c r="CA355" s="676">
        <v>123867.92</v>
      </c>
      <c r="CB355" s="676">
        <v>1594927.75</v>
      </c>
      <c r="CC355" s="676"/>
      <c r="CD355" s="676">
        <v>10600</v>
      </c>
      <c r="CE355" s="676"/>
      <c r="CF355" s="676">
        <v>3503000</v>
      </c>
      <c r="CG355" s="676">
        <v>18848000</v>
      </c>
    </row>
    <row r="356" spans="1:85" x14ac:dyDescent="0.25">
      <c r="A356" s="320" t="s">
        <v>1199</v>
      </c>
      <c r="B356" s="320" t="s">
        <v>1200</v>
      </c>
      <c r="C356" s="320"/>
      <c r="D356" s="320" t="s">
        <v>1201</v>
      </c>
      <c r="E356" s="320">
        <v>2016</v>
      </c>
      <c r="F356" s="404"/>
      <c r="G356" s="676"/>
      <c r="H356" s="676"/>
      <c r="I356" s="676"/>
      <c r="J356" s="676"/>
      <c r="K356" s="676"/>
      <c r="L356" s="676">
        <v>142872</v>
      </c>
      <c r="M356" s="676"/>
      <c r="N356" s="676">
        <v>1034</v>
      </c>
      <c r="O356" s="676"/>
      <c r="P356" s="676"/>
      <c r="Q356" s="676">
        <v>119</v>
      </c>
      <c r="R356" s="676"/>
      <c r="S356" s="676">
        <v>1437</v>
      </c>
      <c r="T356" s="676">
        <v>189480</v>
      </c>
      <c r="U356" s="676">
        <v>56000</v>
      </c>
      <c r="V356" s="676"/>
      <c r="W356" s="676"/>
      <c r="X356" s="676">
        <v>0</v>
      </c>
      <c r="Y356" s="676">
        <v>234</v>
      </c>
      <c r="Z356" s="676">
        <v>420.9</v>
      </c>
      <c r="AA356" s="676"/>
      <c r="AB356" s="676"/>
      <c r="AC356" s="676">
        <v>0</v>
      </c>
      <c r="AD356" s="676">
        <v>497880</v>
      </c>
      <c r="AE356" s="676"/>
      <c r="AF356" s="676">
        <v>2222038</v>
      </c>
      <c r="AG356" s="676">
        <v>200000</v>
      </c>
      <c r="AH356" s="676"/>
      <c r="AI356" s="676"/>
      <c r="AJ356" s="676">
        <v>121968</v>
      </c>
      <c r="AK356" s="676">
        <v>2600040</v>
      </c>
      <c r="AL356" s="676">
        <v>6393315</v>
      </c>
      <c r="AM356" s="676">
        <v>702792</v>
      </c>
      <c r="AN356" s="676">
        <v>37178000</v>
      </c>
      <c r="AO356" s="676"/>
      <c r="AP356" s="676"/>
      <c r="AQ356" s="676"/>
      <c r="AR356" s="676"/>
      <c r="AS356" s="676"/>
      <c r="AT356" s="676">
        <v>0</v>
      </c>
      <c r="AU356" s="676"/>
      <c r="AV356" s="676"/>
      <c r="AW356" s="676"/>
      <c r="AX356" s="676">
        <v>55</v>
      </c>
      <c r="AY356" s="676">
        <v>2576516</v>
      </c>
      <c r="AZ356" s="676">
        <v>0</v>
      </c>
      <c r="BA356" s="676">
        <v>2693188</v>
      </c>
      <c r="BB356" s="676"/>
      <c r="BC356" s="676">
        <v>821276</v>
      </c>
      <c r="BD356" s="676">
        <v>13569444</v>
      </c>
      <c r="BE356" s="676">
        <v>0</v>
      </c>
      <c r="BF356" s="676">
        <v>7000000</v>
      </c>
      <c r="BG356" s="676">
        <v>1236223000</v>
      </c>
      <c r="BH356" s="676"/>
      <c r="BI356" s="676">
        <v>870</v>
      </c>
      <c r="BJ356" s="676">
        <v>104576</v>
      </c>
      <c r="BK356" s="676"/>
      <c r="BL356" s="676">
        <v>1023</v>
      </c>
      <c r="BM356" s="676">
        <v>4175000</v>
      </c>
      <c r="BN356" s="676">
        <v>826308</v>
      </c>
      <c r="BO356" s="676"/>
      <c r="BP356" s="676"/>
      <c r="BQ356" s="676"/>
      <c r="BR356" s="676"/>
      <c r="BS356" s="676"/>
      <c r="BT356" s="676"/>
      <c r="BU356" s="676">
        <v>1354858</v>
      </c>
      <c r="BV356" s="676"/>
      <c r="BW356" s="676">
        <v>14000000</v>
      </c>
      <c r="BX356" s="676">
        <v>2690855</v>
      </c>
      <c r="BY356" s="676"/>
      <c r="BZ356" s="676">
        <v>0</v>
      </c>
      <c r="CA356" s="676">
        <v>115360</v>
      </c>
      <c r="CB356" s="676">
        <v>895292.25</v>
      </c>
      <c r="CC356" s="676"/>
      <c r="CD356" s="676"/>
      <c r="CE356" s="676">
        <v>4000</v>
      </c>
      <c r="CF356" s="676">
        <v>61765000</v>
      </c>
      <c r="CG356" s="676">
        <v>87450000</v>
      </c>
    </row>
    <row r="357" spans="1:85" x14ac:dyDescent="0.25">
      <c r="A357" s="320" t="s">
        <v>1202</v>
      </c>
      <c r="B357" s="320" t="s">
        <v>1203</v>
      </c>
      <c r="C357" s="320"/>
      <c r="D357" s="320" t="s">
        <v>1204</v>
      </c>
      <c r="E357" s="320">
        <v>2016</v>
      </c>
      <c r="F357" s="404"/>
      <c r="G357" s="676"/>
      <c r="H357" s="676"/>
      <c r="I357" s="676"/>
      <c r="J357" s="676"/>
      <c r="K357" s="676"/>
      <c r="L357" s="676"/>
      <c r="M357" s="676"/>
      <c r="N357" s="676"/>
      <c r="O357" s="676"/>
      <c r="P357" s="676"/>
      <c r="Q357" s="676"/>
      <c r="R357" s="676"/>
      <c r="S357" s="676"/>
      <c r="T357" s="676">
        <v>0</v>
      </c>
      <c r="U357" s="676"/>
      <c r="V357" s="676"/>
      <c r="W357" s="676"/>
      <c r="X357" s="676">
        <v>0</v>
      </c>
      <c r="Y357" s="676"/>
      <c r="Z357" s="676">
        <v>0</v>
      </c>
      <c r="AA357" s="676"/>
      <c r="AB357" s="676"/>
      <c r="AC357" s="676">
        <v>0</v>
      </c>
      <c r="AD357" s="676"/>
      <c r="AE357" s="676"/>
      <c r="AF357" s="676"/>
      <c r="AG357" s="676">
        <v>421300</v>
      </c>
      <c r="AH357" s="676"/>
      <c r="AI357" s="676"/>
      <c r="AJ357" s="676"/>
      <c r="AK357" s="676"/>
      <c r="AL357" s="676"/>
      <c r="AM357" s="676"/>
      <c r="AN357" s="676"/>
      <c r="AO357" s="676"/>
      <c r="AP357" s="676"/>
      <c r="AQ357" s="676"/>
      <c r="AR357" s="676">
        <v>244569</v>
      </c>
      <c r="AS357" s="676"/>
      <c r="AT357" s="676">
        <v>0</v>
      </c>
      <c r="AU357" s="676"/>
      <c r="AV357" s="676"/>
      <c r="AW357" s="676"/>
      <c r="AX357" s="676"/>
      <c r="AY357" s="676"/>
      <c r="AZ357" s="676">
        <v>0</v>
      </c>
      <c r="BA357" s="676"/>
      <c r="BB357" s="676"/>
      <c r="BC357" s="676"/>
      <c r="BD357" s="676"/>
      <c r="BE357" s="676">
        <v>0</v>
      </c>
      <c r="BF357" s="676"/>
      <c r="BG357" s="676"/>
      <c r="BH357" s="676"/>
      <c r="BI357" s="676"/>
      <c r="BJ357" s="676"/>
      <c r="BK357" s="676"/>
      <c r="BL357" s="676"/>
      <c r="BM357" s="676"/>
      <c r="BN357" s="676">
        <v>0</v>
      </c>
      <c r="BO357" s="676"/>
      <c r="BP357" s="676"/>
      <c r="BQ357" s="676"/>
      <c r="BR357" s="676"/>
      <c r="BS357" s="676"/>
      <c r="BT357" s="676"/>
      <c r="BU357" s="676"/>
      <c r="BV357" s="676"/>
      <c r="BW357" s="676"/>
      <c r="BX357" s="676"/>
      <c r="BY357" s="676"/>
      <c r="BZ357" s="676"/>
      <c r="CA357" s="676"/>
      <c r="CB357" s="676"/>
      <c r="CC357" s="676">
        <v>4114000</v>
      </c>
      <c r="CD357" s="676"/>
      <c r="CE357" s="676"/>
      <c r="CF357" s="676"/>
      <c r="CG357" s="676"/>
    </row>
    <row r="358" spans="1:85" x14ac:dyDescent="0.25">
      <c r="A358" s="320" t="s">
        <v>1205</v>
      </c>
      <c r="B358" s="320" t="s">
        <v>1385</v>
      </c>
      <c r="C358" s="320" t="s">
        <v>1417</v>
      </c>
      <c r="D358" s="320" t="s">
        <v>1206</v>
      </c>
      <c r="E358" s="320">
        <v>2016</v>
      </c>
      <c r="F358" s="404">
        <v>20537</v>
      </c>
      <c r="G358" s="676">
        <v>14361</v>
      </c>
      <c r="H358" s="676">
        <v>25497</v>
      </c>
      <c r="I358" s="676">
        <v>253</v>
      </c>
      <c r="J358" s="676">
        <v>30579</v>
      </c>
      <c r="K358" s="676">
        <v>98</v>
      </c>
      <c r="L358" s="676">
        <v>988</v>
      </c>
      <c r="M358" s="676">
        <v>65</v>
      </c>
      <c r="N358" s="676"/>
      <c r="O358" s="676"/>
      <c r="P358" s="676"/>
      <c r="Q358" s="676"/>
      <c r="R358" s="676">
        <v>202763</v>
      </c>
      <c r="S358" s="676">
        <v>1141972</v>
      </c>
      <c r="T358" s="676">
        <v>409692</v>
      </c>
      <c r="U358" s="676">
        <v>6856000</v>
      </c>
      <c r="V358" s="676">
        <v>89697</v>
      </c>
      <c r="W358" s="676">
        <v>1175</v>
      </c>
      <c r="X358" s="676">
        <v>3545151.85</v>
      </c>
      <c r="Y358" s="676"/>
      <c r="Z358" s="676">
        <v>101076232.01000001</v>
      </c>
      <c r="AA358" s="676"/>
      <c r="AB358" s="676">
        <v>57035846</v>
      </c>
      <c r="AC358" s="676">
        <v>2959.79</v>
      </c>
      <c r="AD358" s="676">
        <v>14586</v>
      </c>
      <c r="AE358" s="676">
        <v>109122</v>
      </c>
      <c r="AF358" s="676">
        <v>8679077</v>
      </c>
      <c r="AG358" s="676">
        <v>496433</v>
      </c>
      <c r="AH358" s="676">
        <v>3831902</v>
      </c>
      <c r="AI358" s="676">
        <v>869770</v>
      </c>
      <c r="AJ358" s="676">
        <v>5270104</v>
      </c>
      <c r="AK358" s="676">
        <v>4780230</v>
      </c>
      <c r="AL358" s="676"/>
      <c r="AM358" s="676">
        <v>7218</v>
      </c>
      <c r="AN358" s="676">
        <v>4415090000</v>
      </c>
      <c r="AO358" s="676">
        <v>269382</v>
      </c>
      <c r="AP358" s="676">
        <v>2113097</v>
      </c>
      <c r="AQ358" s="676">
        <v>10151092</v>
      </c>
      <c r="AR358" s="676">
        <v>107961</v>
      </c>
      <c r="AS358" s="676">
        <v>82783</v>
      </c>
      <c r="AT358" s="676">
        <v>71511.45</v>
      </c>
      <c r="AU358" s="676">
        <v>17588</v>
      </c>
      <c r="AV358" s="676">
        <v>10594</v>
      </c>
      <c r="AW358" s="676"/>
      <c r="AX358" s="676">
        <v>6829</v>
      </c>
      <c r="AY358" s="676">
        <v>548</v>
      </c>
      <c r="AZ358" s="676">
        <v>16</v>
      </c>
      <c r="BA358" s="676">
        <v>517237</v>
      </c>
      <c r="BB358" s="676">
        <v>5225</v>
      </c>
      <c r="BC358" s="676"/>
      <c r="BD358" s="676">
        <v>95286919</v>
      </c>
      <c r="BE358" s="676">
        <v>363.91</v>
      </c>
      <c r="BF358" s="676"/>
      <c r="BG358" s="676"/>
      <c r="BH358" s="676"/>
      <c r="BI358" s="676">
        <v>281513643</v>
      </c>
      <c r="BJ358" s="676">
        <v>32</v>
      </c>
      <c r="BK358" s="676">
        <v>7969</v>
      </c>
      <c r="BL358" s="676">
        <v>201411</v>
      </c>
      <c r="BM358" s="676">
        <v>1728000</v>
      </c>
      <c r="BN358" s="676">
        <v>777358</v>
      </c>
      <c r="BO358" s="676">
        <v>22128</v>
      </c>
      <c r="BP358" s="676"/>
      <c r="BQ358" s="676">
        <v>16087</v>
      </c>
      <c r="BR358" s="676">
        <v>75</v>
      </c>
      <c r="BS358" s="676">
        <v>20693965</v>
      </c>
      <c r="BT358" s="676">
        <v>4055646</v>
      </c>
      <c r="BU358" s="676"/>
      <c r="BV358" s="676">
        <v>887</v>
      </c>
      <c r="BW358" s="676">
        <v>402908181</v>
      </c>
      <c r="BX358" s="676">
        <v>10288050</v>
      </c>
      <c r="BY358" s="676">
        <v>35244</v>
      </c>
      <c r="BZ358" s="676"/>
      <c r="CA358" s="676">
        <v>829959.93</v>
      </c>
      <c r="CB358" s="676">
        <v>31913.95</v>
      </c>
      <c r="CC358" s="676"/>
      <c r="CD358" s="676">
        <v>1139307</v>
      </c>
      <c r="CE358" s="676">
        <v>1514387000</v>
      </c>
      <c r="CF358" s="676"/>
      <c r="CG358" s="676">
        <v>30199000</v>
      </c>
    </row>
    <row r="359" spans="1:85" x14ac:dyDescent="0.25">
      <c r="A359" s="320" t="s">
        <v>1207</v>
      </c>
      <c r="B359" s="320" t="s">
        <v>1208</v>
      </c>
      <c r="C359" s="320"/>
      <c r="D359" s="320" t="s">
        <v>1209</v>
      </c>
      <c r="E359" s="320">
        <v>2016</v>
      </c>
      <c r="F359" s="404"/>
      <c r="G359" s="676"/>
      <c r="H359" s="676"/>
      <c r="I359" s="676"/>
      <c r="J359" s="676"/>
      <c r="K359" s="676"/>
      <c r="L359" s="676"/>
      <c r="M359" s="676"/>
      <c r="N359" s="676"/>
      <c r="O359" s="676"/>
      <c r="P359" s="676"/>
      <c r="Q359" s="676"/>
      <c r="R359" s="676"/>
      <c r="S359" s="676"/>
      <c r="T359" s="676"/>
      <c r="U359" s="676"/>
      <c r="V359" s="676"/>
      <c r="W359" s="676"/>
      <c r="X359" s="676">
        <v>0</v>
      </c>
      <c r="Y359" s="676"/>
      <c r="Z359" s="676">
        <v>0</v>
      </c>
      <c r="AA359" s="676"/>
      <c r="AB359" s="676"/>
      <c r="AC359" s="676">
        <v>0</v>
      </c>
      <c r="AD359" s="676"/>
      <c r="AE359" s="676"/>
      <c r="AF359" s="676"/>
      <c r="AG359" s="676"/>
      <c r="AH359" s="676"/>
      <c r="AI359" s="676"/>
      <c r="AJ359" s="676"/>
      <c r="AK359" s="676"/>
      <c r="AL359" s="676"/>
      <c r="AM359" s="676"/>
      <c r="AN359" s="676"/>
      <c r="AO359" s="676">
        <v>15145</v>
      </c>
      <c r="AP359" s="676"/>
      <c r="AQ359" s="676"/>
      <c r="AR359" s="676"/>
      <c r="AS359" s="676"/>
      <c r="AT359" s="676">
        <v>0</v>
      </c>
      <c r="AU359" s="676"/>
      <c r="AV359" s="676"/>
      <c r="AW359" s="676"/>
      <c r="AX359" s="676"/>
      <c r="AY359" s="676"/>
      <c r="AZ359" s="676">
        <v>0</v>
      </c>
      <c r="BA359" s="676"/>
      <c r="BB359" s="676"/>
      <c r="BC359" s="676"/>
      <c r="BD359" s="676"/>
      <c r="BE359" s="676">
        <v>0</v>
      </c>
      <c r="BF359" s="676"/>
      <c r="BG359" s="676"/>
      <c r="BH359" s="676"/>
      <c r="BI359" s="676"/>
      <c r="BJ359" s="676">
        <v>0</v>
      </c>
      <c r="BK359" s="676"/>
      <c r="BL359" s="676"/>
      <c r="BM359" s="676"/>
      <c r="BN359" s="676">
        <v>0</v>
      </c>
      <c r="BO359" s="676"/>
      <c r="BP359" s="676"/>
      <c r="BQ359" s="676"/>
      <c r="BR359" s="676"/>
      <c r="BS359" s="676">
        <v>245267</v>
      </c>
      <c r="BT359" s="676"/>
      <c r="BU359" s="676"/>
      <c r="BV359" s="676"/>
      <c r="BW359" s="676"/>
      <c r="BX359" s="676"/>
      <c r="BY359" s="676"/>
      <c r="BZ359" s="676"/>
      <c r="CA359" s="676"/>
      <c r="CB359" s="676"/>
      <c r="CC359" s="676"/>
      <c r="CD359" s="676"/>
      <c r="CE359" s="676">
        <v>1419777000</v>
      </c>
      <c r="CF359" s="676"/>
      <c r="CG359" s="676"/>
    </row>
    <row r="360" spans="1:85" x14ac:dyDescent="0.25">
      <c r="A360" s="320" t="s">
        <v>1210</v>
      </c>
      <c r="B360" s="320" t="s">
        <v>1211</v>
      </c>
      <c r="C360" s="320"/>
      <c r="D360" s="320" t="s">
        <v>1212</v>
      </c>
      <c r="E360" s="320">
        <v>2016</v>
      </c>
      <c r="F360" s="404"/>
      <c r="G360" s="676"/>
      <c r="H360" s="676"/>
      <c r="I360" s="676"/>
      <c r="J360" s="676"/>
      <c r="K360" s="676"/>
      <c r="L360" s="676"/>
      <c r="M360" s="676">
        <v>65</v>
      </c>
      <c r="N360" s="676"/>
      <c r="O360" s="676"/>
      <c r="P360" s="676"/>
      <c r="Q360" s="676"/>
      <c r="R360" s="676">
        <v>7646</v>
      </c>
      <c r="S360" s="676">
        <v>1141972</v>
      </c>
      <c r="T360" s="676">
        <v>22717</v>
      </c>
      <c r="U360" s="676"/>
      <c r="V360" s="676"/>
      <c r="W360" s="676"/>
      <c r="X360" s="676">
        <v>0</v>
      </c>
      <c r="Y360" s="676"/>
      <c r="Z360" s="676">
        <v>369.59</v>
      </c>
      <c r="AA360" s="676"/>
      <c r="AB360" s="676">
        <v>13092</v>
      </c>
      <c r="AC360" s="676">
        <v>2674.45</v>
      </c>
      <c r="AD360" s="676"/>
      <c r="AE360" s="676"/>
      <c r="AF360" s="676">
        <v>588</v>
      </c>
      <c r="AG360" s="676">
        <v>14382</v>
      </c>
      <c r="AH360" s="676"/>
      <c r="AI360" s="676"/>
      <c r="AJ360" s="676"/>
      <c r="AK360" s="676">
        <v>292</v>
      </c>
      <c r="AL360" s="676"/>
      <c r="AM360" s="676">
        <v>2060</v>
      </c>
      <c r="AN360" s="676"/>
      <c r="AO360" s="676"/>
      <c r="AP360" s="676">
        <v>2150</v>
      </c>
      <c r="AQ360" s="676">
        <v>136</v>
      </c>
      <c r="AR360" s="676">
        <v>59744</v>
      </c>
      <c r="AS360" s="676">
        <v>49003</v>
      </c>
      <c r="AT360" s="676">
        <v>0</v>
      </c>
      <c r="AU360" s="676"/>
      <c r="AV360" s="676"/>
      <c r="AW360" s="676"/>
      <c r="AX360" s="676">
        <v>6829</v>
      </c>
      <c r="AY360" s="676">
        <v>548</v>
      </c>
      <c r="AZ360" s="676">
        <v>16</v>
      </c>
      <c r="BA360" s="676">
        <v>12051</v>
      </c>
      <c r="BB360" s="676">
        <v>5225</v>
      </c>
      <c r="BC360" s="676"/>
      <c r="BD360" s="676"/>
      <c r="BE360" s="676">
        <v>363.91</v>
      </c>
      <c r="BF360" s="676"/>
      <c r="BG360" s="676"/>
      <c r="BH360" s="676"/>
      <c r="BI360" s="676">
        <v>225164</v>
      </c>
      <c r="BJ360" s="676">
        <v>32</v>
      </c>
      <c r="BK360" s="676"/>
      <c r="BL360" s="676"/>
      <c r="BM360" s="676">
        <v>1728000</v>
      </c>
      <c r="BN360" s="676">
        <v>443</v>
      </c>
      <c r="BO360" s="676">
        <v>72</v>
      </c>
      <c r="BP360" s="676"/>
      <c r="BQ360" s="676"/>
      <c r="BR360" s="676">
        <v>15</v>
      </c>
      <c r="BS360" s="676">
        <v>19435554</v>
      </c>
      <c r="BT360" s="676"/>
      <c r="BU360" s="676"/>
      <c r="BV360" s="676"/>
      <c r="BW360" s="676">
        <v>10795</v>
      </c>
      <c r="BX360" s="676">
        <v>329</v>
      </c>
      <c r="BY360" s="676"/>
      <c r="BZ360" s="676"/>
      <c r="CA360" s="676">
        <v>40377.15</v>
      </c>
      <c r="CB360" s="676">
        <v>471.06</v>
      </c>
      <c r="CC360" s="676"/>
      <c r="CD360" s="676"/>
      <c r="CE360" s="676">
        <v>79549000</v>
      </c>
      <c r="CF360" s="676"/>
      <c r="CG360" s="676">
        <v>30199000</v>
      </c>
    </row>
    <row r="361" spans="1:85" x14ac:dyDescent="0.25">
      <c r="A361" s="320" t="s">
        <v>1213</v>
      </c>
      <c r="B361" s="320" t="s">
        <v>1214</v>
      </c>
      <c r="C361" s="320"/>
      <c r="D361" s="320" t="s">
        <v>1215</v>
      </c>
      <c r="E361" s="320">
        <v>2016</v>
      </c>
      <c r="F361" s="404"/>
      <c r="G361" s="676"/>
      <c r="H361" s="676"/>
      <c r="I361" s="676"/>
      <c r="J361" s="676"/>
      <c r="K361" s="676"/>
      <c r="L361" s="676">
        <v>21</v>
      </c>
      <c r="M361" s="676"/>
      <c r="N361" s="676"/>
      <c r="O361" s="676"/>
      <c r="P361" s="676"/>
      <c r="Q361" s="676"/>
      <c r="R361" s="676">
        <v>177093</v>
      </c>
      <c r="S361" s="676"/>
      <c r="T361" s="676"/>
      <c r="U361" s="676">
        <v>6856000</v>
      </c>
      <c r="V361" s="676"/>
      <c r="W361" s="676"/>
      <c r="X361" s="676">
        <v>3385024.85</v>
      </c>
      <c r="Y361" s="676"/>
      <c r="Z361" s="676">
        <v>91677272.420000002</v>
      </c>
      <c r="AA361" s="676"/>
      <c r="AB361" s="676">
        <v>54887483</v>
      </c>
      <c r="AC361" s="676">
        <v>0</v>
      </c>
      <c r="AD361" s="676">
        <v>13054</v>
      </c>
      <c r="AE361" s="676">
        <v>3100</v>
      </c>
      <c r="AF361" s="676">
        <v>7898284</v>
      </c>
      <c r="AG361" s="676">
        <v>482051</v>
      </c>
      <c r="AH361" s="676">
        <v>3831902</v>
      </c>
      <c r="AI361" s="676">
        <v>804618</v>
      </c>
      <c r="AJ361" s="676">
        <v>4942965</v>
      </c>
      <c r="AK361" s="676">
        <v>3651753</v>
      </c>
      <c r="AL361" s="676"/>
      <c r="AM361" s="676">
        <v>3720</v>
      </c>
      <c r="AN361" s="676">
        <v>4357034000</v>
      </c>
      <c r="AO361" s="676">
        <v>254237</v>
      </c>
      <c r="AP361" s="676">
        <v>1553575</v>
      </c>
      <c r="AQ361" s="676">
        <v>9205632</v>
      </c>
      <c r="AR361" s="676">
        <v>34142</v>
      </c>
      <c r="AS361" s="676">
        <v>25826</v>
      </c>
      <c r="AT361" s="676">
        <v>67956.17</v>
      </c>
      <c r="AU361" s="676">
        <v>10405</v>
      </c>
      <c r="AV361" s="676"/>
      <c r="AW361" s="676"/>
      <c r="AX361" s="676"/>
      <c r="AY361" s="676"/>
      <c r="AZ361" s="676">
        <v>0</v>
      </c>
      <c r="BA361" s="676"/>
      <c r="BB361" s="676"/>
      <c r="BC361" s="676"/>
      <c r="BD361" s="676">
        <v>81389177</v>
      </c>
      <c r="BE361" s="676">
        <v>0</v>
      </c>
      <c r="BF361" s="676"/>
      <c r="BG361" s="676"/>
      <c r="BH361" s="676"/>
      <c r="BI361" s="676">
        <v>273655079</v>
      </c>
      <c r="BJ361" s="676"/>
      <c r="BK361" s="676"/>
      <c r="BL361" s="676"/>
      <c r="BM361" s="676"/>
      <c r="BN361" s="676">
        <v>509323</v>
      </c>
      <c r="BO361" s="676">
        <v>22056</v>
      </c>
      <c r="BP361" s="676"/>
      <c r="BQ361" s="676"/>
      <c r="BR361" s="676"/>
      <c r="BS361" s="676"/>
      <c r="BT361" s="676">
        <v>3473791</v>
      </c>
      <c r="BU361" s="676"/>
      <c r="BV361" s="676"/>
      <c r="BW361" s="676">
        <v>399126968</v>
      </c>
      <c r="BX361" s="676">
        <v>10103842</v>
      </c>
      <c r="BY361" s="676">
        <v>22393</v>
      </c>
      <c r="BZ361" s="676"/>
      <c r="CA361" s="676">
        <v>389116.93</v>
      </c>
      <c r="CB361" s="676">
        <v>17276</v>
      </c>
      <c r="CC361" s="676"/>
      <c r="CD361" s="676"/>
      <c r="CE361" s="676">
        <v>15061000</v>
      </c>
      <c r="CF361" s="676"/>
      <c r="CG361" s="676"/>
    </row>
    <row r="362" spans="1:85" x14ac:dyDescent="0.25">
      <c r="A362" s="320" t="s">
        <v>1216</v>
      </c>
      <c r="B362" s="320" t="s">
        <v>1217</v>
      </c>
      <c r="C362" s="320"/>
      <c r="D362" s="320" t="s">
        <v>1218</v>
      </c>
      <c r="E362" s="320">
        <v>2016</v>
      </c>
      <c r="F362" s="404">
        <v>20537</v>
      </c>
      <c r="G362" s="676">
        <v>14361</v>
      </c>
      <c r="H362" s="676">
        <v>25497</v>
      </c>
      <c r="I362" s="676">
        <v>253</v>
      </c>
      <c r="J362" s="676">
        <v>30579</v>
      </c>
      <c r="K362" s="676">
        <v>98</v>
      </c>
      <c r="L362" s="676">
        <v>967</v>
      </c>
      <c r="M362" s="676"/>
      <c r="N362" s="676"/>
      <c r="O362" s="676"/>
      <c r="P362" s="676"/>
      <c r="Q362" s="676"/>
      <c r="R362" s="676">
        <v>18024</v>
      </c>
      <c r="S362" s="676"/>
      <c r="T362" s="676">
        <v>386975</v>
      </c>
      <c r="U362" s="676"/>
      <c r="V362" s="676">
        <v>89697</v>
      </c>
      <c r="W362" s="676">
        <v>1175</v>
      </c>
      <c r="X362" s="676">
        <v>160127</v>
      </c>
      <c r="Y362" s="676"/>
      <c r="Z362" s="676">
        <v>9398590</v>
      </c>
      <c r="AA362" s="676"/>
      <c r="AB362" s="676">
        <v>2135271</v>
      </c>
      <c r="AC362" s="676">
        <v>285.33999999999997</v>
      </c>
      <c r="AD362" s="676">
        <v>1532</v>
      </c>
      <c r="AE362" s="676">
        <v>106022</v>
      </c>
      <c r="AF362" s="676">
        <v>780204</v>
      </c>
      <c r="AG362" s="676"/>
      <c r="AH362" s="676"/>
      <c r="AI362" s="676">
        <v>65152</v>
      </c>
      <c r="AJ362" s="676">
        <v>327139</v>
      </c>
      <c r="AK362" s="676">
        <v>1128185</v>
      </c>
      <c r="AL362" s="676"/>
      <c r="AM362" s="676">
        <v>1438</v>
      </c>
      <c r="AN362" s="676">
        <v>58056000</v>
      </c>
      <c r="AO362" s="676"/>
      <c r="AP362" s="676">
        <v>557372</v>
      </c>
      <c r="AQ362" s="676">
        <v>945324</v>
      </c>
      <c r="AR362" s="676">
        <v>14075</v>
      </c>
      <c r="AS362" s="676">
        <v>7954</v>
      </c>
      <c r="AT362" s="676">
        <v>3555.28</v>
      </c>
      <c r="AU362" s="676">
        <v>7183</v>
      </c>
      <c r="AV362" s="676">
        <v>10594</v>
      </c>
      <c r="AW362" s="676"/>
      <c r="AX362" s="676"/>
      <c r="AY362" s="676"/>
      <c r="AZ362" s="676">
        <v>0</v>
      </c>
      <c r="BA362" s="676">
        <v>505186</v>
      </c>
      <c r="BB362" s="676"/>
      <c r="BC362" s="676"/>
      <c r="BD362" s="676">
        <v>13897742</v>
      </c>
      <c r="BE362" s="676">
        <v>0</v>
      </c>
      <c r="BF362" s="676"/>
      <c r="BG362" s="676"/>
      <c r="BH362" s="676"/>
      <c r="BI362" s="676">
        <v>7633400</v>
      </c>
      <c r="BJ362" s="676"/>
      <c r="BK362" s="676">
        <v>7969</v>
      </c>
      <c r="BL362" s="676">
        <v>201411</v>
      </c>
      <c r="BM362" s="676"/>
      <c r="BN362" s="676">
        <v>267592</v>
      </c>
      <c r="BO362" s="676"/>
      <c r="BP362" s="676"/>
      <c r="BQ362" s="676">
        <v>16087</v>
      </c>
      <c r="BR362" s="676">
        <v>60</v>
      </c>
      <c r="BS362" s="676">
        <v>1013144</v>
      </c>
      <c r="BT362" s="676">
        <v>581855</v>
      </c>
      <c r="BU362" s="676"/>
      <c r="BV362" s="676">
        <v>887</v>
      </c>
      <c r="BW362" s="676">
        <v>3770418</v>
      </c>
      <c r="BX362" s="676">
        <v>183879</v>
      </c>
      <c r="BY362" s="676">
        <v>12851</v>
      </c>
      <c r="BZ362" s="676"/>
      <c r="CA362" s="676">
        <v>400465.85</v>
      </c>
      <c r="CB362" s="676">
        <v>14166.89</v>
      </c>
      <c r="CC362" s="676"/>
      <c r="CD362" s="676">
        <v>1139307</v>
      </c>
      <c r="CE362" s="676"/>
      <c r="CF362" s="676"/>
      <c r="CG362" s="676"/>
    </row>
    <row r="363" spans="1:85" x14ac:dyDescent="0.25">
      <c r="A363" s="320"/>
      <c r="B363" s="320"/>
      <c r="C363" s="320"/>
      <c r="D363" s="320"/>
      <c r="E363" s="320">
        <v>2016</v>
      </c>
      <c r="F363" s="404"/>
      <c r="G363" s="405"/>
      <c r="H363" s="405"/>
      <c r="I363" s="405"/>
      <c r="J363" s="405"/>
      <c r="K363" s="405"/>
      <c r="L363" s="405"/>
      <c r="M363" s="405"/>
      <c r="N363" s="405"/>
      <c r="O363" s="405"/>
      <c r="P363" s="405"/>
      <c r="Q363" s="405"/>
      <c r="R363" s="405"/>
      <c r="S363" s="405"/>
      <c r="T363" s="405"/>
      <c r="U363" s="405"/>
      <c r="V363" s="405"/>
      <c r="W363" s="405"/>
      <c r="X363" s="405"/>
      <c r="Y363" s="405"/>
      <c r="Z363" s="405"/>
      <c r="AA363" s="405"/>
      <c r="AB363" s="405"/>
      <c r="AC363" s="405"/>
      <c r="AD363" s="405"/>
      <c r="AE363" s="405"/>
      <c r="AF363" s="405"/>
      <c r="AG363" s="405"/>
      <c r="AH363" s="405"/>
      <c r="AI363" s="405"/>
      <c r="AJ363" s="405"/>
      <c r="AK363" s="405"/>
      <c r="AL363" s="405"/>
      <c r="AM363" s="405"/>
      <c r="AN363" s="405"/>
      <c r="AO363" s="405"/>
      <c r="AP363" s="405"/>
      <c r="AQ363" s="405"/>
      <c r="AR363" s="405"/>
      <c r="AS363" s="405"/>
      <c r="AT363" s="405"/>
      <c r="AU363" s="405"/>
      <c r="AV363" s="405"/>
      <c r="AW363" s="405"/>
      <c r="AX363" s="405"/>
      <c r="AY363" s="405"/>
      <c r="AZ363" s="405"/>
      <c r="BA363" s="405"/>
      <c r="BB363" s="405"/>
      <c r="BC363" s="405"/>
      <c r="BD363" s="405"/>
      <c r="BE363" s="405"/>
      <c r="BF363" s="405"/>
      <c r="BG363" s="405"/>
      <c r="BH363" s="405"/>
      <c r="BI363" s="405"/>
      <c r="BJ363" s="405"/>
      <c r="BK363" s="405"/>
      <c r="BL363" s="405"/>
      <c r="BM363" s="405"/>
      <c r="BN363" s="405"/>
      <c r="BO363" s="405"/>
      <c r="BP363" s="405"/>
      <c r="BQ363" s="405"/>
      <c r="BR363" s="405"/>
      <c r="BS363" s="405"/>
      <c r="BT363" s="405"/>
      <c r="BU363" s="405"/>
      <c r="BV363" s="405"/>
      <c r="BW363" s="405"/>
      <c r="BX363" s="405"/>
      <c r="BY363" s="405"/>
      <c r="BZ363" s="405"/>
      <c r="CA363" s="405"/>
      <c r="CB363" s="405"/>
      <c r="CC363" s="405"/>
      <c r="CD363" s="405"/>
      <c r="CE363" s="405"/>
      <c r="CF363" s="405"/>
      <c r="CG363" s="405"/>
    </row>
    <row r="364" spans="1:85" s="453" customFormat="1" x14ac:dyDescent="0.25">
      <c r="A364" s="452" t="s">
        <v>642</v>
      </c>
      <c r="B364" s="452" t="s">
        <v>1219</v>
      </c>
      <c r="C364" s="452"/>
      <c r="D364" s="452" t="s">
        <v>865</v>
      </c>
      <c r="E364" s="447"/>
      <c r="F364" s="406">
        <v>2016</v>
      </c>
      <c r="G364" s="407">
        <v>2016</v>
      </c>
      <c r="H364" s="407">
        <v>2016</v>
      </c>
      <c r="I364" s="407">
        <v>2016</v>
      </c>
      <c r="J364" s="407">
        <v>2016</v>
      </c>
      <c r="K364" s="407">
        <v>2016</v>
      </c>
      <c r="L364" s="407">
        <v>2016</v>
      </c>
      <c r="M364" s="407">
        <v>2016</v>
      </c>
      <c r="N364" s="407">
        <v>2016</v>
      </c>
      <c r="O364" s="407">
        <v>2016</v>
      </c>
      <c r="P364" s="407">
        <v>2016</v>
      </c>
      <c r="Q364" s="407">
        <v>2016</v>
      </c>
      <c r="R364" s="407">
        <v>2016</v>
      </c>
      <c r="S364" s="407">
        <v>2016</v>
      </c>
      <c r="T364" s="407">
        <v>2016</v>
      </c>
      <c r="U364" s="407">
        <v>2016</v>
      </c>
      <c r="V364" s="407">
        <v>2016</v>
      </c>
      <c r="W364" s="407">
        <v>2016</v>
      </c>
      <c r="X364" s="407">
        <v>2016</v>
      </c>
      <c r="Y364" s="407">
        <v>2016</v>
      </c>
      <c r="Z364" s="407">
        <v>2016</v>
      </c>
      <c r="AA364" s="407">
        <v>2016</v>
      </c>
      <c r="AB364" s="407">
        <v>2016</v>
      </c>
      <c r="AC364" s="407">
        <v>2016</v>
      </c>
      <c r="AD364" s="407">
        <v>2016</v>
      </c>
      <c r="AE364" s="407">
        <v>2016</v>
      </c>
      <c r="AF364" s="407">
        <v>2016</v>
      </c>
      <c r="AG364" s="407">
        <v>2016</v>
      </c>
      <c r="AH364" s="407">
        <v>2016</v>
      </c>
      <c r="AI364" s="407">
        <v>2016</v>
      </c>
      <c r="AJ364" s="407">
        <v>2016</v>
      </c>
      <c r="AK364" s="407">
        <v>2016</v>
      </c>
      <c r="AL364" s="407">
        <v>2016</v>
      </c>
      <c r="AM364" s="407">
        <v>2016</v>
      </c>
      <c r="AN364" s="407">
        <v>2016</v>
      </c>
      <c r="AO364" s="407">
        <v>2016</v>
      </c>
      <c r="AP364" s="407">
        <v>2016</v>
      </c>
      <c r="AQ364" s="407">
        <v>2016</v>
      </c>
      <c r="AR364" s="407">
        <v>2016</v>
      </c>
      <c r="AS364" s="407">
        <v>2016</v>
      </c>
      <c r="AT364" s="407">
        <v>2016</v>
      </c>
      <c r="AU364" s="407">
        <v>2016</v>
      </c>
      <c r="AV364" s="407">
        <v>2016</v>
      </c>
      <c r="AW364" s="407">
        <v>2016</v>
      </c>
      <c r="AX364" s="407">
        <v>2016</v>
      </c>
      <c r="AY364" s="407">
        <v>2016</v>
      </c>
      <c r="AZ364" s="407">
        <v>2016</v>
      </c>
      <c r="BA364" s="407">
        <v>2016</v>
      </c>
      <c r="BB364" s="407">
        <v>2016</v>
      </c>
      <c r="BC364" s="407">
        <v>2016</v>
      </c>
      <c r="BD364" s="407">
        <v>2016</v>
      </c>
      <c r="BE364" s="407">
        <v>2016</v>
      </c>
      <c r="BF364" s="407">
        <v>2016</v>
      </c>
      <c r="BG364" s="407">
        <v>2016</v>
      </c>
      <c r="BH364" s="407">
        <v>2016</v>
      </c>
      <c r="BI364" s="407">
        <v>2016</v>
      </c>
      <c r="BJ364" s="407">
        <v>2016</v>
      </c>
      <c r="BK364" s="407">
        <v>2016</v>
      </c>
      <c r="BL364" s="407">
        <v>2016</v>
      </c>
      <c r="BM364" s="407">
        <v>2016</v>
      </c>
      <c r="BN364" s="407">
        <v>2016</v>
      </c>
      <c r="BO364" s="407">
        <v>2016</v>
      </c>
      <c r="BP364" s="407">
        <v>2016</v>
      </c>
      <c r="BQ364" s="407">
        <v>2016</v>
      </c>
      <c r="BR364" s="407">
        <v>2016</v>
      </c>
      <c r="BS364" s="407">
        <v>2016</v>
      </c>
      <c r="BT364" s="407">
        <v>2016</v>
      </c>
      <c r="BU364" s="407">
        <v>2016</v>
      </c>
      <c r="BV364" s="407">
        <v>2016</v>
      </c>
      <c r="BW364" s="407">
        <v>2016</v>
      </c>
      <c r="BX364" s="407">
        <v>2016</v>
      </c>
      <c r="BY364" s="407">
        <v>2016</v>
      </c>
      <c r="BZ364" s="407">
        <v>2016</v>
      </c>
      <c r="CA364" s="407">
        <v>2016</v>
      </c>
      <c r="CB364" s="407">
        <v>2016</v>
      </c>
      <c r="CC364" s="407">
        <v>2016</v>
      </c>
      <c r="CD364" s="407">
        <v>2016</v>
      </c>
      <c r="CE364" s="407">
        <v>2016</v>
      </c>
      <c r="CF364" s="407">
        <v>2016</v>
      </c>
      <c r="CG364" s="407">
        <v>2016</v>
      </c>
    </row>
    <row r="365" spans="1:85" x14ac:dyDescent="0.25">
      <c r="A365" s="320" t="s">
        <v>1220</v>
      </c>
      <c r="B365" s="320" t="s">
        <v>1221</v>
      </c>
      <c r="C365" s="320"/>
      <c r="D365" s="320" t="s">
        <v>429</v>
      </c>
      <c r="E365" s="320">
        <v>2016</v>
      </c>
      <c r="F365" s="404">
        <v>1093733</v>
      </c>
      <c r="G365" s="676">
        <v>5788987</v>
      </c>
      <c r="H365" s="676">
        <v>22154477</v>
      </c>
      <c r="I365" s="676">
        <v>20460412</v>
      </c>
      <c r="J365" s="676">
        <v>17865635</v>
      </c>
      <c r="K365" s="676">
        <v>11887070</v>
      </c>
      <c r="L365" s="676">
        <v>5742633</v>
      </c>
      <c r="M365" s="676">
        <v>161029020</v>
      </c>
      <c r="N365" s="676">
        <v>232647733</v>
      </c>
      <c r="O365" s="676">
        <v>102481249</v>
      </c>
      <c r="P365" s="676">
        <v>22255797</v>
      </c>
      <c r="Q365" s="676">
        <v>462337</v>
      </c>
      <c r="R365" s="676">
        <v>23218232</v>
      </c>
      <c r="S365" s="676">
        <v>236386148</v>
      </c>
      <c r="T365" s="676">
        <v>12964711</v>
      </c>
      <c r="U365" s="676">
        <v>760589000</v>
      </c>
      <c r="V365" s="676">
        <v>22263667</v>
      </c>
      <c r="W365" s="676">
        <v>5285915</v>
      </c>
      <c r="X365" s="676">
        <v>786522.28</v>
      </c>
      <c r="Y365" s="676">
        <v>286902980</v>
      </c>
      <c r="Z365" s="676">
        <v>33196177</v>
      </c>
      <c r="AA365" s="676">
        <v>6048531</v>
      </c>
      <c r="AB365" s="676">
        <v>218758791</v>
      </c>
      <c r="AC365" s="676">
        <v>4931463.2699999996</v>
      </c>
      <c r="AD365" s="676">
        <v>14170839</v>
      </c>
      <c r="AE365" s="676">
        <v>8320672</v>
      </c>
      <c r="AF365" s="676">
        <v>20920114</v>
      </c>
      <c r="AG365" s="676">
        <v>265046</v>
      </c>
      <c r="AH365" s="676">
        <v>1461361</v>
      </c>
      <c r="AI365" s="676">
        <v>1540546</v>
      </c>
      <c r="AJ365" s="676">
        <v>700812</v>
      </c>
      <c r="AK365" s="676">
        <v>65300783</v>
      </c>
      <c r="AL365" s="676">
        <v>115070089</v>
      </c>
      <c r="AM365" s="676">
        <v>22824916</v>
      </c>
      <c r="AN365" s="676">
        <v>334338000</v>
      </c>
      <c r="AO365" s="676">
        <v>81618861</v>
      </c>
      <c r="AP365" s="676">
        <v>33803465</v>
      </c>
      <c r="AQ365" s="676">
        <v>40797271</v>
      </c>
      <c r="AR365" s="676">
        <v>15064871</v>
      </c>
      <c r="AS365" s="676">
        <v>20623183</v>
      </c>
      <c r="AT365" s="676">
        <v>15894969.65</v>
      </c>
      <c r="AU365" s="676">
        <v>17677519</v>
      </c>
      <c r="AV365" s="676">
        <v>31703305</v>
      </c>
      <c r="AW365" s="676">
        <v>4081912</v>
      </c>
      <c r="AX365" s="676">
        <v>126288351</v>
      </c>
      <c r="AY365" s="676">
        <v>53046023</v>
      </c>
      <c r="AZ365" s="676">
        <v>1819049</v>
      </c>
      <c r="BA365" s="676">
        <v>18406730</v>
      </c>
      <c r="BB365" s="676">
        <v>33062960</v>
      </c>
      <c r="BC365" s="676">
        <v>28268521</v>
      </c>
      <c r="BD365" s="676">
        <v>367965256</v>
      </c>
      <c r="BE365" s="676">
        <v>10522405.859999999</v>
      </c>
      <c r="BF365" s="676">
        <v>312573000</v>
      </c>
      <c r="BG365" s="676">
        <v>2126055000</v>
      </c>
      <c r="BH365" s="676">
        <v>1279987000</v>
      </c>
      <c r="BI365" s="676">
        <v>77158230</v>
      </c>
      <c r="BJ365" s="676">
        <v>41999910</v>
      </c>
      <c r="BK365" s="676">
        <v>2905601</v>
      </c>
      <c r="BL365" s="676">
        <v>3957649</v>
      </c>
      <c r="BM365" s="676">
        <v>645932000</v>
      </c>
      <c r="BN365" s="676">
        <v>45288640</v>
      </c>
      <c r="BO365" s="676">
        <v>3807096</v>
      </c>
      <c r="BP365" s="676">
        <v>5816126</v>
      </c>
      <c r="BQ365" s="676">
        <v>1828916</v>
      </c>
      <c r="BR365" s="676">
        <v>2820295</v>
      </c>
      <c r="BS365" s="676">
        <v>431456135</v>
      </c>
      <c r="BT365" s="676">
        <v>54718795</v>
      </c>
      <c r="BU365" s="676">
        <v>71598705</v>
      </c>
      <c r="BV365" s="676">
        <v>2744455</v>
      </c>
      <c r="BW365" s="676">
        <v>90446061</v>
      </c>
      <c r="BX365" s="676">
        <v>17223714</v>
      </c>
      <c r="BY365" s="676">
        <v>14557317</v>
      </c>
      <c r="BZ365" s="676">
        <v>23816000</v>
      </c>
      <c r="CA365" s="676">
        <v>19926482.23</v>
      </c>
      <c r="CB365" s="676">
        <v>56401198.68</v>
      </c>
      <c r="CC365" s="676">
        <v>37661000</v>
      </c>
      <c r="CD365" s="676">
        <v>703105</v>
      </c>
      <c r="CE365" s="676">
        <v>162949000</v>
      </c>
      <c r="CF365" s="676">
        <v>265392000</v>
      </c>
      <c r="CG365" s="676">
        <v>90635000</v>
      </c>
    </row>
    <row r="366" spans="1:85" x14ac:dyDescent="0.25">
      <c r="A366" s="320" t="s">
        <v>1222</v>
      </c>
      <c r="B366" s="320" t="s">
        <v>1418</v>
      </c>
      <c r="C366" s="320" t="s">
        <v>1419</v>
      </c>
      <c r="D366" s="320" t="s">
        <v>705</v>
      </c>
      <c r="E366" s="320">
        <v>2016</v>
      </c>
      <c r="F366" s="404">
        <v>1169767</v>
      </c>
      <c r="G366" s="676">
        <v>6302998</v>
      </c>
      <c r="H366" s="676">
        <v>22153784</v>
      </c>
      <c r="I366" s="676">
        <v>20480791</v>
      </c>
      <c r="J366" s="676">
        <v>17865289</v>
      </c>
      <c r="K366" s="676">
        <v>11905809</v>
      </c>
      <c r="L366" s="676">
        <v>5745227</v>
      </c>
      <c r="M366" s="676">
        <v>161659460</v>
      </c>
      <c r="N366" s="676">
        <v>232762121</v>
      </c>
      <c r="O366" s="676">
        <v>103102773</v>
      </c>
      <c r="P366" s="676">
        <v>23173086</v>
      </c>
      <c r="Q366" s="676">
        <v>863295</v>
      </c>
      <c r="R366" s="676">
        <v>23282829</v>
      </c>
      <c r="S366" s="676">
        <v>236229188</v>
      </c>
      <c r="T366" s="676">
        <v>25091867</v>
      </c>
      <c r="U366" s="676">
        <v>767914000</v>
      </c>
      <c r="V366" s="676">
        <v>22336519</v>
      </c>
      <c r="W366" s="676">
        <v>5914893</v>
      </c>
      <c r="X366" s="676">
        <v>1348573.23</v>
      </c>
      <c r="Y366" s="676">
        <v>286902664</v>
      </c>
      <c r="Z366" s="676">
        <v>130722618.37</v>
      </c>
      <c r="AA366" s="676">
        <v>6486759</v>
      </c>
      <c r="AB366" s="676">
        <v>227963039</v>
      </c>
      <c r="AC366" s="676">
        <v>4972502.5</v>
      </c>
      <c r="AD366" s="676">
        <v>13469951</v>
      </c>
      <c r="AE366" s="676">
        <v>9121438</v>
      </c>
      <c r="AF366" s="676">
        <v>24832348</v>
      </c>
      <c r="AG366" s="676">
        <v>502530</v>
      </c>
      <c r="AH366" s="676">
        <v>2267474</v>
      </c>
      <c r="AI366" s="676">
        <v>2152734</v>
      </c>
      <c r="AJ366" s="676">
        <v>707433</v>
      </c>
      <c r="AK366" s="676">
        <v>66164584</v>
      </c>
      <c r="AL366" s="676">
        <v>115261619</v>
      </c>
      <c r="AM366" s="676">
        <v>27871580</v>
      </c>
      <c r="AN366" s="676">
        <v>334338000</v>
      </c>
      <c r="AO366" s="676">
        <v>83476374</v>
      </c>
      <c r="AP366" s="676">
        <v>34382105</v>
      </c>
      <c r="AQ366" s="676">
        <v>41941403</v>
      </c>
      <c r="AR366" s="676">
        <v>16834457</v>
      </c>
      <c r="AS366" s="676">
        <v>21171245</v>
      </c>
      <c r="AT366" s="676">
        <v>15960749.109999999</v>
      </c>
      <c r="AU366" s="676">
        <v>18359502</v>
      </c>
      <c r="AV366" s="676">
        <v>32233367</v>
      </c>
      <c r="AW366" s="676">
        <v>4181493</v>
      </c>
      <c r="AX366" s="676">
        <v>122762655</v>
      </c>
      <c r="AY366" s="676">
        <v>60299884</v>
      </c>
      <c r="AZ366" s="676">
        <v>1823026</v>
      </c>
      <c r="BA366" s="676">
        <v>18301628</v>
      </c>
      <c r="BB366" s="676">
        <v>33469433</v>
      </c>
      <c r="BC366" s="676">
        <v>29192402</v>
      </c>
      <c r="BD366" s="676">
        <v>367965256</v>
      </c>
      <c r="BE366" s="676">
        <v>10515290.35</v>
      </c>
      <c r="BF366" s="676">
        <v>312573000</v>
      </c>
      <c r="BG366" s="676">
        <v>2137814000</v>
      </c>
      <c r="BH366" s="676">
        <v>1305394000</v>
      </c>
      <c r="BI366" s="676">
        <v>107369709</v>
      </c>
      <c r="BJ366" s="676">
        <v>42708800</v>
      </c>
      <c r="BK366" s="676">
        <v>2917394</v>
      </c>
      <c r="BL366" s="676">
        <v>3987163</v>
      </c>
      <c r="BM366" s="676">
        <v>649964000</v>
      </c>
      <c r="BN366" s="676">
        <v>45612153</v>
      </c>
      <c r="BO366" s="676">
        <v>3814972</v>
      </c>
      <c r="BP366" s="676">
        <v>5834525</v>
      </c>
      <c r="BQ366" s="676">
        <v>1901600</v>
      </c>
      <c r="BR366" s="676">
        <v>2821488</v>
      </c>
      <c r="BS366" s="676">
        <v>431443007</v>
      </c>
      <c r="BT366" s="676">
        <v>54775996</v>
      </c>
      <c r="BU366" s="676">
        <v>71607822</v>
      </c>
      <c r="BV366" s="676">
        <v>2799389</v>
      </c>
      <c r="BW366" s="676">
        <v>98917531</v>
      </c>
      <c r="BX366" s="676">
        <v>20917456</v>
      </c>
      <c r="BY366" s="676">
        <v>15393856</v>
      </c>
      <c r="BZ366" s="676">
        <v>24548000</v>
      </c>
      <c r="CA366" s="676">
        <v>20357916.350000001</v>
      </c>
      <c r="CB366" s="676">
        <v>56481061.469999999</v>
      </c>
      <c r="CC366" s="676">
        <v>44232000</v>
      </c>
      <c r="CD366" s="676">
        <v>1663453</v>
      </c>
      <c r="CE366" s="676">
        <v>466537000</v>
      </c>
      <c r="CF366" s="676">
        <v>278036000</v>
      </c>
      <c r="CG366" s="676">
        <v>364169000</v>
      </c>
    </row>
    <row r="367" spans="1:85" x14ac:dyDescent="0.25">
      <c r="A367" s="320" t="s">
        <v>1223</v>
      </c>
      <c r="B367" s="320" t="s">
        <v>1224</v>
      </c>
      <c r="C367" s="320"/>
      <c r="D367" s="320" t="s">
        <v>707</v>
      </c>
      <c r="E367" s="320">
        <v>2016</v>
      </c>
      <c r="F367" s="404"/>
      <c r="G367" s="676"/>
      <c r="H367" s="676"/>
      <c r="I367" s="676">
        <v>38246</v>
      </c>
      <c r="J367" s="676">
        <v>8004979</v>
      </c>
      <c r="K367" s="676">
        <v>1384664</v>
      </c>
      <c r="L367" s="676">
        <v>38642</v>
      </c>
      <c r="M367" s="676"/>
      <c r="N367" s="676">
        <v>116259799</v>
      </c>
      <c r="O367" s="676"/>
      <c r="P367" s="676">
        <v>26017</v>
      </c>
      <c r="Q367" s="676">
        <v>250</v>
      </c>
      <c r="R367" s="676">
        <v>3494603</v>
      </c>
      <c r="S367" s="676"/>
      <c r="T367" s="676"/>
      <c r="U367" s="676"/>
      <c r="V367" s="676">
        <v>46399</v>
      </c>
      <c r="W367" s="676">
        <v>216765</v>
      </c>
      <c r="X367" s="676">
        <v>0</v>
      </c>
      <c r="Y367" s="676">
        <v>42076</v>
      </c>
      <c r="Z367" s="676">
        <v>0</v>
      </c>
      <c r="AA367" s="676"/>
      <c r="AB367" s="676">
        <v>68227</v>
      </c>
      <c r="AC367" s="676">
        <v>0</v>
      </c>
      <c r="AD367" s="676">
        <v>43322</v>
      </c>
      <c r="AE367" s="676">
        <v>1951754</v>
      </c>
      <c r="AF367" s="676">
        <v>24587</v>
      </c>
      <c r="AG367" s="676">
        <v>57569</v>
      </c>
      <c r="AH367" s="676">
        <v>675815</v>
      </c>
      <c r="AI367" s="676">
        <v>835225</v>
      </c>
      <c r="AJ367" s="676">
        <v>17133</v>
      </c>
      <c r="AK367" s="676">
        <v>2010</v>
      </c>
      <c r="AL367" s="676">
        <v>74322316</v>
      </c>
      <c r="AM367" s="676">
        <v>3784769</v>
      </c>
      <c r="AN367" s="676"/>
      <c r="AO367" s="676">
        <v>1254059</v>
      </c>
      <c r="AP367" s="676">
        <v>270553</v>
      </c>
      <c r="AQ367" s="676">
        <v>3023353</v>
      </c>
      <c r="AR367" s="676">
        <v>76</v>
      </c>
      <c r="AS367" s="676"/>
      <c r="AT367" s="676">
        <v>0</v>
      </c>
      <c r="AU367" s="676">
        <v>1761</v>
      </c>
      <c r="AV367" s="676"/>
      <c r="AW367" s="676">
        <v>2287636</v>
      </c>
      <c r="AX367" s="676">
        <v>81141087</v>
      </c>
      <c r="AY367" s="676"/>
      <c r="AZ367" s="676">
        <v>0</v>
      </c>
      <c r="BA367" s="676">
        <v>915</v>
      </c>
      <c r="BB367" s="676"/>
      <c r="BC367" s="676">
        <v>3574999</v>
      </c>
      <c r="BD367" s="676"/>
      <c r="BE367" s="676">
        <v>0</v>
      </c>
      <c r="BF367" s="676">
        <v>14830000</v>
      </c>
      <c r="BG367" s="676">
        <v>2122557000</v>
      </c>
      <c r="BH367" s="676">
        <v>1279987000</v>
      </c>
      <c r="BI367" s="676">
        <v>18365</v>
      </c>
      <c r="BJ367" s="676"/>
      <c r="BK367" s="676">
        <v>180111</v>
      </c>
      <c r="BL367" s="676"/>
      <c r="BM367" s="676"/>
      <c r="BN367" s="676">
        <v>1133356</v>
      </c>
      <c r="BO367" s="676"/>
      <c r="BP367" s="676"/>
      <c r="BQ367" s="676"/>
      <c r="BR367" s="676">
        <v>3305</v>
      </c>
      <c r="BS367" s="676"/>
      <c r="BT367" s="676">
        <v>20709</v>
      </c>
      <c r="BU367" s="676">
        <v>62962403</v>
      </c>
      <c r="BV367" s="676"/>
      <c r="BW367" s="676">
        <v>3012121</v>
      </c>
      <c r="BX367" s="676">
        <v>88944</v>
      </c>
      <c r="BY367" s="676">
        <v>1465472</v>
      </c>
      <c r="BZ367" s="676"/>
      <c r="CA367" s="676">
        <v>5207299.0999999996</v>
      </c>
      <c r="CB367" s="676">
        <v>1353391.89</v>
      </c>
      <c r="CC367" s="676"/>
      <c r="CD367" s="676"/>
      <c r="CE367" s="676"/>
      <c r="CF367" s="676"/>
      <c r="CG367" s="676"/>
    </row>
    <row r="368" spans="1:85" x14ac:dyDescent="0.25">
      <c r="A368" s="320" t="s">
        <v>1225</v>
      </c>
      <c r="B368" s="320" t="s">
        <v>1226</v>
      </c>
      <c r="C368" s="320"/>
      <c r="D368" s="320" t="s">
        <v>1227</v>
      </c>
      <c r="E368" s="320">
        <v>2016</v>
      </c>
      <c r="F368" s="404"/>
      <c r="G368" s="676"/>
      <c r="H368" s="676"/>
      <c r="I368" s="676"/>
      <c r="J368" s="676"/>
      <c r="K368" s="676"/>
      <c r="L368" s="676">
        <v>884630</v>
      </c>
      <c r="M368" s="676"/>
      <c r="N368" s="676"/>
      <c r="O368" s="676"/>
      <c r="P368" s="676"/>
      <c r="Q368" s="676"/>
      <c r="R368" s="676">
        <v>139468</v>
      </c>
      <c r="S368" s="676"/>
      <c r="T368" s="676"/>
      <c r="U368" s="676"/>
      <c r="V368" s="676"/>
      <c r="W368" s="676"/>
      <c r="X368" s="676">
        <v>0</v>
      </c>
      <c r="Y368" s="676">
        <v>285426689</v>
      </c>
      <c r="Z368" s="676">
        <v>36174.54</v>
      </c>
      <c r="AA368" s="676">
        <v>5096855</v>
      </c>
      <c r="AB368" s="676">
        <v>207051312</v>
      </c>
      <c r="AC368" s="676">
        <v>276.5</v>
      </c>
      <c r="AD368" s="676">
        <v>58071</v>
      </c>
      <c r="AE368" s="676">
        <v>5475</v>
      </c>
      <c r="AF368" s="676"/>
      <c r="AG368" s="676"/>
      <c r="AH368" s="676"/>
      <c r="AI368" s="676"/>
      <c r="AJ368" s="676"/>
      <c r="AK368" s="676">
        <v>15551</v>
      </c>
      <c r="AL368" s="676"/>
      <c r="AM368" s="676">
        <v>18742849</v>
      </c>
      <c r="AN368" s="676"/>
      <c r="AO368" s="676"/>
      <c r="AP368" s="676"/>
      <c r="AQ368" s="676"/>
      <c r="AR368" s="676"/>
      <c r="AS368" s="676"/>
      <c r="AT368" s="676">
        <v>0</v>
      </c>
      <c r="AU368" s="676"/>
      <c r="AV368" s="676"/>
      <c r="AW368" s="676">
        <v>472141</v>
      </c>
      <c r="AX368" s="676"/>
      <c r="AY368" s="676"/>
      <c r="AZ368" s="676">
        <v>0</v>
      </c>
      <c r="BA368" s="676"/>
      <c r="BB368" s="676"/>
      <c r="BC368" s="676"/>
      <c r="BD368" s="676"/>
      <c r="BE368" s="676">
        <v>0</v>
      </c>
      <c r="BF368" s="676"/>
      <c r="BG368" s="676"/>
      <c r="BH368" s="676"/>
      <c r="BI368" s="676">
        <v>56607036</v>
      </c>
      <c r="BJ368" s="676">
        <v>40402482</v>
      </c>
      <c r="BK368" s="676"/>
      <c r="BL368" s="676"/>
      <c r="BM368" s="676"/>
      <c r="BN368" s="676">
        <v>0</v>
      </c>
      <c r="BO368" s="676"/>
      <c r="BP368" s="676"/>
      <c r="BQ368" s="676"/>
      <c r="BR368" s="676"/>
      <c r="BS368" s="676"/>
      <c r="BT368" s="676"/>
      <c r="BU368" s="676"/>
      <c r="BV368" s="676"/>
      <c r="BW368" s="676">
        <v>78128044</v>
      </c>
      <c r="BX368" s="676">
        <v>15883856</v>
      </c>
      <c r="BY368" s="676"/>
      <c r="BZ368" s="676"/>
      <c r="CA368" s="676"/>
      <c r="CB368" s="676"/>
      <c r="CC368" s="676"/>
      <c r="CD368" s="676"/>
      <c r="CE368" s="676"/>
      <c r="CF368" s="676"/>
      <c r="CG368" s="676"/>
    </row>
    <row r="369" spans="1:85" x14ac:dyDescent="0.25">
      <c r="A369" s="320" t="s">
        <v>1228</v>
      </c>
      <c r="B369" s="320" t="s">
        <v>1229</v>
      </c>
      <c r="C369" s="320"/>
      <c r="D369" s="320" t="s">
        <v>709</v>
      </c>
      <c r="E369" s="320">
        <v>2016</v>
      </c>
      <c r="F369" s="404">
        <v>1093635</v>
      </c>
      <c r="G369" s="676">
        <v>5788987</v>
      </c>
      <c r="H369" s="676">
        <v>10122785</v>
      </c>
      <c r="I369" s="676">
        <v>8053370</v>
      </c>
      <c r="J369" s="676">
        <v>9450824</v>
      </c>
      <c r="K369" s="676">
        <v>10502406</v>
      </c>
      <c r="L369" s="676">
        <v>4819361</v>
      </c>
      <c r="M369" s="676">
        <v>161029020</v>
      </c>
      <c r="N369" s="676">
        <v>116387934</v>
      </c>
      <c r="O369" s="676">
        <v>87604605</v>
      </c>
      <c r="P369" s="676">
        <v>22229780</v>
      </c>
      <c r="Q369" s="676">
        <v>462087</v>
      </c>
      <c r="R369" s="676">
        <v>19565352</v>
      </c>
      <c r="S369" s="676">
        <v>236087570</v>
      </c>
      <c r="T369" s="676">
        <v>12964711</v>
      </c>
      <c r="U369" s="676">
        <v>760589000</v>
      </c>
      <c r="V369" s="676">
        <v>22217268</v>
      </c>
      <c r="W369" s="676">
        <v>5069150</v>
      </c>
      <c r="X369" s="676">
        <v>390449.96</v>
      </c>
      <c r="Y369" s="676">
        <v>928142</v>
      </c>
      <c r="Z369" s="676">
        <v>33160002.420000002</v>
      </c>
      <c r="AA369" s="676">
        <v>194140</v>
      </c>
      <c r="AB369" s="676">
        <v>11639252</v>
      </c>
      <c r="AC369" s="676">
        <v>4931186.7699999996</v>
      </c>
      <c r="AD369" s="676">
        <v>14069446</v>
      </c>
      <c r="AE369" s="676">
        <v>6363443</v>
      </c>
      <c r="AF369" s="676">
        <v>20849446</v>
      </c>
      <c r="AG369" s="676">
        <v>207476</v>
      </c>
      <c r="AH369" s="676">
        <v>785546</v>
      </c>
      <c r="AI369" s="676">
        <v>705321</v>
      </c>
      <c r="AJ369" s="676">
        <v>144824</v>
      </c>
      <c r="AK369" s="676">
        <v>65283222</v>
      </c>
      <c r="AL369" s="676">
        <v>40747773</v>
      </c>
      <c r="AM369" s="676">
        <v>297297</v>
      </c>
      <c r="AN369" s="676">
        <v>255174000</v>
      </c>
      <c r="AO369" s="676">
        <v>81618861</v>
      </c>
      <c r="AP369" s="676">
        <v>32159164</v>
      </c>
      <c r="AQ369" s="676">
        <v>37773918</v>
      </c>
      <c r="AR369" s="676">
        <v>15064795</v>
      </c>
      <c r="AS369" s="676">
        <v>20623183</v>
      </c>
      <c r="AT369" s="676">
        <v>15894969.65</v>
      </c>
      <c r="AU369" s="676">
        <v>17675758</v>
      </c>
      <c r="AV369" s="676">
        <v>31703305</v>
      </c>
      <c r="AW369" s="676">
        <v>1322135</v>
      </c>
      <c r="AX369" s="676">
        <v>41523527</v>
      </c>
      <c r="AY369" s="676">
        <v>53046022</v>
      </c>
      <c r="AZ369" s="676">
        <v>28240</v>
      </c>
      <c r="BA369" s="676">
        <v>7945268</v>
      </c>
      <c r="BB369" s="676">
        <v>33062960</v>
      </c>
      <c r="BC369" s="676">
        <v>10979254</v>
      </c>
      <c r="BD369" s="676">
        <v>360541921</v>
      </c>
      <c r="BE369" s="676">
        <v>134587.28</v>
      </c>
      <c r="BF369" s="676">
        <v>283184000</v>
      </c>
      <c r="BG369" s="676">
        <v>3498000</v>
      </c>
      <c r="BH369" s="676"/>
      <c r="BI369" s="676">
        <v>20376752</v>
      </c>
      <c r="BJ369" s="676">
        <v>481552</v>
      </c>
      <c r="BK369" s="676">
        <v>2725490</v>
      </c>
      <c r="BL369" s="676">
        <v>3957649</v>
      </c>
      <c r="BM369" s="676">
        <v>645932000</v>
      </c>
      <c r="BN369" s="676">
        <v>44125604</v>
      </c>
      <c r="BO369" s="676">
        <v>3807096</v>
      </c>
      <c r="BP369" s="676">
        <v>5816126</v>
      </c>
      <c r="BQ369" s="676">
        <v>1828916</v>
      </c>
      <c r="BR369" s="676">
        <v>2816990</v>
      </c>
      <c r="BS369" s="676">
        <v>431180059</v>
      </c>
      <c r="BT369" s="676">
        <v>52738339</v>
      </c>
      <c r="BU369" s="676">
        <v>8636302</v>
      </c>
      <c r="BV369" s="676">
        <v>2744455</v>
      </c>
      <c r="BW369" s="676">
        <v>8953107</v>
      </c>
      <c r="BX369" s="676">
        <v>1250914</v>
      </c>
      <c r="BY369" s="676">
        <v>13091845</v>
      </c>
      <c r="BZ369" s="676">
        <v>23816000</v>
      </c>
      <c r="CA369" s="676">
        <v>14719183.130000001</v>
      </c>
      <c r="CB369" s="676">
        <v>54763254.530000001</v>
      </c>
      <c r="CC369" s="676">
        <v>37661000</v>
      </c>
      <c r="CD369" s="676">
        <v>703105</v>
      </c>
      <c r="CE369" s="676">
        <v>162949000</v>
      </c>
      <c r="CF369" s="676">
        <v>265392000</v>
      </c>
      <c r="CG369" s="676">
        <v>90635000</v>
      </c>
    </row>
    <row r="370" spans="1:85" x14ac:dyDescent="0.25">
      <c r="A370" s="320" t="s">
        <v>1230</v>
      </c>
      <c r="B370" s="320" t="s">
        <v>1231</v>
      </c>
      <c r="C370" s="320"/>
      <c r="D370" s="320" t="s">
        <v>712</v>
      </c>
      <c r="E370" s="320">
        <v>2016</v>
      </c>
      <c r="F370" s="404"/>
      <c r="G370" s="676">
        <v>-10955</v>
      </c>
      <c r="H370" s="676"/>
      <c r="I370" s="676"/>
      <c r="J370" s="676"/>
      <c r="K370" s="676">
        <v>6065</v>
      </c>
      <c r="L370" s="676"/>
      <c r="M370" s="676">
        <v>478073</v>
      </c>
      <c r="N370" s="676"/>
      <c r="O370" s="676"/>
      <c r="P370" s="676"/>
      <c r="Q370" s="676"/>
      <c r="R370" s="676">
        <v>2650</v>
      </c>
      <c r="S370" s="676"/>
      <c r="T370" s="676"/>
      <c r="U370" s="676"/>
      <c r="V370" s="676"/>
      <c r="W370" s="676"/>
      <c r="X370" s="676">
        <v>0</v>
      </c>
      <c r="Y370" s="676"/>
      <c r="Z370" s="676">
        <v>0</v>
      </c>
      <c r="AA370" s="676">
        <v>-1220</v>
      </c>
      <c r="AB370" s="676">
        <v>551192</v>
      </c>
      <c r="AC370" s="676">
        <v>71.849999999999994</v>
      </c>
      <c r="AD370" s="676">
        <v>-1416765</v>
      </c>
      <c r="AE370" s="676"/>
      <c r="AF370" s="676"/>
      <c r="AG370" s="676"/>
      <c r="AH370" s="676"/>
      <c r="AI370" s="676"/>
      <c r="AJ370" s="676"/>
      <c r="AK370" s="676">
        <v>462</v>
      </c>
      <c r="AL370" s="676">
        <v>28388</v>
      </c>
      <c r="AM370" s="676">
        <v>1107162</v>
      </c>
      <c r="AN370" s="676"/>
      <c r="AO370" s="676"/>
      <c r="AP370" s="676"/>
      <c r="AQ370" s="676"/>
      <c r="AR370" s="676"/>
      <c r="AS370" s="676"/>
      <c r="AT370" s="676">
        <v>0</v>
      </c>
      <c r="AU370" s="676"/>
      <c r="AV370" s="676"/>
      <c r="AW370" s="676">
        <v>646</v>
      </c>
      <c r="AX370" s="676"/>
      <c r="AY370" s="676"/>
      <c r="AZ370" s="676">
        <v>0</v>
      </c>
      <c r="BA370" s="676"/>
      <c r="BB370" s="676"/>
      <c r="BC370" s="676"/>
      <c r="BD370" s="676"/>
      <c r="BE370" s="676">
        <v>0</v>
      </c>
      <c r="BF370" s="676"/>
      <c r="BG370" s="676"/>
      <c r="BH370" s="676"/>
      <c r="BI370" s="676">
        <v>-14256</v>
      </c>
      <c r="BJ370" s="676"/>
      <c r="BK370" s="676"/>
      <c r="BL370" s="676"/>
      <c r="BM370" s="676"/>
      <c r="BN370" s="676">
        <v>0</v>
      </c>
      <c r="BO370" s="676"/>
      <c r="BP370" s="676"/>
      <c r="BQ370" s="676"/>
      <c r="BR370" s="676">
        <v>-1839</v>
      </c>
      <c r="BS370" s="676"/>
      <c r="BT370" s="676"/>
      <c r="BU370" s="676"/>
      <c r="BV370" s="676"/>
      <c r="BW370" s="676"/>
      <c r="BX370" s="676">
        <v>-1312</v>
      </c>
      <c r="BY370" s="676"/>
      <c r="BZ370" s="676"/>
      <c r="CA370" s="676"/>
      <c r="CB370" s="676"/>
      <c r="CC370" s="676"/>
      <c r="CD370" s="676"/>
      <c r="CE370" s="676"/>
      <c r="CF370" s="676"/>
      <c r="CG370" s="676"/>
    </row>
    <row r="371" spans="1:85" x14ac:dyDescent="0.25">
      <c r="A371" s="320" t="s">
        <v>1232</v>
      </c>
      <c r="B371" s="320" t="s">
        <v>1233</v>
      </c>
      <c r="C371" s="320"/>
      <c r="D371" s="320" t="s">
        <v>714</v>
      </c>
      <c r="E371" s="320">
        <v>2016</v>
      </c>
      <c r="F371" s="404"/>
      <c r="G371" s="676">
        <v>1664</v>
      </c>
      <c r="H371" s="676"/>
      <c r="I371" s="676">
        <v>1548</v>
      </c>
      <c r="J371" s="676"/>
      <c r="K371" s="676">
        <v>5586</v>
      </c>
      <c r="L371" s="676"/>
      <c r="M371" s="676"/>
      <c r="N371" s="676"/>
      <c r="O371" s="676">
        <v>14876645</v>
      </c>
      <c r="P371" s="676"/>
      <c r="Q371" s="676"/>
      <c r="R371" s="676">
        <v>16159</v>
      </c>
      <c r="S371" s="676"/>
      <c r="T371" s="676">
        <v>1257</v>
      </c>
      <c r="U371" s="676">
        <v>1337000</v>
      </c>
      <c r="V371" s="676"/>
      <c r="W371" s="676">
        <v>56114</v>
      </c>
      <c r="X371" s="676">
        <v>0</v>
      </c>
      <c r="Y371" s="676"/>
      <c r="Z371" s="676">
        <v>2044155.22</v>
      </c>
      <c r="AA371" s="676">
        <v>434336</v>
      </c>
      <c r="AB371" s="676">
        <v>3514610</v>
      </c>
      <c r="AC371" s="676">
        <v>33492.6</v>
      </c>
      <c r="AD371" s="676">
        <v>388251</v>
      </c>
      <c r="AE371" s="676"/>
      <c r="AF371" s="676"/>
      <c r="AG371" s="676"/>
      <c r="AH371" s="676"/>
      <c r="AI371" s="676"/>
      <c r="AJ371" s="676"/>
      <c r="AK371" s="676">
        <v>3659</v>
      </c>
      <c r="AL371" s="676"/>
      <c r="AM371" s="676">
        <v>1473889</v>
      </c>
      <c r="AN371" s="676"/>
      <c r="AO371" s="676"/>
      <c r="AP371" s="676">
        <v>566400</v>
      </c>
      <c r="AQ371" s="676">
        <v>16555</v>
      </c>
      <c r="AR371" s="676">
        <v>287251</v>
      </c>
      <c r="AS371" s="676">
        <v>394190</v>
      </c>
      <c r="AT371" s="676">
        <v>0</v>
      </c>
      <c r="AU371" s="676">
        <v>537</v>
      </c>
      <c r="AV371" s="676"/>
      <c r="AW371" s="676">
        <v>97028</v>
      </c>
      <c r="AX371" s="676"/>
      <c r="AY371" s="676"/>
      <c r="AZ371" s="676">
        <v>5753</v>
      </c>
      <c r="BA371" s="676"/>
      <c r="BB371" s="676"/>
      <c r="BC371" s="676"/>
      <c r="BD371" s="676">
        <v>601046</v>
      </c>
      <c r="BE371" s="676">
        <v>0</v>
      </c>
      <c r="BF371" s="676">
        <v>1348000</v>
      </c>
      <c r="BG371" s="676"/>
      <c r="BH371" s="676">
        <v>282000</v>
      </c>
      <c r="BI371" s="676">
        <v>5492728</v>
      </c>
      <c r="BJ371" s="676"/>
      <c r="BK371" s="676"/>
      <c r="BL371" s="676"/>
      <c r="BM371" s="676"/>
      <c r="BN371" s="676">
        <v>123</v>
      </c>
      <c r="BO371" s="676">
        <v>126</v>
      </c>
      <c r="BP371" s="676"/>
      <c r="BQ371" s="676"/>
      <c r="BR371" s="676">
        <v>1173</v>
      </c>
      <c r="BS371" s="676"/>
      <c r="BT371" s="676">
        <v>58217</v>
      </c>
      <c r="BU371" s="676"/>
      <c r="BV371" s="676"/>
      <c r="BW371" s="676">
        <v>999408</v>
      </c>
      <c r="BX371" s="676">
        <v>443945</v>
      </c>
      <c r="BY371" s="676">
        <v>290738</v>
      </c>
      <c r="BZ371" s="676">
        <v>276000</v>
      </c>
      <c r="CA371" s="676"/>
      <c r="CB371" s="676">
        <v>5338.22</v>
      </c>
      <c r="CC371" s="676"/>
      <c r="CD371" s="676"/>
      <c r="CE371" s="676"/>
      <c r="CF371" s="676"/>
      <c r="CG371" s="676"/>
    </row>
    <row r="372" spans="1:85" x14ac:dyDescent="0.25">
      <c r="A372" s="320" t="s">
        <v>1234</v>
      </c>
      <c r="B372" s="320" t="s">
        <v>1235</v>
      </c>
      <c r="C372" s="320"/>
      <c r="D372" s="320" t="s">
        <v>716</v>
      </c>
      <c r="E372" s="320">
        <v>2016</v>
      </c>
      <c r="F372" s="404"/>
      <c r="G372" s="676">
        <v>2525</v>
      </c>
      <c r="H372" s="676">
        <v>510</v>
      </c>
      <c r="I372" s="676">
        <v>18831</v>
      </c>
      <c r="J372" s="676">
        <v>237767</v>
      </c>
      <c r="K372" s="676">
        <v>1125</v>
      </c>
      <c r="L372" s="676"/>
      <c r="M372" s="676">
        <v>140409</v>
      </c>
      <c r="N372" s="676">
        <v>2130</v>
      </c>
      <c r="O372" s="676">
        <v>10411</v>
      </c>
      <c r="P372" s="676">
        <v>65517</v>
      </c>
      <c r="Q372" s="676">
        <v>400958</v>
      </c>
      <c r="R372" s="676">
        <v>37954</v>
      </c>
      <c r="S372" s="676">
        <v>24000</v>
      </c>
      <c r="T372" s="676">
        <v>277150</v>
      </c>
      <c r="U372" s="676"/>
      <c r="V372" s="676">
        <v>7958</v>
      </c>
      <c r="W372" s="676">
        <v>530379</v>
      </c>
      <c r="X372" s="676">
        <v>396065.66</v>
      </c>
      <c r="Y372" s="676"/>
      <c r="Z372" s="676">
        <v>186181.39</v>
      </c>
      <c r="AA372" s="676">
        <v>56312</v>
      </c>
      <c r="AB372" s="676">
        <v>2795364</v>
      </c>
      <c r="AC372" s="676">
        <v>0</v>
      </c>
      <c r="AD372" s="676">
        <v>286889</v>
      </c>
      <c r="AE372" s="676">
        <v>3440</v>
      </c>
      <c r="AF372" s="676">
        <v>955845</v>
      </c>
      <c r="AG372" s="676">
        <v>20</v>
      </c>
      <c r="AH372" s="676">
        <v>21123</v>
      </c>
      <c r="AI372" s="676">
        <v>250922</v>
      </c>
      <c r="AJ372" s="676"/>
      <c r="AK372" s="676">
        <v>0</v>
      </c>
      <c r="AL372" s="676">
        <v>49024</v>
      </c>
      <c r="AM372" s="676">
        <v>608983</v>
      </c>
      <c r="AN372" s="676"/>
      <c r="AO372" s="676"/>
      <c r="AP372" s="676">
        <v>192055</v>
      </c>
      <c r="AQ372" s="676">
        <v>40592</v>
      </c>
      <c r="AR372" s="676">
        <v>65433</v>
      </c>
      <c r="AS372" s="676">
        <v>74387</v>
      </c>
      <c r="AT372" s="676">
        <v>10820.73</v>
      </c>
      <c r="AU372" s="676">
        <v>35870</v>
      </c>
      <c r="AV372" s="676">
        <v>353931</v>
      </c>
      <c r="AW372" s="676">
        <v>162</v>
      </c>
      <c r="AX372" s="676">
        <v>74000</v>
      </c>
      <c r="AY372" s="676">
        <v>900000</v>
      </c>
      <c r="AZ372" s="676">
        <v>151574</v>
      </c>
      <c r="BA372" s="676">
        <v>184043</v>
      </c>
      <c r="BB372" s="676">
        <v>15845</v>
      </c>
      <c r="BC372" s="676">
        <v>59259</v>
      </c>
      <c r="BD372" s="676"/>
      <c r="BE372" s="676">
        <v>0</v>
      </c>
      <c r="BF372" s="676"/>
      <c r="BG372" s="676"/>
      <c r="BH372" s="676"/>
      <c r="BI372" s="676">
        <v>995035</v>
      </c>
      <c r="BJ372" s="676">
        <v>6166</v>
      </c>
      <c r="BK372" s="676">
        <v>21</v>
      </c>
      <c r="BL372" s="676">
        <v>18840</v>
      </c>
      <c r="BM372" s="676"/>
      <c r="BN372" s="676">
        <v>84</v>
      </c>
      <c r="BO372" s="676">
        <v>49</v>
      </c>
      <c r="BP372" s="676">
        <v>735</v>
      </c>
      <c r="BQ372" s="676">
        <v>31419</v>
      </c>
      <c r="BR372" s="676"/>
      <c r="BS372" s="676"/>
      <c r="BT372" s="676">
        <v>768168</v>
      </c>
      <c r="BU372" s="676"/>
      <c r="BV372" s="676">
        <v>22838</v>
      </c>
      <c r="BW372" s="676">
        <v>70754</v>
      </c>
      <c r="BX372" s="676">
        <v>765385</v>
      </c>
      <c r="BY372" s="676">
        <v>173738</v>
      </c>
      <c r="BZ372" s="676"/>
      <c r="CA372" s="676"/>
      <c r="CB372" s="676"/>
      <c r="CC372" s="676">
        <v>197000</v>
      </c>
      <c r="CD372" s="676">
        <v>18480</v>
      </c>
      <c r="CE372" s="676">
        <v>10317000</v>
      </c>
      <c r="CF372" s="676"/>
      <c r="CG372" s="676">
        <v>294000</v>
      </c>
    </row>
    <row r="373" spans="1:85" x14ac:dyDescent="0.25">
      <c r="A373" s="320" t="s">
        <v>1236</v>
      </c>
      <c r="B373" s="320" t="s">
        <v>1237</v>
      </c>
      <c r="C373" s="320"/>
      <c r="D373" s="320" t="s">
        <v>718</v>
      </c>
      <c r="E373" s="320">
        <v>2016</v>
      </c>
      <c r="F373" s="404">
        <v>76132</v>
      </c>
      <c r="G373" s="676">
        <v>520777</v>
      </c>
      <c r="H373" s="676">
        <v>12030489</v>
      </c>
      <c r="I373" s="676">
        <v>12368796</v>
      </c>
      <c r="J373" s="676">
        <v>171719</v>
      </c>
      <c r="K373" s="676">
        <v>5963</v>
      </c>
      <c r="L373" s="676">
        <v>2594</v>
      </c>
      <c r="M373" s="676">
        <v>11958</v>
      </c>
      <c r="N373" s="676">
        <v>112258</v>
      </c>
      <c r="O373" s="676">
        <v>611112</v>
      </c>
      <c r="P373" s="676">
        <v>851772</v>
      </c>
      <c r="Q373" s="676"/>
      <c r="R373" s="676">
        <v>26643</v>
      </c>
      <c r="S373" s="676">
        <v>117618</v>
      </c>
      <c r="T373" s="676">
        <v>11848749</v>
      </c>
      <c r="U373" s="676">
        <v>5988000</v>
      </c>
      <c r="V373" s="676">
        <v>64894</v>
      </c>
      <c r="W373" s="676">
        <v>42485</v>
      </c>
      <c r="X373" s="676">
        <v>562057.61</v>
      </c>
      <c r="Y373" s="676">
        <v>505757</v>
      </c>
      <c r="Z373" s="676">
        <v>95296104.799999997</v>
      </c>
      <c r="AA373" s="676">
        <v>706336</v>
      </c>
      <c r="AB373" s="676">
        <v>2343082</v>
      </c>
      <c r="AC373" s="676">
        <v>7474.78</v>
      </c>
      <c r="AD373" s="676">
        <v>40737</v>
      </c>
      <c r="AE373" s="676">
        <v>797326</v>
      </c>
      <c r="AF373" s="676">
        <v>3002470</v>
      </c>
      <c r="AG373" s="676">
        <v>237465</v>
      </c>
      <c r="AH373" s="676">
        <v>784990</v>
      </c>
      <c r="AI373" s="676">
        <v>361266</v>
      </c>
      <c r="AJ373" s="676">
        <v>545476</v>
      </c>
      <c r="AK373" s="676">
        <v>859680</v>
      </c>
      <c r="AL373" s="676">
        <v>114118</v>
      </c>
      <c r="AM373" s="676">
        <v>1856631</v>
      </c>
      <c r="AN373" s="676">
        <v>79164000</v>
      </c>
      <c r="AO373" s="676">
        <v>603454</v>
      </c>
      <c r="AP373" s="676">
        <v>1193933</v>
      </c>
      <c r="AQ373" s="676">
        <v>1086985</v>
      </c>
      <c r="AR373" s="676">
        <v>1416902</v>
      </c>
      <c r="AS373" s="676">
        <v>79485</v>
      </c>
      <c r="AT373" s="676">
        <v>54958.73</v>
      </c>
      <c r="AU373" s="676">
        <v>645576</v>
      </c>
      <c r="AV373" s="676">
        <v>176131</v>
      </c>
      <c r="AW373" s="676">
        <v>1745</v>
      </c>
      <c r="AX373" s="676">
        <v>24041</v>
      </c>
      <c r="AY373" s="676">
        <v>6353862</v>
      </c>
      <c r="AZ373" s="676">
        <v>1637459</v>
      </c>
      <c r="BA373" s="676">
        <v>10171402</v>
      </c>
      <c r="BB373" s="676">
        <v>390628</v>
      </c>
      <c r="BC373" s="676">
        <v>14578890</v>
      </c>
      <c r="BD373" s="676">
        <v>6822289</v>
      </c>
      <c r="BE373" s="676">
        <v>10380703.07</v>
      </c>
      <c r="BF373" s="676">
        <v>13211000</v>
      </c>
      <c r="BG373" s="676">
        <v>11759000</v>
      </c>
      <c r="BH373" s="676">
        <v>25125000</v>
      </c>
      <c r="BI373" s="676">
        <v>23894049</v>
      </c>
      <c r="BJ373" s="676">
        <v>1818600</v>
      </c>
      <c r="BK373" s="676">
        <v>11772</v>
      </c>
      <c r="BL373" s="676">
        <v>10674</v>
      </c>
      <c r="BM373" s="676">
        <v>4032000</v>
      </c>
      <c r="BN373" s="676">
        <v>352986</v>
      </c>
      <c r="BO373" s="676">
        <v>7701</v>
      </c>
      <c r="BP373" s="676">
        <v>17664</v>
      </c>
      <c r="BQ373" s="676">
        <v>41265</v>
      </c>
      <c r="BR373" s="676">
        <v>1859</v>
      </c>
      <c r="BS373" s="676">
        <v>262948</v>
      </c>
      <c r="BT373" s="676">
        <v>1190563</v>
      </c>
      <c r="BU373" s="676">
        <v>9117</v>
      </c>
      <c r="BV373" s="676">
        <v>32096</v>
      </c>
      <c r="BW373" s="676">
        <v>7754097</v>
      </c>
      <c r="BX373" s="676">
        <v>2485724</v>
      </c>
      <c r="BY373" s="676">
        <v>372063</v>
      </c>
      <c r="BZ373" s="676">
        <v>456000</v>
      </c>
      <c r="CA373" s="676">
        <v>431434.12</v>
      </c>
      <c r="CB373" s="676">
        <v>359076.83</v>
      </c>
      <c r="CC373" s="676">
        <v>6374000</v>
      </c>
      <c r="CD373" s="676">
        <v>941868</v>
      </c>
      <c r="CE373" s="676">
        <v>293271000</v>
      </c>
      <c r="CF373" s="676">
        <v>12644000</v>
      </c>
      <c r="CG373" s="676">
        <v>273240000</v>
      </c>
    </row>
    <row r="374" spans="1:85" x14ac:dyDescent="0.25">
      <c r="A374" s="320" t="s">
        <v>1222</v>
      </c>
      <c r="B374" s="320" t="s">
        <v>1420</v>
      </c>
      <c r="C374" s="320" t="s">
        <v>1421</v>
      </c>
      <c r="D374" s="320" t="s">
        <v>720</v>
      </c>
      <c r="E374" s="320">
        <v>2016</v>
      </c>
      <c r="F374" s="404">
        <v>1167736</v>
      </c>
      <c r="G374" s="676">
        <v>6228956</v>
      </c>
      <c r="H374" s="676">
        <v>21833469</v>
      </c>
      <c r="I374" s="676">
        <v>18738252</v>
      </c>
      <c r="J374" s="676">
        <v>16798947</v>
      </c>
      <c r="K374" s="676">
        <v>12039532</v>
      </c>
      <c r="L374" s="676">
        <v>5430018</v>
      </c>
      <c r="M374" s="676">
        <v>151492221</v>
      </c>
      <c r="N374" s="676">
        <v>227656999</v>
      </c>
      <c r="O374" s="676">
        <v>101381945</v>
      </c>
      <c r="P374" s="676">
        <v>20616554</v>
      </c>
      <c r="Q374" s="676">
        <v>1991134</v>
      </c>
      <c r="R374" s="676">
        <v>21768745</v>
      </c>
      <c r="S374" s="676">
        <v>224017182</v>
      </c>
      <c r="T374" s="676">
        <v>24122680</v>
      </c>
      <c r="U374" s="676">
        <v>233165000</v>
      </c>
      <c r="V374" s="676">
        <v>19130360</v>
      </c>
      <c r="W374" s="676">
        <v>6202863</v>
      </c>
      <c r="X374" s="676">
        <v>8199458.0800000001</v>
      </c>
      <c r="Y374" s="676">
        <v>280499856</v>
      </c>
      <c r="Z374" s="676">
        <v>113156493.16</v>
      </c>
      <c r="AA374" s="676">
        <v>6434336</v>
      </c>
      <c r="AB374" s="676">
        <v>219384269</v>
      </c>
      <c r="AC374" s="676">
        <v>5239941.41</v>
      </c>
      <c r="AD374" s="676">
        <v>13996992</v>
      </c>
      <c r="AE374" s="676">
        <v>7202546</v>
      </c>
      <c r="AF374" s="676">
        <v>30736214</v>
      </c>
      <c r="AG374" s="676">
        <v>1132655</v>
      </c>
      <c r="AH374" s="676">
        <v>2781560</v>
      </c>
      <c r="AI374" s="676">
        <v>2242142</v>
      </c>
      <c r="AJ374" s="676">
        <v>825196</v>
      </c>
      <c r="AK374" s="676">
        <v>64298687</v>
      </c>
      <c r="AL374" s="676">
        <v>113295916</v>
      </c>
      <c r="AM374" s="676">
        <v>25657347</v>
      </c>
      <c r="AN374" s="676">
        <v>295839000</v>
      </c>
      <c r="AO374" s="676">
        <v>83517215</v>
      </c>
      <c r="AP374" s="676">
        <v>32049975</v>
      </c>
      <c r="AQ374" s="676">
        <v>41653994</v>
      </c>
      <c r="AR374" s="676">
        <v>15407786</v>
      </c>
      <c r="AS374" s="676">
        <v>20756122</v>
      </c>
      <c r="AT374" s="676">
        <v>23124246.969999999</v>
      </c>
      <c r="AU374" s="676">
        <v>18301005</v>
      </c>
      <c r="AV374" s="676">
        <v>32164436</v>
      </c>
      <c r="AW374" s="676">
        <v>4126469</v>
      </c>
      <c r="AX374" s="676">
        <v>111875650</v>
      </c>
      <c r="AY374" s="676">
        <v>56734298</v>
      </c>
      <c r="AZ374" s="676">
        <v>1799270</v>
      </c>
      <c r="BA374" s="676">
        <v>17288036</v>
      </c>
      <c r="BB374" s="676">
        <v>31370959</v>
      </c>
      <c r="BC374" s="676">
        <v>28054389</v>
      </c>
      <c r="BD374" s="676">
        <v>290201682</v>
      </c>
      <c r="BE374" s="676">
        <v>8166047.5199999996</v>
      </c>
      <c r="BF374" s="676">
        <v>305633000</v>
      </c>
      <c r="BG374" s="676">
        <v>1956888000</v>
      </c>
      <c r="BH374" s="676">
        <v>1317853000</v>
      </c>
      <c r="BI374" s="676">
        <v>111120099</v>
      </c>
      <c r="BJ374" s="676">
        <v>35484992</v>
      </c>
      <c r="BK374" s="676">
        <v>3089767</v>
      </c>
      <c r="BL374" s="676">
        <v>3648306</v>
      </c>
      <c r="BM374" s="676">
        <v>625197000</v>
      </c>
      <c r="BN374" s="676">
        <v>44606298</v>
      </c>
      <c r="BO374" s="676">
        <v>3512754</v>
      </c>
      <c r="BP374" s="676">
        <v>5656583</v>
      </c>
      <c r="BQ374" s="676">
        <v>1681833</v>
      </c>
      <c r="BR374" s="676">
        <v>2592856</v>
      </c>
      <c r="BS374" s="676">
        <v>417968332</v>
      </c>
      <c r="BT374" s="676">
        <v>45268477</v>
      </c>
      <c r="BU374" s="676">
        <v>70736992</v>
      </c>
      <c r="BV374" s="676">
        <v>4452729</v>
      </c>
      <c r="BW374" s="676">
        <v>90358965</v>
      </c>
      <c r="BX374" s="676">
        <v>20605187</v>
      </c>
      <c r="BY374" s="676">
        <v>15228573</v>
      </c>
      <c r="BZ374" s="676">
        <v>22863000</v>
      </c>
      <c r="CA374" s="676">
        <v>19174532.23</v>
      </c>
      <c r="CB374" s="676">
        <v>52935518.710000001</v>
      </c>
      <c r="CC374" s="676">
        <v>41499000</v>
      </c>
      <c r="CD374" s="676">
        <v>1780334</v>
      </c>
      <c r="CE374" s="676">
        <v>454749000</v>
      </c>
      <c r="CF374" s="676">
        <v>276286000</v>
      </c>
      <c r="CG374" s="676">
        <v>366488000</v>
      </c>
    </row>
    <row r="375" spans="1:85" x14ac:dyDescent="0.25">
      <c r="A375" s="320" t="s">
        <v>1238</v>
      </c>
      <c r="B375" s="320" t="s">
        <v>1239</v>
      </c>
      <c r="C375" s="320"/>
      <c r="D375" s="320" t="s">
        <v>435</v>
      </c>
      <c r="E375" s="320">
        <v>2016</v>
      </c>
      <c r="F375" s="404"/>
      <c r="G375" s="676"/>
      <c r="H375" s="676"/>
      <c r="I375" s="676">
        <v>37188</v>
      </c>
      <c r="J375" s="676">
        <v>7513617</v>
      </c>
      <c r="K375" s="676">
        <v>1193868</v>
      </c>
      <c r="L375" s="676">
        <v>36629</v>
      </c>
      <c r="M375" s="676"/>
      <c r="N375" s="676">
        <v>103638655</v>
      </c>
      <c r="O375" s="676"/>
      <c r="P375" s="676">
        <v>22609</v>
      </c>
      <c r="Q375" s="676">
        <v>122</v>
      </c>
      <c r="R375" s="676">
        <v>3201621</v>
      </c>
      <c r="S375" s="676"/>
      <c r="T375" s="676"/>
      <c r="U375" s="676"/>
      <c r="V375" s="676">
        <v>46392</v>
      </c>
      <c r="W375" s="676">
        <v>111667</v>
      </c>
      <c r="X375" s="676">
        <v>0</v>
      </c>
      <c r="Y375" s="676">
        <v>34454</v>
      </c>
      <c r="Z375" s="676">
        <v>0</v>
      </c>
      <c r="AA375" s="676"/>
      <c r="AB375" s="676">
        <v>49227</v>
      </c>
      <c r="AC375" s="676">
        <v>0</v>
      </c>
      <c r="AD375" s="676">
        <v>27761</v>
      </c>
      <c r="AE375" s="676">
        <v>1643790</v>
      </c>
      <c r="AF375" s="676">
        <v>4941</v>
      </c>
      <c r="AG375" s="676">
        <v>42891</v>
      </c>
      <c r="AH375" s="676">
        <v>407387</v>
      </c>
      <c r="AI375" s="676">
        <v>387731</v>
      </c>
      <c r="AJ375" s="676">
        <v>9402</v>
      </c>
      <c r="AK375" s="676">
        <v>1354</v>
      </c>
      <c r="AL375" s="676">
        <v>70055044</v>
      </c>
      <c r="AM375" s="676">
        <v>3201065</v>
      </c>
      <c r="AN375" s="676"/>
      <c r="AO375" s="676">
        <v>1156678</v>
      </c>
      <c r="AP375" s="676">
        <v>176852</v>
      </c>
      <c r="AQ375" s="676">
        <v>2578108</v>
      </c>
      <c r="AR375" s="676"/>
      <c r="AS375" s="676"/>
      <c r="AT375" s="676">
        <v>0</v>
      </c>
      <c r="AU375" s="676">
        <v>1761</v>
      </c>
      <c r="AV375" s="676"/>
      <c r="AW375" s="676">
        <v>2360543</v>
      </c>
      <c r="AX375" s="676">
        <v>77082366</v>
      </c>
      <c r="AY375" s="676"/>
      <c r="AZ375" s="676">
        <v>0</v>
      </c>
      <c r="BA375" s="676">
        <v>790</v>
      </c>
      <c r="BB375" s="676"/>
      <c r="BC375" s="676">
        <v>3571789</v>
      </c>
      <c r="BD375" s="676"/>
      <c r="BE375" s="676">
        <v>0</v>
      </c>
      <c r="BF375" s="676">
        <v>11413000</v>
      </c>
      <c r="BG375" s="676">
        <v>1289512000</v>
      </c>
      <c r="BH375" s="676">
        <v>1148443000</v>
      </c>
      <c r="BI375" s="676">
        <v>12372</v>
      </c>
      <c r="BJ375" s="676"/>
      <c r="BK375" s="676">
        <v>89267</v>
      </c>
      <c r="BL375" s="676"/>
      <c r="BM375" s="676"/>
      <c r="BN375" s="676">
        <v>1020298</v>
      </c>
      <c r="BO375" s="676"/>
      <c r="BP375" s="676"/>
      <c r="BQ375" s="676"/>
      <c r="BR375" s="676">
        <v>2076</v>
      </c>
      <c r="BS375" s="676"/>
      <c r="BT375" s="676">
        <v>12687</v>
      </c>
      <c r="BU375" s="676">
        <v>61159309</v>
      </c>
      <c r="BV375" s="676"/>
      <c r="BW375" s="676">
        <v>1404770</v>
      </c>
      <c r="BX375" s="676">
        <v>82909</v>
      </c>
      <c r="BY375" s="676">
        <v>1287764</v>
      </c>
      <c r="BZ375" s="676"/>
      <c r="CA375" s="676">
        <v>4925733.9400000004</v>
      </c>
      <c r="CB375" s="676">
        <v>1244071.75</v>
      </c>
      <c r="CC375" s="676"/>
      <c r="CD375" s="676"/>
      <c r="CE375" s="676"/>
      <c r="CF375" s="676"/>
      <c r="CG375" s="676"/>
    </row>
    <row r="376" spans="1:85" x14ac:dyDescent="0.25">
      <c r="A376" s="320" t="s">
        <v>1108</v>
      </c>
      <c r="B376" s="320" t="s">
        <v>1240</v>
      </c>
      <c r="C376" s="320"/>
      <c r="D376" s="320" t="s">
        <v>723</v>
      </c>
      <c r="E376" s="320">
        <v>2016</v>
      </c>
      <c r="F376" s="404">
        <v>185612</v>
      </c>
      <c r="G376" s="676">
        <v>951160</v>
      </c>
      <c r="H376" s="676">
        <v>3985464</v>
      </c>
      <c r="I376" s="676">
        <v>3712120</v>
      </c>
      <c r="J376" s="676">
        <v>3175465</v>
      </c>
      <c r="K376" s="676">
        <v>3761757</v>
      </c>
      <c r="L376" s="676">
        <v>1259683</v>
      </c>
      <c r="M376" s="676">
        <v>125327</v>
      </c>
      <c r="N376" s="676">
        <v>61863</v>
      </c>
      <c r="O376" s="676">
        <v>427762</v>
      </c>
      <c r="P376" s="676">
        <v>594677</v>
      </c>
      <c r="Q376" s="676">
        <v>71930</v>
      </c>
      <c r="R376" s="676">
        <v>695931</v>
      </c>
      <c r="S376" s="676">
        <v>214370663</v>
      </c>
      <c r="T376" s="676">
        <v>4678273</v>
      </c>
      <c r="U376" s="676">
        <v>30867000</v>
      </c>
      <c r="V376" s="676">
        <v>262861</v>
      </c>
      <c r="W376" s="676">
        <v>1648945</v>
      </c>
      <c r="X376" s="676">
        <v>102642.86</v>
      </c>
      <c r="Y376" s="676">
        <v>273849773</v>
      </c>
      <c r="Z376" s="676">
        <v>7975930.9199999999</v>
      </c>
      <c r="AA376" s="676">
        <v>1496274</v>
      </c>
      <c r="AB376" s="676">
        <v>18814480</v>
      </c>
      <c r="AC376" s="676">
        <v>997732.19</v>
      </c>
      <c r="AD376" s="676">
        <v>3657605</v>
      </c>
      <c r="AE376" s="676">
        <v>708324</v>
      </c>
      <c r="AF376" s="676">
        <v>3101478</v>
      </c>
      <c r="AG376" s="676">
        <v>78496</v>
      </c>
      <c r="AH376" s="676">
        <v>161224</v>
      </c>
      <c r="AI376" s="676">
        <v>82362</v>
      </c>
      <c r="AJ376" s="676">
        <v>34435</v>
      </c>
      <c r="AK376" s="676">
        <v>1540343</v>
      </c>
      <c r="AL376" s="676">
        <v>133885</v>
      </c>
      <c r="AM376" s="676">
        <v>12444960</v>
      </c>
      <c r="AN376" s="676">
        <v>153771000</v>
      </c>
      <c r="AO376" s="676">
        <v>52647976</v>
      </c>
      <c r="AP376" s="676">
        <v>6656851</v>
      </c>
      <c r="AQ376" s="676">
        <v>10395485</v>
      </c>
      <c r="AR376" s="676">
        <v>3815940</v>
      </c>
      <c r="AS376" s="676">
        <v>3931080</v>
      </c>
      <c r="AT376" s="676">
        <v>6140696.0499999998</v>
      </c>
      <c r="AU376" s="676">
        <v>4019961</v>
      </c>
      <c r="AV376" s="676">
        <v>426958</v>
      </c>
      <c r="AW376" s="676">
        <v>670327</v>
      </c>
      <c r="AX376" s="676">
        <v>83139</v>
      </c>
      <c r="AY376" s="676">
        <v>664435</v>
      </c>
      <c r="AZ376" s="676">
        <v>103317</v>
      </c>
      <c r="BA376" s="676">
        <v>3134420</v>
      </c>
      <c r="BB376" s="676">
        <v>994697</v>
      </c>
      <c r="BC376" s="676">
        <v>4345502</v>
      </c>
      <c r="BD376" s="676">
        <v>201760578</v>
      </c>
      <c r="BE376" s="676">
        <v>187161.11</v>
      </c>
      <c r="BF376" s="676">
        <v>15228000</v>
      </c>
      <c r="BG376" s="676">
        <v>182451000</v>
      </c>
      <c r="BH376" s="676"/>
      <c r="BI376" s="676">
        <v>11757701</v>
      </c>
      <c r="BJ376" s="676">
        <v>21510701</v>
      </c>
      <c r="BK376" s="676">
        <v>786542</v>
      </c>
      <c r="BL376" s="676">
        <v>361540</v>
      </c>
      <c r="BM376" s="676">
        <v>1024000</v>
      </c>
      <c r="BN376" s="676">
        <v>27633222</v>
      </c>
      <c r="BO376" s="676">
        <v>634586</v>
      </c>
      <c r="BP376" s="676">
        <v>117785</v>
      </c>
      <c r="BQ376" s="676">
        <v>109817</v>
      </c>
      <c r="BR376" s="676">
        <v>210269</v>
      </c>
      <c r="BS376" s="676">
        <v>1824670</v>
      </c>
      <c r="BT376" s="676">
        <v>5216264</v>
      </c>
      <c r="BU376" s="676">
        <v>31199</v>
      </c>
      <c r="BV376" s="676">
        <v>65702</v>
      </c>
      <c r="BW376" s="676">
        <v>1121701</v>
      </c>
      <c r="BX376" s="676">
        <v>1783631</v>
      </c>
      <c r="BY376" s="676">
        <v>3129972</v>
      </c>
      <c r="BZ376" s="676">
        <v>829000</v>
      </c>
      <c r="CA376" s="676">
        <v>4383549.99</v>
      </c>
      <c r="CB376" s="676">
        <v>31242118.280000001</v>
      </c>
      <c r="CC376" s="676">
        <v>3015000</v>
      </c>
      <c r="CD376" s="676">
        <v>83646</v>
      </c>
      <c r="CE376" s="676">
        <v>103194000</v>
      </c>
      <c r="CF376" s="676">
        <v>155374000</v>
      </c>
      <c r="CG376" s="676">
        <v>61819000</v>
      </c>
    </row>
    <row r="377" spans="1:85" x14ac:dyDescent="0.25">
      <c r="A377" s="320" t="s">
        <v>1205</v>
      </c>
      <c r="B377" s="320" t="s">
        <v>1241</v>
      </c>
      <c r="C377" s="320"/>
      <c r="D377" s="320" t="s">
        <v>725</v>
      </c>
      <c r="E377" s="320">
        <v>2016</v>
      </c>
      <c r="F377" s="404"/>
      <c r="G377" s="676">
        <v>-4704</v>
      </c>
      <c r="H377" s="676"/>
      <c r="I377" s="676">
        <v>-60</v>
      </c>
      <c r="J377" s="676"/>
      <c r="K377" s="676"/>
      <c r="L377" s="676"/>
      <c r="M377" s="676"/>
      <c r="N377" s="676"/>
      <c r="O377" s="676"/>
      <c r="P377" s="676"/>
      <c r="Q377" s="676"/>
      <c r="R377" s="676"/>
      <c r="S377" s="676"/>
      <c r="T377" s="676"/>
      <c r="U377" s="676"/>
      <c r="V377" s="676"/>
      <c r="W377" s="676"/>
      <c r="X377" s="676">
        <v>0</v>
      </c>
      <c r="Y377" s="676"/>
      <c r="Z377" s="676">
        <v>0</v>
      </c>
      <c r="AA377" s="676"/>
      <c r="AB377" s="676">
        <v>5637</v>
      </c>
      <c r="AC377" s="676">
        <v>-0.01</v>
      </c>
      <c r="AD377" s="676">
        <v>-24415</v>
      </c>
      <c r="AE377" s="676"/>
      <c r="AF377" s="676">
        <v>-100554</v>
      </c>
      <c r="AG377" s="676"/>
      <c r="AH377" s="676">
        <v>-27</v>
      </c>
      <c r="AI377" s="676">
        <v>-902</v>
      </c>
      <c r="AJ377" s="676"/>
      <c r="AK377" s="676">
        <v>7828</v>
      </c>
      <c r="AL377" s="676"/>
      <c r="AM377" s="676">
        <v>385115</v>
      </c>
      <c r="AN377" s="676"/>
      <c r="AO377" s="676"/>
      <c r="AP377" s="676"/>
      <c r="AQ377" s="676">
        <v>-165</v>
      </c>
      <c r="AR377" s="676">
        <v>6615</v>
      </c>
      <c r="AS377" s="676">
        <v>39103</v>
      </c>
      <c r="AT377" s="676">
        <v>0</v>
      </c>
      <c r="AU377" s="676"/>
      <c r="AV377" s="676">
        <v>-7241</v>
      </c>
      <c r="AW377" s="676"/>
      <c r="AX377" s="676"/>
      <c r="AY377" s="676"/>
      <c r="AZ377" s="676">
        <v>0</v>
      </c>
      <c r="BA377" s="676"/>
      <c r="BB377" s="676">
        <v>17012</v>
      </c>
      <c r="BC377" s="676"/>
      <c r="BD377" s="676"/>
      <c r="BE377" s="676">
        <v>0</v>
      </c>
      <c r="BF377" s="676"/>
      <c r="BG377" s="676"/>
      <c r="BH377" s="676"/>
      <c r="BI377" s="676">
        <v>-1910</v>
      </c>
      <c r="BJ377" s="676">
        <v>120783</v>
      </c>
      <c r="BK377" s="676">
        <v>-224</v>
      </c>
      <c r="BL377" s="676"/>
      <c r="BM377" s="676"/>
      <c r="BN377" s="676">
        <v>516</v>
      </c>
      <c r="BO377" s="676"/>
      <c r="BP377" s="676"/>
      <c r="BQ377" s="676"/>
      <c r="BR377" s="676"/>
      <c r="BS377" s="676">
        <v>334813</v>
      </c>
      <c r="BT377" s="676">
        <v>82069</v>
      </c>
      <c r="BU377" s="676"/>
      <c r="BV377" s="676"/>
      <c r="BW377" s="676"/>
      <c r="BX377" s="676">
        <v>66</v>
      </c>
      <c r="BY377" s="676"/>
      <c r="BZ377" s="676"/>
      <c r="CA377" s="676"/>
      <c r="CB377" s="676">
        <v>506.43</v>
      </c>
      <c r="CC377" s="676"/>
      <c r="CD377" s="676"/>
      <c r="CE377" s="676"/>
      <c r="CF377" s="676"/>
      <c r="CG377" s="676"/>
    </row>
    <row r="378" spans="1:85" x14ac:dyDescent="0.25">
      <c r="A378" s="320" t="s">
        <v>1242</v>
      </c>
      <c r="B378" s="320" t="s">
        <v>1243</v>
      </c>
      <c r="C378" s="320"/>
      <c r="D378" s="320" t="s">
        <v>727</v>
      </c>
      <c r="E378" s="320">
        <v>2016</v>
      </c>
      <c r="F378" s="404">
        <v>149832</v>
      </c>
      <c r="G378" s="676">
        <v>1401142</v>
      </c>
      <c r="H378" s="676">
        <v>6748991</v>
      </c>
      <c r="I378" s="676">
        <v>4674727</v>
      </c>
      <c r="J378" s="676">
        <v>1495600</v>
      </c>
      <c r="K378" s="676">
        <v>3407343</v>
      </c>
      <c r="L378" s="676">
        <v>1132494</v>
      </c>
      <c r="M378" s="676">
        <v>148166008</v>
      </c>
      <c r="N378" s="676">
        <v>121399872</v>
      </c>
      <c r="O378" s="676">
        <v>92834394</v>
      </c>
      <c r="P378" s="676">
        <v>15622211</v>
      </c>
      <c r="Q378" s="676">
        <v>169940</v>
      </c>
      <c r="R378" s="676">
        <v>13346845</v>
      </c>
      <c r="S378" s="676">
        <v>5797491</v>
      </c>
      <c r="T378" s="676">
        <v>5940510</v>
      </c>
      <c r="U378" s="676">
        <v>24937000</v>
      </c>
      <c r="V378" s="676">
        <v>17159673</v>
      </c>
      <c r="W378" s="676">
        <v>615861</v>
      </c>
      <c r="X378" s="676">
        <v>363142.25</v>
      </c>
      <c r="Y378" s="676">
        <v>5800541</v>
      </c>
      <c r="Z378" s="676">
        <v>31339546</v>
      </c>
      <c r="AA378" s="676">
        <v>1273384</v>
      </c>
      <c r="AB378" s="676">
        <v>104003617</v>
      </c>
      <c r="AC378" s="676">
        <v>336797.22</v>
      </c>
      <c r="AD378" s="676">
        <v>2886039</v>
      </c>
      <c r="AE378" s="676">
        <v>1156452</v>
      </c>
      <c r="AF378" s="676">
        <v>4186785</v>
      </c>
      <c r="AG378" s="676">
        <v>114473</v>
      </c>
      <c r="AH378" s="676">
        <v>302668</v>
      </c>
      <c r="AI378" s="676">
        <v>396988</v>
      </c>
      <c r="AJ378" s="676">
        <v>52775</v>
      </c>
      <c r="AK378" s="676">
        <v>8759142</v>
      </c>
      <c r="AL378" s="676">
        <v>41338118</v>
      </c>
      <c r="AM378" s="676">
        <v>3208692</v>
      </c>
      <c r="AN378" s="676"/>
      <c r="AO378" s="676">
        <v>2190745</v>
      </c>
      <c r="AP378" s="676">
        <v>4931254</v>
      </c>
      <c r="AQ378" s="676">
        <v>3416442</v>
      </c>
      <c r="AR378" s="676">
        <v>1115617</v>
      </c>
      <c r="AS378" s="676">
        <v>5897749</v>
      </c>
      <c r="AT378" s="676">
        <v>1920568.73</v>
      </c>
      <c r="AU378" s="676">
        <v>2180179</v>
      </c>
      <c r="AV378" s="676">
        <v>28075479</v>
      </c>
      <c r="AW378" s="676">
        <v>448374</v>
      </c>
      <c r="AX378" s="676">
        <v>32548738</v>
      </c>
      <c r="AY378" s="676">
        <v>46402621</v>
      </c>
      <c r="AZ378" s="676">
        <v>195157</v>
      </c>
      <c r="BA378" s="676">
        <v>5167758</v>
      </c>
      <c r="BB378" s="676">
        <v>23860526</v>
      </c>
      <c r="BC378" s="676">
        <v>5891081</v>
      </c>
      <c r="BD378" s="676"/>
      <c r="BE378" s="676">
        <v>502057.07</v>
      </c>
      <c r="BF378" s="676">
        <v>75051000</v>
      </c>
      <c r="BG378" s="676">
        <v>150313000</v>
      </c>
      <c r="BH378" s="676">
        <v>100331000</v>
      </c>
      <c r="BI378" s="676">
        <v>13321989</v>
      </c>
      <c r="BJ378" s="676">
        <v>3594113</v>
      </c>
      <c r="BK378" s="676">
        <v>212316</v>
      </c>
      <c r="BL378" s="676">
        <v>908631</v>
      </c>
      <c r="BM378" s="676">
        <v>604578000</v>
      </c>
      <c r="BN378" s="676">
        <v>1274852</v>
      </c>
      <c r="BO378" s="676">
        <v>250844</v>
      </c>
      <c r="BP378" s="676">
        <v>1128696</v>
      </c>
      <c r="BQ378" s="676">
        <v>442859</v>
      </c>
      <c r="BR378" s="676">
        <v>449800</v>
      </c>
      <c r="BS378" s="676">
        <v>47949279</v>
      </c>
      <c r="BT378" s="676">
        <v>10940826</v>
      </c>
      <c r="BU378" s="676">
        <v>8806575</v>
      </c>
      <c r="BV378" s="676">
        <v>966204</v>
      </c>
      <c r="BW378" s="676">
        <v>33958636</v>
      </c>
      <c r="BX378" s="676">
        <v>11246855</v>
      </c>
      <c r="BY378" s="676">
        <v>1151190</v>
      </c>
      <c r="BZ378" s="676">
        <v>9678000</v>
      </c>
      <c r="CA378" s="676">
        <v>776982.79</v>
      </c>
      <c r="CB378" s="676">
        <v>1717712.05</v>
      </c>
      <c r="CC378" s="676"/>
      <c r="CD378" s="676">
        <v>260747</v>
      </c>
      <c r="CE378" s="676">
        <v>37305000</v>
      </c>
      <c r="CF378" s="676"/>
      <c r="CG378" s="676">
        <v>116864000</v>
      </c>
    </row>
    <row r="379" spans="1:85" x14ac:dyDescent="0.25">
      <c r="A379" s="320" t="s">
        <v>1244</v>
      </c>
      <c r="B379" s="320" t="s">
        <v>1422</v>
      </c>
      <c r="C379" s="320" t="s">
        <v>1423</v>
      </c>
      <c r="D379" s="320" t="s">
        <v>729</v>
      </c>
      <c r="E379" s="320">
        <v>2016</v>
      </c>
      <c r="F379" s="404">
        <v>664855</v>
      </c>
      <c r="G379" s="676">
        <v>2764584</v>
      </c>
      <c r="H379" s="676">
        <v>8081402</v>
      </c>
      <c r="I379" s="676">
        <v>6218279</v>
      </c>
      <c r="J379" s="676">
        <v>2986193</v>
      </c>
      <c r="K379" s="676">
        <v>3320394</v>
      </c>
      <c r="L379" s="676">
        <v>2446896</v>
      </c>
      <c r="M379" s="676">
        <v>2630738</v>
      </c>
      <c r="N379" s="676">
        <v>1950894</v>
      </c>
      <c r="O379" s="676">
        <v>7159819</v>
      </c>
      <c r="P379" s="676">
        <v>3372086</v>
      </c>
      <c r="Q379" s="676">
        <v>401791</v>
      </c>
      <c r="R379" s="676">
        <v>3072843</v>
      </c>
      <c r="S379" s="676">
        <v>1867085</v>
      </c>
      <c r="T379" s="676">
        <v>6793812</v>
      </c>
      <c r="U379" s="676">
        <v>32121000</v>
      </c>
      <c r="V379" s="676">
        <v>1306962</v>
      </c>
      <c r="W379" s="676">
        <v>2764023</v>
      </c>
      <c r="X379" s="676">
        <v>1304557.78</v>
      </c>
      <c r="Y379" s="676">
        <v>998</v>
      </c>
      <c r="Z379" s="676">
        <v>27127769.18</v>
      </c>
      <c r="AA379" s="676">
        <v>2857414</v>
      </c>
      <c r="AB379" s="676">
        <v>70573475</v>
      </c>
      <c r="AC379" s="676">
        <v>3491375.48</v>
      </c>
      <c r="AD379" s="676">
        <v>4805260</v>
      </c>
      <c r="AE379" s="676">
        <v>2742076</v>
      </c>
      <c r="AF379" s="676">
        <v>9958781</v>
      </c>
      <c r="AG379" s="676">
        <v>484666</v>
      </c>
      <c r="AH379" s="676">
        <v>1181138</v>
      </c>
      <c r="AI379" s="676">
        <v>878620</v>
      </c>
      <c r="AJ379" s="676">
        <v>307359</v>
      </c>
      <c r="AK379" s="676">
        <v>38634500</v>
      </c>
      <c r="AL379" s="676">
        <v>1245146</v>
      </c>
      <c r="AM379" s="676">
        <v>4606778</v>
      </c>
      <c r="AN379" s="676">
        <v>35635000</v>
      </c>
      <c r="AO379" s="676">
        <v>24558106</v>
      </c>
      <c r="AP379" s="676">
        <v>18649528</v>
      </c>
      <c r="AQ379" s="676">
        <v>21640696</v>
      </c>
      <c r="AR379" s="676">
        <v>9698488</v>
      </c>
      <c r="AS379" s="676">
        <v>10670796</v>
      </c>
      <c r="AT379" s="676">
        <v>10177921.83</v>
      </c>
      <c r="AU379" s="676">
        <v>11366323</v>
      </c>
      <c r="AV379" s="676">
        <v>2880085</v>
      </c>
      <c r="AW379" s="676">
        <v>486109</v>
      </c>
      <c r="AX379" s="676">
        <v>1288890</v>
      </c>
      <c r="AY379" s="676">
        <v>2103839</v>
      </c>
      <c r="AZ379" s="676">
        <v>661154</v>
      </c>
      <c r="BA379" s="676">
        <v>5754212</v>
      </c>
      <c r="BB379" s="676">
        <v>5062519</v>
      </c>
      <c r="BC379" s="676">
        <v>9969776</v>
      </c>
      <c r="BD379" s="676">
        <v>24799738</v>
      </c>
      <c r="BE379" s="676">
        <v>6937083.0300000003</v>
      </c>
      <c r="BF379" s="676">
        <v>165478000</v>
      </c>
      <c r="BG379" s="676">
        <v>89501000</v>
      </c>
      <c r="BH379" s="676">
        <v>28119000</v>
      </c>
      <c r="BI379" s="676">
        <v>52708547</v>
      </c>
      <c r="BJ379" s="676">
        <v>1681164</v>
      </c>
      <c r="BK379" s="676">
        <v>1399135</v>
      </c>
      <c r="BL379" s="676">
        <v>1006705</v>
      </c>
      <c r="BM379" s="676">
        <v>9232000</v>
      </c>
      <c r="BN379" s="676">
        <v>10599710</v>
      </c>
      <c r="BO379" s="676">
        <v>2480573</v>
      </c>
      <c r="BP379" s="676">
        <v>4252329</v>
      </c>
      <c r="BQ379" s="676">
        <v>745192</v>
      </c>
      <c r="BR379" s="676">
        <v>1688131</v>
      </c>
      <c r="BS379" s="676">
        <v>4204164</v>
      </c>
      <c r="BT379" s="676">
        <v>8241620</v>
      </c>
      <c r="BU379" s="676">
        <v>652716</v>
      </c>
      <c r="BV379" s="676">
        <v>860727</v>
      </c>
      <c r="BW379" s="676">
        <v>12642544</v>
      </c>
      <c r="BX379" s="676">
        <v>4911386</v>
      </c>
      <c r="BY379" s="676">
        <v>8963040</v>
      </c>
      <c r="BZ379" s="676">
        <v>9706000</v>
      </c>
      <c r="CA379" s="676">
        <v>7698567.9000000004</v>
      </c>
      <c r="CB379" s="676">
        <v>16841144.27</v>
      </c>
      <c r="CC379" s="676">
        <v>12546000</v>
      </c>
      <c r="CD379" s="676">
        <v>473909</v>
      </c>
      <c r="CE379" s="676">
        <v>233088000</v>
      </c>
      <c r="CF379" s="676">
        <v>91147000</v>
      </c>
      <c r="CG379" s="676">
        <v>101835000</v>
      </c>
    </row>
    <row r="380" spans="1:85" x14ac:dyDescent="0.25">
      <c r="A380" s="320" t="s">
        <v>1245</v>
      </c>
      <c r="B380" s="320" t="s">
        <v>1246</v>
      </c>
      <c r="C380" s="320"/>
      <c r="D380" s="320" t="s">
        <v>731</v>
      </c>
      <c r="E380" s="320">
        <v>2016</v>
      </c>
      <c r="F380" s="404">
        <v>484143</v>
      </c>
      <c r="G380" s="676">
        <v>1922055</v>
      </c>
      <c r="H380" s="676">
        <v>5674861</v>
      </c>
      <c r="I380" s="676">
        <v>4436814</v>
      </c>
      <c r="J380" s="676">
        <v>2123517</v>
      </c>
      <c r="K380" s="676">
        <v>2284561</v>
      </c>
      <c r="L380" s="676">
        <v>1669986</v>
      </c>
      <c r="M380" s="676">
        <v>1987581</v>
      </c>
      <c r="N380" s="676">
        <v>1490576</v>
      </c>
      <c r="O380" s="676">
        <v>5190886</v>
      </c>
      <c r="P380" s="676">
        <v>2407096</v>
      </c>
      <c r="Q380" s="676">
        <v>171710</v>
      </c>
      <c r="R380" s="676">
        <v>2262538</v>
      </c>
      <c r="S380" s="676">
        <v>1479222</v>
      </c>
      <c r="T380" s="676">
        <v>4870787</v>
      </c>
      <c r="U380" s="676">
        <v>21597000</v>
      </c>
      <c r="V380" s="676">
        <v>952233</v>
      </c>
      <c r="W380" s="676">
        <v>1900620</v>
      </c>
      <c r="X380" s="676">
        <v>874169.84</v>
      </c>
      <c r="Y380" s="676">
        <v>998</v>
      </c>
      <c r="Z380" s="676">
        <v>17109912.469999999</v>
      </c>
      <c r="AA380" s="676">
        <v>1958189</v>
      </c>
      <c r="AB380" s="676">
        <v>48190127</v>
      </c>
      <c r="AC380" s="676">
        <v>2462921.65</v>
      </c>
      <c r="AD380" s="676">
        <v>3217968</v>
      </c>
      <c r="AE380" s="676">
        <v>1866447</v>
      </c>
      <c r="AF380" s="676">
        <v>7054206</v>
      </c>
      <c r="AG380" s="676">
        <v>268276</v>
      </c>
      <c r="AH380" s="676">
        <v>806327</v>
      </c>
      <c r="AI380" s="676">
        <v>608309</v>
      </c>
      <c r="AJ380" s="676">
        <v>209864</v>
      </c>
      <c r="AK380" s="676">
        <v>27952221</v>
      </c>
      <c r="AL380" s="676">
        <v>892575</v>
      </c>
      <c r="AM380" s="676">
        <v>3314797</v>
      </c>
      <c r="AN380" s="676">
        <v>24601000</v>
      </c>
      <c r="AO380" s="676">
        <v>17997263</v>
      </c>
      <c r="AP380" s="676">
        <v>13621253</v>
      </c>
      <c r="AQ380" s="676">
        <v>15242872</v>
      </c>
      <c r="AR380" s="676">
        <v>7155599</v>
      </c>
      <c r="AS380" s="676">
        <v>7762355</v>
      </c>
      <c r="AT380" s="676">
        <v>7346410.0199999996</v>
      </c>
      <c r="AU380" s="676">
        <v>8316358</v>
      </c>
      <c r="AV380" s="676">
        <v>1939083</v>
      </c>
      <c r="AW380" s="676">
        <v>289925</v>
      </c>
      <c r="AX380" s="676">
        <v>961024</v>
      </c>
      <c r="AY380" s="676">
        <v>1581301</v>
      </c>
      <c r="AZ380" s="676">
        <v>404227</v>
      </c>
      <c r="BA380" s="676">
        <v>4108331</v>
      </c>
      <c r="BB380" s="676">
        <v>3741694</v>
      </c>
      <c r="BC380" s="676">
        <v>7018041</v>
      </c>
      <c r="BD380" s="676">
        <v>18479576</v>
      </c>
      <c r="BE380" s="676">
        <v>4497294.53</v>
      </c>
      <c r="BF380" s="676">
        <v>114005000</v>
      </c>
      <c r="BG380" s="676">
        <v>81596000</v>
      </c>
      <c r="BH380" s="676">
        <v>20160000</v>
      </c>
      <c r="BI380" s="676">
        <v>36241066</v>
      </c>
      <c r="BJ380" s="676">
        <v>1205482</v>
      </c>
      <c r="BK380" s="676">
        <v>958949</v>
      </c>
      <c r="BL380" s="676">
        <v>648256</v>
      </c>
      <c r="BM380" s="676">
        <v>6970000</v>
      </c>
      <c r="BN380" s="676">
        <v>7456892</v>
      </c>
      <c r="BO380" s="676">
        <v>1719752</v>
      </c>
      <c r="BP380" s="676">
        <v>2921695</v>
      </c>
      <c r="BQ380" s="676">
        <v>507830</v>
      </c>
      <c r="BR380" s="676">
        <v>1183111</v>
      </c>
      <c r="BS380" s="676">
        <v>2776686</v>
      </c>
      <c r="BT380" s="676">
        <v>5438638</v>
      </c>
      <c r="BU380" s="676">
        <v>453454</v>
      </c>
      <c r="BV380" s="676">
        <v>537762</v>
      </c>
      <c r="BW380" s="676">
        <v>8320000</v>
      </c>
      <c r="BX380" s="676">
        <v>3353288</v>
      </c>
      <c r="BY380" s="676">
        <v>6570446</v>
      </c>
      <c r="BZ380" s="676">
        <v>7242000</v>
      </c>
      <c r="CA380" s="676">
        <v>5364655.76</v>
      </c>
      <c r="CB380" s="676">
        <v>11667734.15</v>
      </c>
      <c r="CC380" s="676">
        <v>7782000</v>
      </c>
      <c r="CD380" s="676">
        <v>347012</v>
      </c>
      <c r="CE380" s="676">
        <v>156353000</v>
      </c>
      <c r="CF380" s="676">
        <v>62622000</v>
      </c>
      <c r="CG380" s="676">
        <v>72099000</v>
      </c>
    </row>
    <row r="381" spans="1:85" x14ac:dyDescent="0.25">
      <c r="A381" s="320" t="s">
        <v>1247</v>
      </c>
      <c r="B381" s="320" t="s">
        <v>1248</v>
      </c>
      <c r="C381" s="320"/>
      <c r="D381" s="320" t="s">
        <v>733</v>
      </c>
      <c r="E381" s="320">
        <v>2016</v>
      </c>
      <c r="F381" s="404"/>
      <c r="G381" s="676"/>
      <c r="H381" s="676">
        <v>19500</v>
      </c>
      <c r="I381" s="676">
        <v>47634</v>
      </c>
      <c r="J381" s="676"/>
      <c r="K381" s="676">
        <v>49575</v>
      </c>
      <c r="L381" s="676">
        <v>107801</v>
      </c>
      <c r="M381" s="676">
        <v>141832</v>
      </c>
      <c r="N381" s="676">
        <v>62100</v>
      </c>
      <c r="O381" s="676"/>
      <c r="P381" s="676"/>
      <c r="Q381" s="676">
        <v>120322</v>
      </c>
      <c r="R381" s="676"/>
      <c r="S381" s="676"/>
      <c r="T381" s="676">
        <v>23280</v>
      </c>
      <c r="U381" s="676"/>
      <c r="V381" s="676"/>
      <c r="W381" s="676">
        <v>82088</v>
      </c>
      <c r="X381" s="676">
        <v>40003.120000000003</v>
      </c>
      <c r="Y381" s="676"/>
      <c r="Z381" s="676">
        <v>265184.33</v>
      </c>
      <c r="AA381" s="676">
        <v>40698</v>
      </c>
      <c r="AB381" s="676">
        <v>19334</v>
      </c>
      <c r="AC381" s="676">
        <v>98092.86</v>
      </c>
      <c r="AD381" s="676">
        <v>12435</v>
      </c>
      <c r="AE381" s="676">
        <v>80861</v>
      </c>
      <c r="AF381" s="676">
        <v>18165</v>
      </c>
      <c r="AG381" s="676">
        <v>102745</v>
      </c>
      <c r="AH381" s="676">
        <v>15265</v>
      </c>
      <c r="AI381" s="676">
        <v>22863</v>
      </c>
      <c r="AJ381" s="676">
        <v>11800</v>
      </c>
      <c r="AK381" s="676">
        <v>128221</v>
      </c>
      <c r="AL381" s="676">
        <v>34800</v>
      </c>
      <c r="AM381" s="676">
        <v>22320</v>
      </c>
      <c r="AN381" s="676"/>
      <c r="AO381" s="676"/>
      <c r="AP381" s="676">
        <v>1392</v>
      </c>
      <c r="AQ381" s="676">
        <v>153524</v>
      </c>
      <c r="AR381" s="676"/>
      <c r="AS381" s="676"/>
      <c r="AT381" s="676">
        <v>3910</v>
      </c>
      <c r="AU381" s="676">
        <v>1880</v>
      </c>
      <c r="AV381" s="676"/>
      <c r="AW381" s="676">
        <v>32400</v>
      </c>
      <c r="AX381" s="676"/>
      <c r="AY381" s="676"/>
      <c r="AZ381" s="676">
        <v>11000</v>
      </c>
      <c r="BA381" s="676">
        <v>52814</v>
      </c>
      <c r="BB381" s="676"/>
      <c r="BC381" s="676">
        <v>43259</v>
      </c>
      <c r="BD381" s="676"/>
      <c r="BE381" s="676">
        <v>281586.59999999998</v>
      </c>
      <c r="BF381" s="676">
        <v>193000</v>
      </c>
      <c r="BG381" s="676"/>
      <c r="BH381" s="676"/>
      <c r="BI381" s="676">
        <v>32817</v>
      </c>
      <c r="BJ381" s="676">
        <v>49200</v>
      </c>
      <c r="BK381" s="676">
        <v>38400</v>
      </c>
      <c r="BL381" s="676">
        <v>77446</v>
      </c>
      <c r="BM381" s="676"/>
      <c r="BN381" s="676">
        <v>132380</v>
      </c>
      <c r="BO381" s="676">
        <v>38400</v>
      </c>
      <c r="BP381" s="676">
        <v>139168</v>
      </c>
      <c r="BQ381" s="676">
        <v>23531</v>
      </c>
      <c r="BR381" s="676">
        <v>3487</v>
      </c>
      <c r="BS381" s="676">
        <v>116556</v>
      </c>
      <c r="BT381" s="676">
        <v>283432</v>
      </c>
      <c r="BU381" s="676">
        <v>24000</v>
      </c>
      <c r="BV381" s="676">
        <v>97603</v>
      </c>
      <c r="BW381" s="676"/>
      <c r="BX381" s="676">
        <v>1200</v>
      </c>
      <c r="BY381" s="676">
        <v>3480</v>
      </c>
      <c r="BZ381" s="676"/>
      <c r="CA381" s="676">
        <v>153093.96</v>
      </c>
      <c r="CB381" s="676">
        <v>194999.88</v>
      </c>
      <c r="CC381" s="676"/>
      <c r="CD381" s="676">
        <v>2853</v>
      </c>
      <c r="CE381" s="676"/>
      <c r="CF381" s="676"/>
      <c r="CG381" s="676"/>
    </row>
    <row r="382" spans="1:85" x14ac:dyDescent="0.25">
      <c r="A382" s="320" t="s">
        <v>1249</v>
      </c>
      <c r="B382" s="320" t="s">
        <v>1250</v>
      </c>
      <c r="C382" s="320"/>
      <c r="D382" s="320" t="s">
        <v>452</v>
      </c>
      <c r="E382" s="320">
        <v>2016</v>
      </c>
      <c r="F382" s="404">
        <v>161431</v>
      </c>
      <c r="G382" s="676">
        <v>718499</v>
      </c>
      <c r="H382" s="676">
        <v>2049019</v>
      </c>
      <c r="I382" s="676">
        <v>1595375</v>
      </c>
      <c r="J382" s="676">
        <v>751040</v>
      </c>
      <c r="K382" s="676">
        <v>824550</v>
      </c>
      <c r="L382" s="676">
        <v>619071</v>
      </c>
      <c r="M382" s="676">
        <v>464136</v>
      </c>
      <c r="N382" s="676">
        <v>351616</v>
      </c>
      <c r="O382" s="676">
        <v>1771029</v>
      </c>
      <c r="P382" s="676">
        <v>853714</v>
      </c>
      <c r="Q382" s="676">
        <v>99743</v>
      </c>
      <c r="R382" s="676">
        <v>674456</v>
      </c>
      <c r="S382" s="676">
        <v>363992</v>
      </c>
      <c r="T382" s="676">
        <v>1731692</v>
      </c>
      <c r="U382" s="676">
        <v>7252000</v>
      </c>
      <c r="V382" s="676">
        <v>316171</v>
      </c>
      <c r="W382" s="676">
        <v>679748</v>
      </c>
      <c r="X382" s="676">
        <v>334552.21000000002</v>
      </c>
      <c r="Y382" s="676"/>
      <c r="Z382" s="676">
        <v>7228451.3700000001</v>
      </c>
      <c r="AA382" s="676">
        <v>713087</v>
      </c>
      <c r="AB382" s="676">
        <v>18155093</v>
      </c>
      <c r="AC382" s="676">
        <v>854770.49</v>
      </c>
      <c r="AD382" s="676">
        <v>1207856</v>
      </c>
      <c r="AE382" s="676">
        <v>658847</v>
      </c>
      <c r="AF382" s="676">
        <v>2523420</v>
      </c>
      <c r="AG382" s="676">
        <v>95230</v>
      </c>
      <c r="AH382" s="676">
        <v>290525</v>
      </c>
      <c r="AI382" s="676">
        <v>213806</v>
      </c>
      <c r="AJ382" s="676">
        <v>76612</v>
      </c>
      <c r="AK382" s="676">
        <v>9048308</v>
      </c>
      <c r="AL382" s="676">
        <v>291759</v>
      </c>
      <c r="AM382" s="676">
        <v>1107321</v>
      </c>
      <c r="AN382" s="676">
        <v>11034000</v>
      </c>
      <c r="AO382" s="676">
        <v>6096113</v>
      </c>
      <c r="AP382" s="676">
        <v>4670315</v>
      </c>
      <c r="AQ382" s="676">
        <v>5527706</v>
      </c>
      <c r="AR382" s="676">
        <v>2389731</v>
      </c>
      <c r="AS382" s="676">
        <v>2697894</v>
      </c>
      <c r="AT382" s="676">
        <v>2532182.7999999998</v>
      </c>
      <c r="AU382" s="676">
        <v>2830029</v>
      </c>
      <c r="AV382" s="676">
        <v>745140</v>
      </c>
      <c r="AW382" s="676">
        <v>116406</v>
      </c>
      <c r="AX382" s="676">
        <v>309374</v>
      </c>
      <c r="AY382" s="676">
        <v>482928</v>
      </c>
      <c r="AZ382" s="676">
        <v>169222</v>
      </c>
      <c r="BA382" s="676">
        <v>1419609</v>
      </c>
      <c r="BB382" s="676">
        <v>1231140</v>
      </c>
      <c r="BC382" s="676">
        <v>2564976</v>
      </c>
      <c r="BD382" s="676">
        <v>5536162</v>
      </c>
      <c r="BE382" s="676">
        <v>1791071.2</v>
      </c>
      <c r="BF382" s="676">
        <v>39205000</v>
      </c>
      <c r="BG382" s="676">
        <v>36195000</v>
      </c>
      <c r="BH382" s="676">
        <v>7959000</v>
      </c>
      <c r="BI382" s="676">
        <v>13889608</v>
      </c>
      <c r="BJ382" s="676">
        <v>395547</v>
      </c>
      <c r="BK382" s="676">
        <v>358050</v>
      </c>
      <c r="BL382" s="676">
        <v>253369</v>
      </c>
      <c r="BM382" s="676">
        <v>2124000</v>
      </c>
      <c r="BN382" s="676">
        <v>2711713</v>
      </c>
      <c r="BO382" s="676">
        <v>670625</v>
      </c>
      <c r="BP382" s="676">
        <v>1052499</v>
      </c>
      <c r="BQ382" s="676">
        <v>184857</v>
      </c>
      <c r="BR382" s="676">
        <v>431575</v>
      </c>
      <c r="BS382" s="676">
        <v>1182464</v>
      </c>
      <c r="BT382" s="676">
        <v>2124280</v>
      </c>
      <c r="BU382" s="676">
        <v>163199</v>
      </c>
      <c r="BV382" s="676">
        <v>210554</v>
      </c>
      <c r="BW382" s="676">
        <v>3512263</v>
      </c>
      <c r="BX382" s="676">
        <v>1308978</v>
      </c>
      <c r="BY382" s="676">
        <v>2238954</v>
      </c>
      <c r="BZ382" s="676">
        <v>2160000</v>
      </c>
      <c r="CA382" s="676">
        <v>1998676.72</v>
      </c>
      <c r="CB382" s="676">
        <v>4330737.04</v>
      </c>
      <c r="CC382" s="676">
        <v>1253000</v>
      </c>
      <c r="CD382" s="676">
        <v>112075</v>
      </c>
      <c r="CE382" s="676">
        <v>59139000</v>
      </c>
      <c r="CF382" s="676">
        <v>26980000</v>
      </c>
      <c r="CG382" s="676">
        <v>29736000</v>
      </c>
    </row>
    <row r="383" spans="1:85" x14ac:dyDescent="0.25">
      <c r="A383" s="320" t="s">
        <v>1251</v>
      </c>
      <c r="B383" s="320" t="s">
        <v>1252</v>
      </c>
      <c r="C383" s="320"/>
      <c r="D383" s="320" t="s">
        <v>736</v>
      </c>
      <c r="E383" s="320">
        <v>2016</v>
      </c>
      <c r="F383" s="404">
        <v>19281</v>
      </c>
      <c r="G383" s="676">
        <v>124030</v>
      </c>
      <c r="H383" s="676">
        <v>338022</v>
      </c>
      <c r="I383" s="676">
        <v>138456</v>
      </c>
      <c r="J383" s="676">
        <v>111636</v>
      </c>
      <c r="K383" s="676">
        <v>161708</v>
      </c>
      <c r="L383" s="676">
        <v>50038</v>
      </c>
      <c r="M383" s="676">
        <v>37189</v>
      </c>
      <c r="N383" s="676">
        <v>46602</v>
      </c>
      <c r="O383" s="676">
        <v>197904</v>
      </c>
      <c r="P383" s="676">
        <v>111276</v>
      </c>
      <c r="Q383" s="676">
        <v>10016</v>
      </c>
      <c r="R383" s="676">
        <v>135849</v>
      </c>
      <c r="S383" s="676">
        <v>23871</v>
      </c>
      <c r="T383" s="676">
        <v>168053</v>
      </c>
      <c r="U383" s="676">
        <v>3272000</v>
      </c>
      <c r="V383" s="676">
        <v>38558</v>
      </c>
      <c r="W383" s="676">
        <v>101567</v>
      </c>
      <c r="X383" s="676">
        <v>55832.61</v>
      </c>
      <c r="Y383" s="676"/>
      <c r="Z383" s="676">
        <v>2524221.0099999998</v>
      </c>
      <c r="AA383" s="676">
        <v>145440</v>
      </c>
      <c r="AB383" s="676">
        <v>4208921</v>
      </c>
      <c r="AC383" s="676">
        <v>75590.48</v>
      </c>
      <c r="AD383" s="676">
        <v>367001</v>
      </c>
      <c r="AE383" s="676">
        <v>135921</v>
      </c>
      <c r="AF383" s="676">
        <v>362989</v>
      </c>
      <c r="AG383" s="676">
        <v>18415</v>
      </c>
      <c r="AH383" s="676">
        <v>69021</v>
      </c>
      <c r="AI383" s="676">
        <v>33642</v>
      </c>
      <c r="AJ383" s="676">
        <v>9083</v>
      </c>
      <c r="AK383" s="676">
        <v>1505750</v>
      </c>
      <c r="AL383" s="676">
        <v>26012</v>
      </c>
      <c r="AM383" s="676">
        <v>162340</v>
      </c>
      <c r="AN383" s="676"/>
      <c r="AO383" s="676">
        <v>464730</v>
      </c>
      <c r="AP383" s="676">
        <v>356568</v>
      </c>
      <c r="AQ383" s="676">
        <v>716594</v>
      </c>
      <c r="AR383" s="676">
        <v>153158</v>
      </c>
      <c r="AS383" s="676">
        <v>210547</v>
      </c>
      <c r="AT383" s="676">
        <v>295419.01</v>
      </c>
      <c r="AU383" s="676">
        <v>218056</v>
      </c>
      <c r="AV383" s="676">
        <v>195862</v>
      </c>
      <c r="AW383" s="676">
        <v>47378</v>
      </c>
      <c r="AX383" s="676">
        <v>18492</v>
      </c>
      <c r="AY383" s="676">
        <v>39610</v>
      </c>
      <c r="AZ383" s="676">
        <v>76705</v>
      </c>
      <c r="BA383" s="676">
        <v>173458</v>
      </c>
      <c r="BB383" s="676">
        <v>89685</v>
      </c>
      <c r="BC383" s="676">
        <v>343500</v>
      </c>
      <c r="BD383" s="676">
        <v>784000</v>
      </c>
      <c r="BE383" s="676">
        <v>367130.7</v>
      </c>
      <c r="BF383" s="676">
        <v>12075000</v>
      </c>
      <c r="BG383" s="676">
        <v>-28290000</v>
      </c>
      <c r="BH383" s="676"/>
      <c r="BI383" s="676">
        <v>2545056</v>
      </c>
      <c r="BJ383" s="676">
        <v>30935</v>
      </c>
      <c r="BK383" s="676">
        <v>43736</v>
      </c>
      <c r="BL383" s="676">
        <v>27634</v>
      </c>
      <c r="BM383" s="676">
        <v>138000</v>
      </c>
      <c r="BN383" s="676">
        <v>298725</v>
      </c>
      <c r="BO383" s="676">
        <v>51796</v>
      </c>
      <c r="BP383" s="676">
        <v>138967</v>
      </c>
      <c r="BQ383" s="676">
        <v>28974</v>
      </c>
      <c r="BR383" s="676">
        <v>69958</v>
      </c>
      <c r="BS383" s="676">
        <v>128458</v>
      </c>
      <c r="BT383" s="676">
        <v>395270</v>
      </c>
      <c r="BU383" s="676">
        <v>12063</v>
      </c>
      <c r="BV383" s="676">
        <v>14808</v>
      </c>
      <c r="BW383" s="676">
        <v>810281</v>
      </c>
      <c r="BX383" s="676">
        <v>247920</v>
      </c>
      <c r="BY383" s="676">
        <v>150160</v>
      </c>
      <c r="BZ383" s="676">
        <v>304000</v>
      </c>
      <c r="CA383" s="676">
        <v>182141.46</v>
      </c>
      <c r="CB383" s="676">
        <v>647673.19999999995</v>
      </c>
      <c r="CC383" s="676">
        <v>3511000</v>
      </c>
      <c r="CD383" s="676">
        <v>11969</v>
      </c>
      <c r="CE383" s="676">
        <v>17596000</v>
      </c>
      <c r="CF383" s="676">
        <v>1545000</v>
      </c>
      <c r="CG383" s="676"/>
    </row>
    <row r="384" spans="1:85" x14ac:dyDescent="0.25">
      <c r="A384" s="320" t="s">
        <v>1253</v>
      </c>
      <c r="B384" s="320" t="s">
        <v>1254</v>
      </c>
      <c r="C384" s="320"/>
      <c r="D384" s="320" t="s">
        <v>738</v>
      </c>
      <c r="E384" s="320">
        <v>2016</v>
      </c>
      <c r="F384" s="404">
        <v>52688</v>
      </c>
      <c r="G384" s="676">
        <v>272978</v>
      </c>
      <c r="H384" s="676">
        <v>47875</v>
      </c>
      <c r="I384" s="676">
        <v>281653</v>
      </c>
      <c r="J384" s="676">
        <v>31882</v>
      </c>
      <c r="K384" s="676">
        <v>82544</v>
      </c>
      <c r="L384" s="676">
        <v>59866</v>
      </c>
      <c r="M384" s="676">
        <v>3535</v>
      </c>
      <c r="N384" s="676">
        <v>24292</v>
      </c>
      <c r="O384" s="676">
        <v>4206</v>
      </c>
      <c r="P384" s="676">
        <v>13995</v>
      </c>
      <c r="Q384" s="676">
        <v>48920</v>
      </c>
      <c r="R384" s="676">
        <v>171564</v>
      </c>
      <c r="S384" s="676">
        <v>440750</v>
      </c>
      <c r="T384" s="676">
        <v>154141</v>
      </c>
      <c r="U384" s="676"/>
      <c r="V384" s="676">
        <v>3249</v>
      </c>
      <c r="W384" s="676">
        <v>72522</v>
      </c>
      <c r="X384" s="676">
        <v>32106.28</v>
      </c>
      <c r="Y384" s="676">
        <v>138099</v>
      </c>
      <c r="Z384" s="676">
        <v>2571260.16</v>
      </c>
      <c r="AA384" s="676">
        <v>107924</v>
      </c>
      <c r="AB384" s="676">
        <v>6852173</v>
      </c>
      <c r="AC384" s="676">
        <v>31519.119999999999</v>
      </c>
      <c r="AD384" s="676">
        <v>352226</v>
      </c>
      <c r="AE384" s="676">
        <v>109576</v>
      </c>
      <c r="AF384" s="676">
        <v>556913</v>
      </c>
      <c r="AG384" s="676">
        <v>87343</v>
      </c>
      <c r="AH384" s="676">
        <v>69701</v>
      </c>
      <c r="AI384" s="676">
        <v>32856</v>
      </c>
      <c r="AJ384" s="676">
        <v>6327</v>
      </c>
      <c r="AK384" s="676">
        <v>95467</v>
      </c>
      <c r="AL384" s="676">
        <v>21148</v>
      </c>
      <c r="AM384" s="676">
        <v>27526</v>
      </c>
      <c r="AN384" s="676"/>
      <c r="AO384" s="676">
        <v>60956</v>
      </c>
      <c r="AP384" s="676">
        <v>3833</v>
      </c>
      <c r="AQ384" s="676">
        <v>17191</v>
      </c>
      <c r="AR384" s="676">
        <v>18550</v>
      </c>
      <c r="AS384" s="676">
        <v>16435</v>
      </c>
      <c r="AT384" s="676">
        <v>116192.16</v>
      </c>
      <c r="AU384" s="676">
        <v>30971</v>
      </c>
      <c r="AV384" s="676">
        <v>38678</v>
      </c>
      <c r="AW384" s="676">
        <v>41091</v>
      </c>
      <c r="AX384" s="676">
        <v>492411</v>
      </c>
      <c r="AY384" s="676">
        <v>13641</v>
      </c>
      <c r="AZ384" s="676">
        <v>53125</v>
      </c>
      <c r="BA384" s="676">
        <v>13400</v>
      </c>
      <c r="BB384" s="676">
        <v>54441</v>
      </c>
      <c r="BC384" s="676">
        <v>70302</v>
      </c>
      <c r="BD384" s="676"/>
      <c r="BE384" s="676">
        <v>69862.990000000005</v>
      </c>
      <c r="BF384" s="676"/>
      <c r="BG384" s="676"/>
      <c r="BH384" s="676"/>
      <c r="BI384" s="676">
        <v>919341</v>
      </c>
      <c r="BJ384" s="676">
        <v>240230</v>
      </c>
      <c r="BK384" s="676">
        <v>36113</v>
      </c>
      <c r="BL384" s="676">
        <v>97444</v>
      </c>
      <c r="BM384" s="676"/>
      <c r="BN384" s="676">
        <v>36577</v>
      </c>
      <c r="BO384" s="676">
        <v>17541</v>
      </c>
      <c r="BP384" s="676">
        <v>16430</v>
      </c>
      <c r="BQ384" s="676">
        <v>51996</v>
      </c>
      <c r="BR384" s="676">
        <v>32052</v>
      </c>
      <c r="BS384" s="676">
        <v>38637455</v>
      </c>
      <c r="BT384" s="676">
        <v>335931</v>
      </c>
      <c r="BU384" s="676">
        <v>2511</v>
      </c>
      <c r="BV384" s="676">
        <v>57125</v>
      </c>
      <c r="BW384" s="676">
        <v>429743</v>
      </c>
      <c r="BX384" s="676">
        <v>97551</v>
      </c>
      <c r="BY384" s="676">
        <v>3299</v>
      </c>
      <c r="BZ384" s="676"/>
      <c r="CA384" s="676">
        <v>10735</v>
      </c>
      <c r="CB384" s="676">
        <v>24800.39</v>
      </c>
      <c r="CC384" s="676">
        <v>208000</v>
      </c>
      <c r="CD384" s="676">
        <v>20353</v>
      </c>
      <c r="CE384" s="676"/>
      <c r="CF384" s="676"/>
      <c r="CG384" s="676"/>
    </row>
    <row r="385" spans="1:85" x14ac:dyDescent="0.25">
      <c r="A385" s="320" t="s">
        <v>1255</v>
      </c>
      <c r="B385" s="320" t="s">
        <v>1256</v>
      </c>
      <c r="C385" s="320"/>
      <c r="D385" s="320" t="s">
        <v>740</v>
      </c>
      <c r="E385" s="320">
        <v>2016</v>
      </c>
      <c r="F385" s="404">
        <v>103532</v>
      </c>
      <c r="G385" s="676">
        <v>703709</v>
      </c>
      <c r="H385" s="676">
        <v>2158052</v>
      </c>
      <c r="I385" s="676">
        <v>3344294</v>
      </c>
      <c r="J385" s="676">
        <v>1332100</v>
      </c>
      <c r="K385" s="676">
        <v>249573</v>
      </c>
      <c r="L385" s="676">
        <v>420771</v>
      </c>
      <c r="M385" s="676">
        <v>360301</v>
      </c>
      <c r="N385" s="676">
        <v>3331</v>
      </c>
      <c r="O385" s="676">
        <v>347237</v>
      </c>
      <c r="P385" s="676">
        <v>709358</v>
      </c>
      <c r="Q385" s="676">
        <v>1047056</v>
      </c>
      <c r="R385" s="676">
        <v>914653</v>
      </c>
      <c r="S385" s="676">
        <v>56392</v>
      </c>
      <c r="T385" s="676">
        <v>4611977</v>
      </c>
      <c r="U385" s="676">
        <v>143082000</v>
      </c>
      <c r="V385" s="676">
        <v>166101</v>
      </c>
      <c r="W385" s="676">
        <v>276425</v>
      </c>
      <c r="X385" s="676">
        <v>6312161.2999999998</v>
      </c>
      <c r="Y385" s="676">
        <v>90950</v>
      </c>
      <c r="Z385" s="676">
        <v>15502228.939999999</v>
      </c>
      <c r="AA385" s="676">
        <v>645037</v>
      </c>
      <c r="AB385" s="676">
        <v>14194308</v>
      </c>
      <c r="AC385" s="676">
        <v>226183.99</v>
      </c>
      <c r="AD385" s="676">
        <v>1803827</v>
      </c>
      <c r="AE385" s="676">
        <v>745096</v>
      </c>
      <c r="AF385" s="676">
        <v>11689561</v>
      </c>
      <c r="AG385" s="676">
        <v>225046</v>
      </c>
      <c r="AH385" s="676">
        <v>588804</v>
      </c>
      <c r="AI385" s="676">
        <v>192886</v>
      </c>
      <c r="AJ385" s="676">
        <v>378410</v>
      </c>
      <c r="AK385" s="676">
        <v>7829764</v>
      </c>
      <c r="AL385" s="676">
        <v>270371</v>
      </c>
      <c r="AM385" s="676">
        <v>1257105</v>
      </c>
      <c r="AN385" s="676">
        <v>101432000</v>
      </c>
      <c r="AO385" s="676">
        <v>2659874</v>
      </c>
      <c r="AP385" s="676">
        <v>974091</v>
      </c>
      <c r="AQ385" s="676">
        <v>3158871</v>
      </c>
      <c r="AR385" s="676">
        <v>401128</v>
      </c>
      <c r="AS385" s="676">
        <v>129507</v>
      </c>
      <c r="AT385" s="676">
        <v>4679833.38</v>
      </c>
      <c r="AU385" s="676">
        <v>99056</v>
      </c>
      <c r="AV385" s="676">
        <v>541627</v>
      </c>
      <c r="AW385" s="676">
        <v>75817</v>
      </c>
      <c r="AX385" s="676">
        <v>137767</v>
      </c>
      <c r="AY385" s="676">
        <v>230135</v>
      </c>
      <c r="AZ385" s="676">
        <v>38432</v>
      </c>
      <c r="BA385" s="676">
        <v>3079504</v>
      </c>
      <c r="BB385" s="676">
        <v>979841</v>
      </c>
      <c r="BC385" s="676">
        <v>3280726</v>
      </c>
      <c r="BD385" s="676">
        <v>59159242</v>
      </c>
      <c r="BE385" s="676">
        <v>202964.93</v>
      </c>
      <c r="BF385" s="676">
        <v>24937000</v>
      </c>
      <c r="BG385" s="676">
        <v>195080000</v>
      </c>
      <c r="BH385" s="676">
        <v>6695000</v>
      </c>
      <c r="BI385" s="676">
        <v>26522871</v>
      </c>
      <c r="BJ385" s="676">
        <v>5505304</v>
      </c>
      <c r="BK385" s="676">
        <v>269736</v>
      </c>
      <c r="BL385" s="676">
        <v>1157991</v>
      </c>
      <c r="BM385" s="676">
        <v>1125000</v>
      </c>
      <c r="BN385" s="676">
        <v>2516470</v>
      </c>
      <c r="BO385" s="676">
        <v>120862</v>
      </c>
      <c r="BP385" s="676">
        <v>107227</v>
      </c>
      <c r="BQ385" s="676">
        <v>280428</v>
      </c>
      <c r="BR385" s="676">
        <v>199426</v>
      </c>
      <c r="BS385" s="676">
        <v>794863</v>
      </c>
      <c r="BT385" s="676">
        <v>17547894</v>
      </c>
      <c r="BU385" s="676">
        <v>70917</v>
      </c>
      <c r="BV385" s="676">
        <v>2396240</v>
      </c>
      <c r="BW385" s="676">
        <v>35609345</v>
      </c>
      <c r="BX385" s="676">
        <v>1578139</v>
      </c>
      <c r="BY385" s="676">
        <v>340407</v>
      </c>
      <c r="BZ385" s="676">
        <v>2148000</v>
      </c>
      <c r="CA385" s="676">
        <v>1350954.77</v>
      </c>
      <c r="CB385" s="676">
        <v>1655571.05</v>
      </c>
      <c r="CC385" s="676">
        <v>4101000</v>
      </c>
      <c r="CD385" s="676">
        <v>73445</v>
      </c>
      <c r="CE385" s="676">
        <v>85725000</v>
      </c>
      <c r="CF385" s="676">
        <v>28395000</v>
      </c>
      <c r="CG385" s="676">
        <v>85970000</v>
      </c>
    </row>
    <row r="386" spans="1:85" x14ac:dyDescent="0.25">
      <c r="A386" s="320" t="s">
        <v>1257</v>
      </c>
      <c r="B386" s="320" t="s">
        <v>1258</v>
      </c>
      <c r="C386" s="320"/>
      <c r="D386" s="320" t="s">
        <v>742</v>
      </c>
      <c r="E386" s="320">
        <v>2016</v>
      </c>
      <c r="F386" s="404">
        <v>103532</v>
      </c>
      <c r="G386" s="676">
        <v>680796</v>
      </c>
      <c r="H386" s="676">
        <v>2158052</v>
      </c>
      <c r="I386" s="676">
        <v>3344294</v>
      </c>
      <c r="J386" s="676">
        <v>1332100</v>
      </c>
      <c r="K386" s="676">
        <v>249573</v>
      </c>
      <c r="L386" s="676">
        <v>1346141</v>
      </c>
      <c r="M386" s="676">
        <v>359801</v>
      </c>
      <c r="N386" s="676">
        <v>3331</v>
      </c>
      <c r="O386" s="676">
        <v>347237</v>
      </c>
      <c r="P386" s="676">
        <v>709358</v>
      </c>
      <c r="Q386" s="676">
        <v>1056484</v>
      </c>
      <c r="R386" s="676">
        <v>916562</v>
      </c>
      <c r="S386" s="676">
        <v>56392</v>
      </c>
      <c r="T386" s="676">
        <v>4611977</v>
      </c>
      <c r="U386" s="676"/>
      <c r="V386" s="676">
        <v>166101</v>
      </c>
      <c r="W386" s="676">
        <v>276425</v>
      </c>
      <c r="X386" s="676">
        <v>6312161.2999999998</v>
      </c>
      <c r="Y386" s="676">
        <v>90950</v>
      </c>
      <c r="Z386" s="676">
        <v>20811616.460000001</v>
      </c>
      <c r="AA386" s="676">
        <v>645037</v>
      </c>
      <c r="AB386" s="676">
        <v>14285046</v>
      </c>
      <c r="AC386" s="676">
        <v>226183.99</v>
      </c>
      <c r="AD386" s="676">
        <v>982658</v>
      </c>
      <c r="AE386" s="676">
        <v>1715040</v>
      </c>
      <c r="AF386" s="676">
        <v>12011357</v>
      </c>
      <c r="AG386" s="676">
        <v>225046</v>
      </c>
      <c r="AH386" s="676">
        <v>588804</v>
      </c>
      <c r="AI386" s="676">
        <v>169055</v>
      </c>
      <c r="AJ386" s="676">
        <v>378410</v>
      </c>
      <c r="AK386" s="676">
        <v>7829764</v>
      </c>
      <c r="AL386" s="676">
        <v>270371</v>
      </c>
      <c r="AM386" s="676">
        <v>1257105</v>
      </c>
      <c r="AN386" s="676">
        <v>101432000</v>
      </c>
      <c r="AO386" s="676">
        <v>2659874</v>
      </c>
      <c r="AP386" s="676">
        <v>974091</v>
      </c>
      <c r="AQ386" s="676">
        <v>3158871</v>
      </c>
      <c r="AR386" s="676">
        <v>366742</v>
      </c>
      <c r="AS386" s="676">
        <v>129507</v>
      </c>
      <c r="AT386" s="676">
        <v>4679833.38</v>
      </c>
      <c r="AU386" s="676">
        <v>99056</v>
      </c>
      <c r="AV386" s="676">
        <v>541627</v>
      </c>
      <c r="AW386" s="676">
        <v>75817</v>
      </c>
      <c r="AX386" s="676">
        <v>137767</v>
      </c>
      <c r="AY386" s="676">
        <v>230135</v>
      </c>
      <c r="AZ386" s="676">
        <v>38432</v>
      </c>
      <c r="BA386" s="676">
        <v>3079504</v>
      </c>
      <c r="BB386" s="676">
        <v>979841</v>
      </c>
      <c r="BC386" s="676">
        <v>3280726</v>
      </c>
      <c r="BD386" s="676"/>
      <c r="BE386" s="676">
        <v>202964.93</v>
      </c>
      <c r="BF386" s="676"/>
      <c r="BG386" s="676">
        <v>195080000</v>
      </c>
      <c r="BH386" s="676"/>
      <c r="BI386" s="676">
        <v>26816739</v>
      </c>
      <c r="BJ386" s="676">
        <v>5505304</v>
      </c>
      <c r="BK386" s="676">
        <v>269736</v>
      </c>
      <c r="BL386" s="676">
        <v>1157991</v>
      </c>
      <c r="BM386" s="676"/>
      <c r="BN386" s="676">
        <v>2516470</v>
      </c>
      <c r="BO386" s="676">
        <v>120862</v>
      </c>
      <c r="BP386" s="676">
        <v>107227</v>
      </c>
      <c r="BQ386" s="676">
        <v>280428</v>
      </c>
      <c r="BR386" s="676">
        <v>199426</v>
      </c>
      <c r="BS386" s="676">
        <v>794863</v>
      </c>
      <c r="BT386" s="676">
        <v>18065193</v>
      </c>
      <c r="BU386" s="676">
        <v>63917</v>
      </c>
      <c r="BV386" s="676">
        <v>145197</v>
      </c>
      <c r="BW386" s="676">
        <v>35609345</v>
      </c>
      <c r="BX386" s="676">
        <v>1632628</v>
      </c>
      <c r="BY386" s="676">
        <v>340407</v>
      </c>
      <c r="BZ386" s="676"/>
      <c r="CA386" s="676">
        <v>1350954.77</v>
      </c>
      <c r="CB386" s="676">
        <v>1658103.05</v>
      </c>
      <c r="CC386" s="676">
        <v>4101000</v>
      </c>
      <c r="CD386" s="676">
        <v>73445</v>
      </c>
      <c r="CE386" s="676">
        <v>85725000</v>
      </c>
      <c r="CF386" s="676">
        <v>28395000</v>
      </c>
      <c r="CG386" s="676"/>
    </row>
    <row r="387" spans="1:85" x14ac:dyDescent="0.25">
      <c r="A387" s="320" t="s">
        <v>1259</v>
      </c>
      <c r="B387" s="320" t="s">
        <v>1260</v>
      </c>
      <c r="C387" s="320"/>
      <c r="D387" s="320" t="s">
        <v>744</v>
      </c>
      <c r="E387" s="320">
        <v>2016</v>
      </c>
      <c r="F387" s="404"/>
      <c r="G387" s="676">
        <v>22913</v>
      </c>
      <c r="H387" s="676"/>
      <c r="I387" s="676"/>
      <c r="J387" s="676"/>
      <c r="K387" s="676"/>
      <c r="L387" s="676">
        <v>-925370</v>
      </c>
      <c r="M387" s="676">
        <v>500</v>
      </c>
      <c r="N387" s="676"/>
      <c r="O387" s="676"/>
      <c r="P387" s="676"/>
      <c r="Q387" s="676">
        <v>-9428</v>
      </c>
      <c r="R387" s="676">
        <v>-1909</v>
      </c>
      <c r="S387" s="676"/>
      <c r="T387" s="676">
        <v>0</v>
      </c>
      <c r="U387" s="676"/>
      <c r="V387" s="676"/>
      <c r="W387" s="676"/>
      <c r="X387" s="676">
        <v>0</v>
      </c>
      <c r="Y387" s="676"/>
      <c r="Z387" s="676">
        <v>-5309387.5199999996</v>
      </c>
      <c r="AA387" s="676"/>
      <c r="AB387" s="676">
        <v>-90738</v>
      </c>
      <c r="AC387" s="676">
        <v>0</v>
      </c>
      <c r="AD387" s="676">
        <v>821169</v>
      </c>
      <c r="AE387" s="676">
        <v>-969944</v>
      </c>
      <c r="AF387" s="676">
        <v>-321796</v>
      </c>
      <c r="AG387" s="676"/>
      <c r="AH387" s="676"/>
      <c r="AI387" s="676">
        <v>23831</v>
      </c>
      <c r="AJ387" s="676"/>
      <c r="AK387" s="676"/>
      <c r="AL387" s="676"/>
      <c r="AM387" s="676"/>
      <c r="AN387" s="676"/>
      <c r="AO387" s="676"/>
      <c r="AP387" s="676"/>
      <c r="AQ387" s="676"/>
      <c r="AR387" s="676">
        <v>34386</v>
      </c>
      <c r="AS387" s="676"/>
      <c r="AT387" s="676">
        <v>0</v>
      </c>
      <c r="AU387" s="676"/>
      <c r="AV387" s="676"/>
      <c r="AW387" s="676"/>
      <c r="AX387" s="676"/>
      <c r="AY387" s="676"/>
      <c r="AZ387" s="676">
        <v>0</v>
      </c>
      <c r="BA387" s="676"/>
      <c r="BB387" s="676"/>
      <c r="BC387" s="676"/>
      <c r="BD387" s="676"/>
      <c r="BE387" s="676">
        <v>0</v>
      </c>
      <c r="BF387" s="676"/>
      <c r="BG387" s="676"/>
      <c r="BH387" s="676"/>
      <c r="BI387" s="676">
        <v>-293868</v>
      </c>
      <c r="BJ387" s="676"/>
      <c r="BK387" s="676"/>
      <c r="BL387" s="676"/>
      <c r="BM387" s="676"/>
      <c r="BN387" s="676">
        <v>0</v>
      </c>
      <c r="BO387" s="676"/>
      <c r="BP387" s="676"/>
      <c r="BQ387" s="676"/>
      <c r="BR387" s="676"/>
      <c r="BS387" s="676"/>
      <c r="BT387" s="676">
        <v>-517299</v>
      </c>
      <c r="BU387" s="676">
        <v>7000</v>
      </c>
      <c r="BV387" s="676">
        <v>2251043</v>
      </c>
      <c r="BW387" s="676"/>
      <c r="BX387" s="676">
        <v>-54489</v>
      </c>
      <c r="BY387" s="676"/>
      <c r="BZ387" s="676"/>
      <c r="CA387" s="676"/>
      <c r="CB387" s="676">
        <v>-2532</v>
      </c>
      <c r="CC387" s="676"/>
      <c r="CD387" s="676"/>
      <c r="CE387" s="676"/>
      <c r="CF387" s="676"/>
      <c r="CG387" s="676"/>
    </row>
    <row r="388" spans="1:85" x14ac:dyDescent="0.25">
      <c r="A388" s="320" t="s">
        <v>1261</v>
      </c>
      <c r="B388" s="320" t="s">
        <v>1262</v>
      </c>
      <c r="C388" s="320"/>
      <c r="D388" s="320" t="s">
        <v>746</v>
      </c>
      <c r="E388" s="320">
        <v>2016</v>
      </c>
      <c r="F388" s="404"/>
      <c r="G388" s="676">
        <v>27</v>
      </c>
      <c r="H388" s="676"/>
      <c r="I388" s="676"/>
      <c r="J388" s="676">
        <v>105527</v>
      </c>
      <c r="K388" s="676"/>
      <c r="L388" s="676"/>
      <c r="M388" s="676">
        <v>130588</v>
      </c>
      <c r="N388" s="676"/>
      <c r="O388" s="676">
        <v>0</v>
      </c>
      <c r="P388" s="676">
        <v>16448</v>
      </c>
      <c r="Q388" s="676">
        <v>239701</v>
      </c>
      <c r="R388" s="676">
        <v>4011</v>
      </c>
      <c r="S388" s="676">
        <v>9095</v>
      </c>
      <c r="T388" s="676">
        <v>256709</v>
      </c>
      <c r="U388" s="676"/>
      <c r="V388" s="676"/>
      <c r="W388" s="676">
        <v>427583</v>
      </c>
      <c r="X388" s="676">
        <v>80448.929999999993</v>
      </c>
      <c r="Y388" s="676"/>
      <c r="Z388" s="676">
        <v>840.34</v>
      </c>
      <c r="AA388" s="676">
        <v>28797</v>
      </c>
      <c r="AB388" s="676">
        <v>667524</v>
      </c>
      <c r="AC388" s="676">
        <v>0</v>
      </c>
      <c r="AD388" s="676">
        <v>209787</v>
      </c>
      <c r="AE388" s="676"/>
      <c r="AF388" s="676">
        <v>927993</v>
      </c>
      <c r="AG388" s="676"/>
      <c r="AH388" s="676"/>
      <c r="AI388" s="676">
        <v>250536</v>
      </c>
      <c r="AJ388" s="676"/>
      <c r="AK388" s="676"/>
      <c r="AL388" s="676">
        <v>16733</v>
      </c>
      <c r="AM388" s="676">
        <v>453137</v>
      </c>
      <c r="AN388" s="676"/>
      <c r="AO388" s="676"/>
      <c r="AP388" s="676">
        <v>160538</v>
      </c>
      <c r="AQ388" s="676">
        <v>32609</v>
      </c>
      <c r="AR388" s="676">
        <v>45211</v>
      </c>
      <c r="AS388" s="676">
        <v>59709</v>
      </c>
      <c r="AT388" s="676">
        <v>874.8</v>
      </c>
      <c r="AU388" s="676">
        <v>38563</v>
      </c>
      <c r="AV388" s="676">
        <v>168630</v>
      </c>
      <c r="AW388" s="676">
        <v>1</v>
      </c>
      <c r="AX388" s="676">
        <v>65633</v>
      </c>
      <c r="AY388" s="676">
        <v>909759</v>
      </c>
      <c r="AZ388" s="676">
        <v>17908</v>
      </c>
      <c r="BA388" s="676">
        <v>22808</v>
      </c>
      <c r="BB388" s="676"/>
      <c r="BC388" s="676">
        <v>53658</v>
      </c>
      <c r="BD388" s="676"/>
      <c r="BE388" s="676">
        <v>0</v>
      </c>
      <c r="BF388" s="676"/>
      <c r="BG388" s="676">
        <v>0</v>
      </c>
      <c r="BH388" s="676"/>
      <c r="BI388" s="676">
        <v>94315</v>
      </c>
      <c r="BJ388" s="676">
        <v>316908</v>
      </c>
      <c r="BK388" s="676"/>
      <c r="BL388" s="676">
        <v>5411</v>
      </c>
      <c r="BM388" s="676"/>
      <c r="BN388" s="676">
        <v>0</v>
      </c>
      <c r="BO388" s="676"/>
      <c r="BP388" s="676"/>
      <c r="BQ388" s="676"/>
      <c r="BR388" s="676"/>
      <c r="BS388" s="676"/>
      <c r="BT388" s="676">
        <v>208908</v>
      </c>
      <c r="BU388" s="676"/>
      <c r="BV388" s="676">
        <v>12836</v>
      </c>
      <c r="BW388" s="676">
        <v>881743</v>
      </c>
      <c r="BX388" s="676">
        <v>486018</v>
      </c>
      <c r="BY388" s="676">
        <v>172624</v>
      </c>
      <c r="BZ388" s="676"/>
      <c r="CA388" s="676"/>
      <c r="CB388" s="676"/>
      <c r="CC388" s="676"/>
      <c r="CD388" s="676">
        <v>19271</v>
      </c>
      <c r="CE388" s="676"/>
      <c r="CF388" s="676"/>
      <c r="CG388" s="676"/>
    </row>
    <row r="389" spans="1:85" x14ac:dyDescent="0.25">
      <c r="A389" s="320" t="s">
        <v>1223</v>
      </c>
      <c r="B389" s="320" t="s">
        <v>1263</v>
      </c>
      <c r="C389" s="320"/>
      <c r="D389" s="320" t="s">
        <v>748</v>
      </c>
      <c r="E389" s="320">
        <v>2016</v>
      </c>
      <c r="F389" s="404">
        <v>7</v>
      </c>
      <c r="G389" s="676">
        <v>15645</v>
      </c>
      <c r="H389" s="676">
        <v>4214</v>
      </c>
      <c r="I389" s="676">
        <v>-836</v>
      </c>
      <c r="J389" s="676">
        <v>44627</v>
      </c>
      <c r="K389" s="676">
        <v>4548</v>
      </c>
      <c r="L389" s="676">
        <v>28208</v>
      </c>
      <c r="M389" s="676">
        <v>-1502</v>
      </c>
      <c r="N389" s="676">
        <v>220658</v>
      </c>
      <c r="O389" s="676">
        <v>613</v>
      </c>
      <c r="P389" s="676">
        <v>46150</v>
      </c>
      <c r="Q389" s="676">
        <v>1247</v>
      </c>
      <c r="R389" s="676">
        <v>-168930</v>
      </c>
      <c r="S389" s="676">
        <v>560712</v>
      </c>
      <c r="T389" s="676">
        <v>-25122</v>
      </c>
      <c r="U389" s="676">
        <v>376000</v>
      </c>
      <c r="V389" s="676">
        <v>13727</v>
      </c>
      <c r="W389" s="676">
        <v>73238</v>
      </c>
      <c r="X389" s="676">
        <v>-57.76</v>
      </c>
      <c r="Y389" s="676">
        <v>347715</v>
      </c>
      <c r="Z389" s="676">
        <v>-2201.6799999999998</v>
      </c>
      <c r="AA389" s="676">
        <v>-11569</v>
      </c>
      <c r="AB389" s="676">
        <v>-110815</v>
      </c>
      <c r="AC389" s="676">
        <v>250.31</v>
      </c>
      <c r="AD389" s="676">
        <v>43114</v>
      </c>
      <c r="AE389" s="676"/>
      <c r="AF389" s="676">
        <v>42908</v>
      </c>
      <c r="AG389" s="676">
        <v>11105</v>
      </c>
      <c r="AH389" s="676">
        <v>546</v>
      </c>
      <c r="AI389" s="676">
        <v>475</v>
      </c>
      <c r="AJ389" s="676"/>
      <c r="AK389" s="676">
        <v>770448</v>
      </c>
      <c r="AL389" s="676">
        <v>114552</v>
      </c>
      <c r="AM389" s="676">
        <v>-53436</v>
      </c>
      <c r="AN389" s="676"/>
      <c r="AO389" s="676"/>
      <c r="AP389" s="676">
        <v>3595</v>
      </c>
      <c r="AQ389" s="676">
        <v>6176</v>
      </c>
      <c r="AR389" s="676">
        <v>9601</v>
      </c>
      <c r="AS389" s="676">
        <v>-20649</v>
      </c>
      <c r="AT389" s="676">
        <v>19506.84</v>
      </c>
      <c r="AU389" s="676">
        <v>8803</v>
      </c>
      <c r="AV389" s="676">
        <v>-1712</v>
      </c>
      <c r="AW389" s="676">
        <v>454</v>
      </c>
      <c r="AX389" s="676">
        <v>15429</v>
      </c>
      <c r="AY389" s="676">
        <v>15690</v>
      </c>
      <c r="AZ389" s="676">
        <v>0</v>
      </c>
      <c r="BA389" s="676"/>
      <c r="BB389" s="676">
        <v>17425</v>
      </c>
      <c r="BC389" s="676">
        <v>-9705</v>
      </c>
      <c r="BD389" s="676"/>
      <c r="BE389" s="676">
        <v>4893555.2300000004</v>
      </c>
      <c r="BF389" s="676"/>
      <c r="BG389" s="676"/>
      <c r="BH389" s="676">
        <v>21123000</v>
      </c>
      <c r="BI389" s="676">
        <v>22363</v>
      </c>
      <c r="BJ389" s="676"/>
      <c r="BK389" s="676">
        <v>944</v>
      </c>
      <c r="BL389" s="676">
        <v>583</v>
      </c>
      <c r="BM389" s="676"/>
      <c r="BN389" s="676">
        <v>1434877</v>
      </c>
      <c r="BO389" s="676"/>
      <c r="BP389" s="676">
        <v>-12519</v>
      </c>
      <c r="BQ389" s="676">
        <v>9534</v>
      </c>
      <c r="BR389" s="676">
        <v>-102</v>
      </c>
      <c r="BS389" s="676">
        <v>181895</v>
      </c>
      <c r="BT389" s="676">
        <v>-1607</v>
      </c>
      <c r="BU389" s="676"/>
      <c r="BV389" s="676">
        <v>379507</v>
      </c>
      <c r="BW389" s="676">
        <v>9934</v>
      </c>
      <c r="BX389" s="676">
        <v>-1412</v>
      </c>
      <c r="BY389" s="676"/>
      <c r="BZ389" s="676"/>
      <c r="CA389" s="676"/>
      <c r="CB389" s="676">
        <v>6218.37</v>
      </c>
      <c r="CC389" s="676"/>
      <c r="CD389" s="676"/>
      <c r="CE389" s="676"/>
      <c r="CF389" s="676"/>
      <c r="CG389" s="676"/>
    </row>
    <row r="390" spans="1:85" x14ac:dyDescent="0.25">
      <c r="A390" s="320" t="s">
        <v>1264</v>
      </c>
      <c r="B390" s="320" t="s">
        <v>1265</v>
      </c>
      <c r="C390" s="320"/>
      <c r="D390" s="320" t="s">
        <v>750</v>
      </c>
      <c r="E390" s="320">
        <v>2016</v>
      </c>
      <c r="F390" s="404">
        <v>11210</v>
      </c>
      <c r="G390" s="676">
        <v>124415</v>
      </c>
      <c r="H390" s="676">
        <v>807471</v>
      </c>
      <c r="I390" s="676">
        <v>470887</v>
      </c>
      <c r="J390" s="676">
        <v>113936</v>
      </c>
      <c r="K390" s="676">
        <v>19505</v>
      </c>
      <c r="L390" s="676">
        <v>45471</v>
      </c>
      <c r="M390" s="676">
        <v>77226</v>
      </c>
      <c r="N390" s="676">
        <v>357434</v>
      </c>
      <c r="O390" s="676">
        <v>607914</v>
      </c>
      <c r="P390" s="676">
        <v>219020</v>
      </c>
      <c r="Q390" s="676">
        <v>10427</v>
      </c>
      <c r="R390" s="676">
        <v>530207</v>
      </c>
      <c r="S390" s="676">
        <v>914994</v>
      </c>
      <c r="T390" s="676">
        <v>1712380</v>
      </c>
      <c r="U390" s="676">
        <v>1782000</v>
      </c>
      <c r="V390" s="676">
        <v>171395</v>
      </c>
      <c r="W390" s="676">
        <v>212599</v>
      </c>
      <c r="X390" s="676">
        <v>4456.4399999999996</v>
      </c>
      <c r="Y390" s="676">
        <v>237326</v>
      </c>
      <c r="Z390" s="676">
        <v>28641119.300000001</v>
      </c>
      <c r="AA390" s="676">
        <v>37075</v>
      </c>
      <c r="AB390" s="676">
        <v>4334643</v>
      </c>
      <c r="AC390" s="676">
        <v>156083.10999999999</v>
      </c>
      <c r="AD390" s="676">
        <v>235788</v>
      </c>
      <c r="AE390" s="676">
        <v>97232</v>
      </c>
      <c r="AF390" s="676">
        <v>367408</v>
      </c>
      <c r="AG390" s="676">
        <v>88635</v>
      </c>
      <c r="AH390" s="676">
        <v>70119</v>
      </c>
      <c r="AI390" s="676">
        <v>20590</v>
      </c>
      <c r="AJ390" s="676">
        <v>36488</v>
      </c>
      <c r="AK390" s="676">
        <v>6659841</v>
      </c>
      <c r="AL390" s="676">
        <v>100919</v>
      </c>
      <c r="AM390" s="676">
        <v>126405</v>
      </c>
      <c r="AN390" s="676">
        <v>5001000</v>
      </c>
      <c r="AO390" s="676">
        <v>242880</v>
      </c>
      <c r="AP390" s="676">
        <v>493433</v>
      </c>
      <c r="AQ390" s="676">
        <v>408581</v>
      </c>
      <c r="AR390" s="676">
        <v>296636</v>
      </c>
      <c r="AS390" s="676">
        <v>32392</v>
      </c>
      <c r="AT390" s="676">
        <v>68653.179999999993</v>
      </c>
      <c r="AU390" s="676">
        <v>555388</v>
      </c>
      <c r="AV390" s="676">
        <v>41932</v>
      </c>
      <c r="AW390" s="676">
        <v>43753</v>
      </c>
      <c r="AX390" s="676">
        <v>161277</v>
      </c>
      <c r="AY390" s="676">
        <v>6394178</v>
      </c>
      <c r="AZ390" s="676">
        <v>730177</v>
      </c>
      <c r="BA390" s="676">
        <v>115144</v>
      </c>
      <c r="BB390" s="676">
        <v>384498</v>
      </c>
      <c r="BC390" s="676">
        <v>881260</v>
      </c>
      <c r="BD390" s="676">
        <v>4482124</v>
      </c>
      <c r="BE390" s="676">
        <v>-4626636.84</v>
      </c>
      <c r="BF390" s="676">
        <v>13526000</v>
      </c>
      <c r="BG390" s="676">
        <v>50031000</v>
      </c>
      <c r="BH390" s="676">
        <v>13142000</v>
      </c>
      <c r="BI390" s="676">
        <v>5762510</v>
      </c>
      <c r="BJ390" s="676">
        <v>2515789</v>
      </c>
      <c r="BK390" s="676">
        <v>295938</v>
      </c>
      <c r="BL390" s="676">
        <v>110001</v>
      </c>
      <c r="BM390" s="676">
        <v>9238000</v>
      </c>
      <c r="BN390" s="676">
        <v>89776</v>
      </c>
      <c r="BO390" s="676">
        <v>8348</v>
      </c>
      <c r="BP390" s="676">
        <v>46635</v>
      </c>
      <c r="BQ390" s="676">
        <v>42007</v>
      </c>
      <c r="BR390" s="676">
        <v>11204</v>
      </c>
      <c r="BS390" s="676">
        <v>324041193</v>
      </c>
      <c r="BT390" s="676">
        <v>2683885</v>
      </c>
      <c r="BU390" s="676">
        <v>13765</v>
      </c>
      <c r="BV390" s="676">
        <v>-285612</v>
      </c>
      <c r="BW390" s="676">
        <v>4300549</v>
      </c>
      <c r="BX390" s="676">
        <v>420044</v>
      </c>
      <c r="BY390" s="676">
        <v>180277</v>
      </c>
      <c r="BZ390" s="676">
        <v>502000</v>
      </c>
      <c r="CA390" s="676">
        <v>28007.84</v>
      </c>
      <c r="CB390" s="676">
        <v>203376.12</v>
      </c>
      <c r="CC390" s="676">
        <v>21629000</v>
      </c>
      <c r="CD390" s="676">
        <v>848963</v>
      </c>
      <c r="CE390" s="676">
        <v>-4563000</v>
      </c>
      <c r="CF390" s="676">
        <v>1370000</v>
      </c>
      <c r="CG390" s="676"/>
    </row>
    <row r="391" spans="1:85" x14ac:dyDescent="0.25">
      <c r="A391" s="320" t="s">
        <v>1266</v>
      </c>
      <c r="B391" s="320" t="s">
        <v>1424</v>
      </c>
      <c r="C391" s="320" t="s">
        <v>1425</v>
      </c>
      <c r="D391" s="320" t="s">
        <v>752</v>
      </c>
      <c r="E391" s="320">
        <v>2016</v>
      </c>
      <c r="F391" s="404">
        <v>2031</v>
      </c>
      <c r="G391" s="676">
        <v>74042</v>
      </c>
      <c r="H391" s="676">
        <v>320315</v>
      </c>
      <c r="I391" s="676">
        <v>1742539</v>
      </c>
      <c r="J391" s="676">
        <v>1066342</v>
      </c>
      <c r="K391" s="676">
        <v>-133723</v>
      </c>
      <c r="L391" s="676">
        <v>315209</v>
      </c>
      <c r="M391" s="676">
        <v>10167239</v>
      </c>
      <c r="N391" s="676">
        <v>5105122</v>
      </c>
      <c r="O391" s="676">
        <v>1720828</v>
      </c>
      <c r="P391" s="676">
        <v>2556532</v>
      </c>
      <c r="Q391" s="676">
        <v>-1127839</v>
      </c>
      <c r="R391" s="676">
        <v>1514084</v>
      </c>
      <c r="S391" s="676">
        <v>12212006</v>
      </c>
      <c r="T391" s="676">
        <v>969187</v>
      </c>
      <c r="U391" s="676">
        <v>534749000</v>
      </c>
      <c r="V391" s="676">
        <v>3206159</v>
      </c>
      <c r="W391" s="676">
        <v>-287970</v>
      </c>
      <c r="X391" s="676">
        <v>-6850884.8499999996</v>
      </c>
      <c r="Y391" s="676">
        <v>6402808</v>
      </c>
      <c r="Z391" s="676">
        <v>17566125.210000001</v>
      </c>
      <c r="AA391" s="676">
        <v>52423</v>
      </c>
      <c r="AB391" s="676">
        <v>8578770</v>
      </c>
      <c r="AC391" s="676">
        <v>-267438.90999999997</v>
      </c>
      <c r="AD391" s="676">
        <v>-527041</v>
      </c>
      <c r="AE391" s="676">
        <v>1918892</v>
      </c>
      <c r="AF391" s="676">
        <v>-5903866</v>
      </c>
      <c r="AG391" s="676">
        <v>-630125</v>
      </c>
      <c r="AH391" s="676">
        <v>-514086</v>
      </c>
      <c r="AI391" s="676">
        <v>-89408</v>
      </c>
      <c r="AJ391" s="676">
        <v>-117763</v>
      </c>
      <c r="AK391" s="676">
        <v>1865897</v>
      </c>
      <c r="AL391" s="676">
        <v>1965703</v>
      </c>
      <c r="AM391" s="676">
        <v>2214233</v>
      </c>
      <c r="AN391" s="676">
        <v>38499000</v>
      </c>
      <c r="AO391" s="676">
        <v>-40841</v>
      </c>
      <c r="AP391" s="676">
        <v>2332130</v>
      </c>
      <c r="AQ391" s="676">
        <v>287409</v>
      </c>
      <c r="AR391" s="676">
        <v>1426671</v>
      </c>
      <c r="AS391" s="676">
        <v>415123</v>
      </c>
      <c r="AT391" s="676">
        <v>-7163497.8600000003</v>
      </c>
      <c r="AU391" s="676">
        <v>58497</v>
      </c>
      <c r="AV391" s="676">
        <v>68931</v>
      </c>
      <c r="AW391" s="676">
        <v>55024</v>
      </c>
      <c r="AX391" s="676">
        <v>10887005</v>
      </c>
      <c r="AY391" s="676">
        <v>3565586</v>
      </c>
      <c r="AZ391" s="676">
        <v>23756</v>
      </c>
      <c r="BA391" s="676">
        <v>1013592</v>
      </c>
      <c r="BB391" s="676">
        <v>2098474</v>
      </c>
      <c r="BC391" s="676">
        <v>1138013</v>
      </c>
      <c r="BD391" s="676">
        <v>77763574</v>
      </c>
      <c r="BE391" s="676">
        <v>2349242.83</v>
      </c>
      <c r="BF391" s="676">
        <v>6940000</v>
      </c>
      <c r="BG391" s="676">
        <v>180926000</v>
      </c>
      <c r="BH391" s="676">
        <v>-12459000</v>
      </c>
      <c r="BI391" s="676">
        <v>-3750390</v>
      </c>
      <c r="BJ391" s="676">
        <v>7223808</v>
      </c>
      <c r="BK391" s="676">
        <v>-172373</v>
      </c>
      <c r="BL391" s="676">
        <v>338857</v>
      </c>
      <c r="BM391" s="676">
        <v>24767000</v>
      </c>
      <c r="BN391" s="676">
        <v>1005855</v>
      </c>
      <c r="BO391" s="676">
        <v>302218</v>
      </c>
      <c r="BP391" s="676">
        <v>177942</v>
      </c>
      <c r="BQ391" s="676">
        <v>219767</v>
      </c>
      <c r="BR391" s="676">
        <v>228632</v>
      </c>
      <c r="BS391" s="676">
        <v>13474675</v>
      </c>
      <c r="BT391" s="676">
        <v>9507519</v>
      </c>
      <c r="BU391" s="676">
        <v>870830</v>
      </c>
      <c r="BV391" s="676">
        <v>-1653340</v>
      </c>
      <c r="BW391" s="676">
        <v>8558566</v>
      </c>
      <c r="BX391" s="676">
        <v>312269</v>
      </c>
      <c r="BY391" s="676">
        <v>165283</v>
      </c>
      <c r="BZ391" s="676">
        <v>1685000</v>
      </c>
      <c r="CA391" s="676">
        <v>1183384.1200000001</v>
      </c>
      <c r="CB391" s="676">
        <v>3545542.76</v>
      </c>
      <c r="CC391" s="676">
        <v>2733000</v>
      </c>
      <c r="CD391" s="676">
        <v>-116881</v>
      </c>
      <c r="CE391" s="676">
        <v>11788000</v>
      </c>
      <c r="CF391" s="676">
        <v>1750000</v>
      </c>
      <c r="CG391" s="676">
        <v>-2319000</v>
      </c>
    </row>
    <row r="392" spans="1:85" x14ac:dyDescent="0.25">
      <c r="A392" s="320" t="s">
        <v>1220</v>
      </c>
      <c r="B392" s="320" t="s">
        <v>1426</v>
      </c>
      <c r="C392" s="320" t="s">
        <v>1427</v>
      </c>
      <c r="D392" s="320" t="s">
        <v>754</v>
      </c>
      <c r="E392" s="320">
        <v>2016</v>
      </c>
      <c r="F392" s="404">
        <v>758191</v>
      </c>
      <c r="G392" s="676">
        <v>3432098</v>
      </c>
      <c r="H392" s="676">
        <v>-611670</v>
      </c>
      <c r="I392" s="676">
        <v>-330811</v>
      </c>
      <c r="J392" s="676">
        <v>5271121</v>
      </c>
      <c r="K392" s="676">
        <v>3535753</v>
      </c>
      <c r="L392" s="676">
        <v>3313827</v>
      </c>
      <c r="M392" s="676">
        <v>13215758</v>
      </c>
      <c r="N392" s="676">
        <v>7547343</v>
      </c>
      <c r="O392" s="676">
        <v>9219094</v>
      </c>
      <c r="P392" s="676">
        <v>6016300</v>
      </c>
      <c r="Q392" s="676">
        <v>220345</v>
      </c>
      <c r="R392" s="676">
        <v>5973835</v>
      </c>
      <c r="S392" s="676">
        <v>15919416</v>
      </c>
      <c r="T392" s="676">
        <v>2347185</v>
      </c>
      <c r="U392" s="676">
        <v>706122000</v>
      </c>
      <c r="V392" s="676">
        <v>4794741</v>
      </c>
      <c r="W392" s="676">
        <v>2965556</v>
      </c>
      <c r="X392" s="676">
        <v>-75335.149999999994</v>
      </c>
      <c r="Y392" s="676">
        <v>6712139</v>
      </c>
      <c r="Z392" s="676">
        <v>-4075144.74</v>
      </c>
      <c r="AA392" s="676">
        <v>2954453</v>
      </c>
      <c r="AB392" s="676">
        <v>99951632</v>
      </c>
      <c r="AC392" s="676">
        <v>3630498.32</v>
      </c>
      <c r="AD392" s="676">
        <v>6595335</v>
      </c>
      <c r="AE392" s="676">
        <v>4812106</v>
      </c>
      <c r="AF392" s="676">
        <v>13681382</v>
      </c>
      <c r="AG392" s="676">
        <v>29185</v>
      </c>
      <c r="AH392" s="676">
        <v>590109</v>
      </c>
      <c r="AI392" s="676">
        <v>674367</v>
      </c>
      <c r="AJ392" s="676">
        <v>65345</v>
      </c>
      <c r="AK392" s="676">
        <v>54996237</v>
      </c>
      <c r="AL392" s="676">
        <v>3571430</v>
      </c>
      <c r="AM392" s="676">
        <v>6166134</v>
      </c>
      <c r="AN392" s="676">
        <v>101403000</v>
      </c>
      <c r="AO392" s="676">
        <v>26877521</v>
      </c>
      <c r="AP392" s="676">
        <v>21231160</v>
      </c>
      <c r="AQ392" s="676">
        <v>24423956</v>
      </c>
      <c r="AR392" s="676">
        <v>10413950</v>
      </c>
      <c r="AS392" s="676">
        <v>11149441</v>
      </c>
      <c r="AT392" s="676">
        <v>7833704.8700000001</v>
      </c>
      <c r="AU392" s="676">
        <v>11476155</v>
      </c>
      <c r="AV392" s="676">
        <v>3208109</v>
      </c>
      <c r="AW392" s="676">
        <v>700342</v>
      </c>
      <c r="AX392" s="676">
        <v>12950371</v>
      </c>
      <c r="AY392" s="676">
        <v>5978966</v>
      </c>
      <c r="AZ392" s="676">
        <v>-264481</v>
      </c>
      <c r="BA392" s="676">
        <v>-356785</v>
      </c>
      <c r="BB392" s="676">
        <v>8190725</v>
      </c>
      <c r="BC392" s="676">
        <v>745881</v>
      </c>
      <c r="BD392" s="676">
        <v>159382389</v>
      </c>
      <c r="BE392" s="676">
        <v>-554630.9</v>
      </c>
      <c r="BF392" s="676">
        <v>197670000</v>
      </c>
      <c r="BG392" s="676">
        <v>503779000</v>
      </c>
      <c r="BH392" s="676">
        <v>31495000</v>
      </c>
      <c r="BI392" s="676">
        <v>57390473</v>
      </c>
      <c r="BJ392" s="676">
        <v>15658437</v>
      </c>
      <c r="BK392" s="676">
        <v>1817700</v>
      </c>
      <c r="BL392" s="676">
        <v>2687478</v>
      </c>
      <c r="BM392" s="676">
        <v>40330000</v>
      </c>
      <c r="BN392" s="676">
        <v>15330195</v>
      </c>
      <c r="BO392" s="676">
        <v>2921792</v>
      </c>
      <c r="BP392" s="676">
        <v>4569645</v>
      </c>
      <c r="BQ392" s="676">
        <v>1276240</v>
      </c>
      <c r="BR392" s="676">
        <v>2157484</v>
      </c>
      <c r="BS392" s="676">
        <v>381071297</v>
      </c>
      <c r="BT392" s="676">
        <v>36565419</v>
      </c>
      <c r="BU392" s="676">
        <v>1601622</v>
      </c>
      <c r="BV392" s="676">
        <v>1712549</v>
      </c>
      <c r="BW392" s="676">
        <v>54607573</v>
      </c>
      <c r="BX392" s="676">
        <v>4552886</v>
      </c>
      <c r="BY392" s="676">
        <v>9279129</v>
      </c>
      <c r="BZ392" s="676">
        <v>13585000</v>
      </c>
      <c r="CA392" s="676">
        <v>9840215.5099999998</v>
      </c>
      <c r="CB392" s="676">
        <v>21917576.129999999</v>
      </c>
      <c r="CC392" s="676">
        <v>34646000</v>
      </c>
      <c r="CD392" s="676">
        <v>358712</v>
      </c>
      <c r="CE392" s="676">
        <v>22450000</v>
      </c>
      <c r="CF392" s="676">
        <v>110018000</v>
      </c>
      <c r="CG392" s="676">
        <v>-88048000</v>
      </c>
    </row>
    <row r="393" spans="1:85" x14ac:dyDescent="0.25">
      <c r="A393" s="320" t="s">
        <v>1222</v>
      </c>
      <c r="B393" s="320" t="s">
        <v>1428</v>
      </c>
      <c r="C393" s="320" t="s">
        <v>1429</v>
      </c>
      <c r="D393" s="320" t="s">
        <v>756</v>
      </c>
      <c r="E393" s="320">
        <v>2016</v>
      </c>
      <c r="F393" s="404">
        <v>99</v>
      </c>
      <c r="G393" s="676">
        <v>3646</v>
      </c>
      <c r="H393" s="676">
        <v>693</v>
      </c>
      <c r="I393" s="676">
        <v>1247</v>
      </c>
      <c r="J393" s="676">
        <v>235085</v>
      </c>
      <c r="K393" s="676">
        <v>145</v>
      </c>
      <c r="L393" s="676">
        <v>18</v>
      </c>
      <c r="M393" s="676">
        <v>519788</v>
      </c>
      <c r="N393" s="676">
        <v>1003</v>
      </c>
      <c r="O393" s="676">
        <v>2791</v>
      </c>
      <c r="P393" s="676">
        <v>355</v>
      </c>
      <c r="Q393" s="676">
        <v>1395</v>
      </c>
      <c r="R393" s="676">
        <v>36046</v>
      </c>
      <c r="S393" s="676">
        <v>3795989</v>
      </c>
      <c r="T393" s="676">
        <v>10008</v>
      </c>
      <c r="U393" s="676">
        <v>5460000</v>
      </c>
      <c r="V393" s="676">
        <v>4828</v>
      </c>
      <c r="W393" s="676">
        <v>70</v>
      </c>
      <c r="X393" s="676">
        <v>6.72</v>
      </c>
      <c r="Y393" s="676">
        <v>217503</v>
      </c>
      <c r="Z393" s="676">
        <v>808932.89</v>
      </c>
      <c r="AA393" s="676">
        <v>61</v>
      </c>
      <c r="AB393" s="676">
        <v>16375</v>
      </c>
      <c r="AC393" s="676">
        <v>16.920000000000002</v>
      </c>
      <c r="AD393" s="676">
        <v>75280</v>
      </c>
      <c r="AE393" s="676">
        <v>29183</v>
      </c>
      <c r="AF393" s="676">
        <v>1963</v>
      </c>
      <c r="AG393" s="676">
        <v>1</v>
      </c>
      <c r="AH393" s="676">
        <v>8041</v>
      </c>
      <c r="AI393" s="676">
        <v>6553</v>
      </c>
      <c r="AJ393" s="676">
        <v>8</v>
      </c>
      <c r="AK393" s="676">
        <v>21793</v>
      </c>
      <c r="AL393" s="676">
        <v>165160</v>
      </c>
      <c r="AM393" s="676">
        <v>181176</v>
      </c>
      <c r="AN393" s="676"/>
      <c r="AO393" s="676">
        <v>164147</v>
      </c>
      <c r="AP393" s="676">
        <v>82630</v>
      </c>
      <c r="AQ393" s="676">
        <v>3460</v>
      </c>
      <c r="AR393" s="676">
        <v>31</v>
      </c>
      <c r="AS393" s="676">
        <v>67</v>
      </c>
      <c r="AT393" s="676">
        <v>426</v>
      </c>
      <c r="AU393" s="676">
        <v>1976</v>
      </c>
      <c r="AV393" s="676">
        <v>260</v>
      </c>
      <c r="AW393" s="676">
        <v>12</v>
      </c>
      <c r="AX393" s="676">
        <v>3626876</v>
      </c>
      <c r="AY393" s="676">
        <v>3314</v>
      </c>
      <c r="AZ393" s="676">
        <v>1776</v>
      </c>
      <c r="BA393" s="676">
        <v>105102</v>
      </c>
      <c r="BB393" s="676">
        <v>622</v>
      </c>
      <c r="BC393" s="676">
        <v>10792</v>
      </c>
      <c r="BD393" s="676">
        <v>197761</v>
      </c>
      <c r="BE393" s="676">
        <v>7115.51</v>
      </c>
      <c r="BF393" s="676">
        <v>1492000</v>
      </c>
      <c r="BG393" s="676">
        <v>58084000</v>
      </c>
      <c r="BH393" s="676">
        <v>516139000</v>
      </c>
      <c r="BI393" s="676">
        <v>7428</v>
      </c>
      <c r="BJ393" s="676">
        <v>91994</v>
      </c>
      <c r="BK393" s="676">
        <v>11426</v>
      </c>
      <c r="BL393" s="676">
        <v>21233</v>
      </c>
      <c r="BM393" s="676">
        <v>61490000</v>
      </c>
      <c r="BN393" s="676">
        <v>14738</v>
      </c>
      <c r="BO393" s="676">
        <v>2451</v>
      </c>
      <c r="BP393" s="676">
        <v>297</v>
      </c>
      <c r="BQ393" s="676">
        <v>232</v>
      </c>
      <c r="BR393" s="676">
        <v>1222</v>
      </c>
      <c r="BS393" s="676">
        <v>13366</v>
      </c>
      <c r="BT393" s="676">
        <v>172715</v>
      </c>
      <c r="BU393" s="676">
        <v>31</v>
      </c>
      <c r="BV393" s="676">
        <v>5040</v>
      </c>
      <c r="BW393" s="676">
        <v>353431</v>
      </c>
      <c r="BX393" s="676">
        <v>84</v>
      </c>
      <c r="BY393" s="676">
        <v>73</v>
      </c>
      <c r="BZ393" s="676">
        <v>45225000</v>
      </c>
      <c r="CA393" s="676">
        <v>29723.35</v>
      </c>
      <c r="CB393" s="676">
        <v>41902.33</v>
      </c>
      <c r="CC393" s="676">
        <v>73893000</v>
      </c>
      <c r="CD393" s="676">
        <v>290</v>
      </c>
      <c r="CE393" s="676">
        <v>348000</v>
      </c>
      <c r="CF393" s="676">
        <v>575000</v>
      </c>
      <c r="CG393" s="676">
        <v>114000</v>
      </c>
    </row>
    <row r="394" spans="1:85" x14ac:dyDescent="0.25">
      <c r="A394" s="320" t="s">
        <v>1267</v>
      </c>
      <c r="B394" s="320" t="s">
        <v>1268</v>
      </c>
      <c r="C394" s="320"/>
      <c r="D394" s="320" t="s">
        <v>758</v>
      </c>
      <c r="E394" s="320">
        <v>2016</v>
      </c>
      <c r="F394" s="404"/>
      <c r="G394" s="676"/>
      <c r="H394" s="676"/>
      <c r="I394" s="676"/>
      <c r="J394" s="676"/>
      <c r="K394" s="676"/>
      <c r="L394" s="676"/>
      <c r="M394" s="676">
        <v>16597</v>
      </c>
      <c r="N394" s="676"/>
      <c r="O394" s="676"/>
      <c r="P394" s="676"/>
      <c r="Q394" s="676"/>
      <c r="R394" s="676"/>
      <c r="S394" s="676"/>
      <c r="T394" s="676"/>
      <c r="U394" s="676"/>
      <c r="V394" s="676"/>
      <c r="W394" s="676"/>
      <c r="X394" s="676">
        <v>0</v>
      </c>
      <c r="Y394" s="676"/>
      <c r="Z394" s="676">
        <v>0</v>
      </c>
      <c r="AA394" s="676"/>
      <c r="AB394" s="676"/>
      <c r="AC394" s="676">
        <v>0</v>
      </c>
      <c r="AD394" s="676"/>
      <c r="AE394" s="676"/>
      <c r="AF394" s="676"/>
      <c r="AG394" s="676"/>
      <c r="AH394" s="676"/>
      <c r="AI394" s="676"/>
      <c r="AJ394" s="676"/>
      <c r="AK394" s="676"/>
      <c r="AL394" s="676">
        <v>150000</v>
      </c>
      <c r="AM394" s="676"/>
      <c r="AN394" s="676"/>
      <c r="AO394" s="676"/>
      <c r="AP394" s="676"/>
      <c r="AQ394" s="676"/>
      <c r="AR394" s="676"/>
      <c r="AS394" s="676"/>
      <c r="AT394" s="676">
        <v>0</v>
      </c>
      <c r="AU394" s="676"/>
      <c r="AV394" s="676"/>
      <c r="AW394" s="676"/>
      <c r="AX394" s="676"/>
      <c r="AY394" s="676"/>
      <c r="AZ394" s="676">
        <v>0</v>
      </c>
      <c r="BA394" s="676"/>
      <c r="BB394" s="676"/>
      <c r="BC394" s="676"/>
      <c r="BD394" s="676"/>
      <c r="BE394" s="676">
        <v>0</v>
      </c>
      <c r="BF394" s="676"/>
      <c r="BG394" s="676"/>
      <c r="BH394" s="676"/>
      <c r="BI394" s="676"/>
      <c r="BJ394" s="676"/>
      <c r="BK394" s="676"/>
      <c r="BL394" s="676"/>
      <c r="BM394" s="676"/>
      <c r="BN394" s="676">
        <v>0</v>
      </c>
      <c r="BO394" s="676"/>
      <c r="BP394" s="676"/>
      <c r="BQ394" s="676"/>
      <c r="BR394" s="676"/>
      <c r="BS394" s="676"/>
      <c r="BT394" s="676"/>
      <c r="BU394" s="676"/>
      <c r="BV394" s="676"/>
      <c r="BW394" s="676"/>
      <c r="BX394" s="676"/>
      <c r="BY394" s="676"/>
      <c r="BZ394" s="676"/>
      <c r="CA394" s="676"/>
      <c r="CB394" s="676"/>
      <c r="CC394" s="676"/>
      <c r="CD394" s="676"/>
      <c r="CE394" s="676"/>
      <c r="CF394" s="676"/>
      <c r="CG394" s="676"/>
    </row>
    <row r="395" spans="1:85" x14ac:dyDescent="0.25">
      <c r="A395" s="320" t="s">
        <v>1269</v>
      </c>
      <c r="B395" s="320" t="s">
        <v>1430</v>
      </c>
      <c r="C395" s="320" t="s">
        <v>1431</v>
      </c>
      <c r="D395" s="320" t="s">
        <v>760</v>
      </c>
      <c r="E395" s="320">
        <v>2016</v>
      </c>
      <c r="F395" s="404"/>
      <c r="G395" s="676"/>
      <c r="H395" s="676"/>
      <c r="I395" s="676"/>
      <c r="J395" s="676">
        <v>228315</v>
      </c>
      <c r="K395" s="676"/>
      <c r="L395" s="676"/>
      <c r="M395" s="676"/>
      <c r="N395" s="676"/>
      <c r="O395" s="676"/>
      <c r="P395" s="676"/>
      <c r="Q395" s="676"/>
      <c r="R395" s="676"/>
      <c r="S395" s="676"/>
      <c r="T395" s="676"/>
      <c r="U395" s="676">
        <v>712000</v>
      </c>
      <c r="V395" s="676"/>
      <c r="W395" s="676"/>
      <c r="X395" s="676">
        <v>0</v>
      </c>
      <c r="Y395" s="676"/>
      <c r="Z395" s="676">
        <v>0</v>
      </c>
      <c r="AA395" s="676"/>
      <c r="AB395" s="676"/>
      <c r="AC395" s="676">
        <v>0</v>
      </c>
      <c r="AD395" s="676"/>
      <c r="AE395" s="676"/>
      <c r="AF395" s="676"/>
      <c r="AG395" s="676"/>
      <c r="AH395" s="676"/>
      <c r="AI395" s="676"/>
      <c r="AJ395" s="676"/>
      <c r="AK395" s="676"/>
      <c r="AL395" s="676">
        <v>2357</v>
      </c>
      <c r="AM395" s="676"/>
      <c r="AN395" s="676"/>
      <c r="AO395" s="676"/>
      <c r="AP395" s="676"/>
      <c r="AQ395" s="676"/>
      <c r="AR395" s="676"/>
      <c r="AS395" s="676"/>
      <c r="AT395" s="676">
        <v>0</v>
      </c>
      <c r="AU395" s="676"/>
      <c r="AV395" s="676"/>
      <c r="AW395" s="676"/>
      <c r="AX395" s="676">
        <v>3179246</v>
      </c>
      <c r="AY395" s="676"/>
      <c r="AZ395" s="676">
        <v>0</v>
      </c>
      <c r="BA395" s="676"/>
      <c r="BB395" s="676"/>
      <c r="BC395" s="676"/>
      <c r="BD395" s="676"/>
      <c r="BE395" s="676">
        <v>0</v>
      </c>
      <c r="BF395" s="676"/>
      <c r="BG395" s="676">
        <v>30060000</v>
      </c>
      <c r="BH395" s="676">
        <v>515443000</v>
      </c>
      <c r="BI395" s="676"/>
      <c r="BJ395" s="676"/>
      <c r="BK395" s="676"/>
      <c r="BL395" s="676"/>
      <c r="BM395" s="676">
        <v>55078000</v>
      </c>
      <c r="BN395" s="676">
        <v>0</v>
      </c>
      <c r="BO395" s="676"/>
      <c r="BP395" s="676"/>
      <c r="BQ395" s="676"/>
      <c r="BR395" s="676"/>
      <c r="BS395" s="676"/>
      <c r="BT395" s="676">
        <v>168026</v>
      </c>
      <c r="BU395" s="676"/>
      <c r="BV395" s="676"/>
      <c r="BW395" s="676">
        <v>352789</v>
      </c>
      <c r="BX395" s="676"/>
      <c r="BY395" s="676"/>
      <c r="BZ395" s="676">
        <v>45223000</v>
      </c>
      <c r="CA395" s="676"/>
      <c r="CB395" s="676"/>
      <c r="CC395" s="676">
        <v>51190000</v>
      </c>
      <c r="CD395" s="676"/>
      <c r="CE395" s="676"/>
      <c r="CF395" s="676"/>
      <c r="CG395" s="676"/>
    </row>
    <row r="396" spans="1:85" x14ac:dyDescent="0.25">
      <c r="A396" s="320" t="s">
        <v>1270</v>
      </c>
      <c r="B396" s="320" t="s">
        <v>1271</v>
      </c>
      <c r="C396" s="320"/>
      <c r="D396" s="320" t="s">
        <v>762</v>
      </c>
      <c r="E396" s="320">
        <v>2016</v>
      </c>
      <c r="F396" s="404"/>
      <c r="G396" s="676"/>
      <c r="H396" s="676"/>
      <c r="I396" s="676"/>
      <c r="J396" s="676">
        <v>228315</v>
      </c>
      <c r="K396" s="676"/>
      <c r="L396" s="676"/>
      <c r="M396" s="676"/>
      <c r="N396" s="676"/>
      <c r="O396" s="676"/>
      <c r="P396" s="676"/>
      <c r="Q396" s="676"/>
      <c r="R396" s="676"/>
      <c r="S396" s="676"/>
      <c r="T396" s="676"/>
      <c r="U396" s="676"/>
      <c r="V396" s="676"/>
      <c r="W396" s="676"/>
      <c r="X396" s="676">
        <v>0</v>
      </c>
      <c r="Y396" s="676"/>
      <c r="Z396" s="676">
        <v>0</v>
      </c>
      <c r="AA396" s="676"/>
      <c r="AB396" s="676"/>
      <c r="AC396" s="676">
        <v>0</v>
      </c>
      <c r="AD396" s="676"/>
      <c r="AE396" s="676"/>
      <c r="AF396" s="676"/>
      <c r="AG396" s="676"/>
      <c r="AH396" s="676"/>
      <c r="AI396" s="676"/>
      <c r="AJ396" s="676"/>
      <c r="AK396" s="676"/>
      <c r="AL396" s="676">
        <v>2357</v>
      </c>
      <c r="AM396" s="676"/>
      <c r="AN396" s="676"/>
      <c r="AO396" s="676"/>
      <c r="AP396" s="676"/>
      <c r="AQ396" s="676"/>
      <c r="AR396" s="676"/>
      <c r="AS396" s="676"/>
      <c r="AT396" s="676">
        <v>0</v>
      </c>
      <c r="AU396" s="676"/>
      <c r="AV396" s="676"/>
      <c r="AW396" s="676"/>
      <c r="AX396" s="676"/>
      <c r="AY396" s="676"/>
      <c r="AZ396" s="676">
        <v>0</v>
      </c>
      <c r="BA396" s="676"/>
      <c r="BB396" s="676"/>
      <c r="BC396" s="676"/>
      <c r="BD396" s="676"/>
      <c r="BE396" s="676">
        <v>0</v>
      </c>
      <c r="BF396" s="676"/>
      <c r="BG396" s="676">
        <v>600000</v>
      </c>
      <c r="BH396" s="676">
        <v>515443000</v>
      </c>
      <c r="BI396" s="676"/>
      <c r="BJ396" s="676"/>
      <c r="BK396" s="676"/>
      <c r="BL396" s="676"/>
      <c r="BM396" s="676"/>
      <c r="BN396" s="676">
        <v>0</v>
      </c>
      <c r="BO396" s="676"/>
      <c r="BP396" s="676"/>
      <c r="BQ396" s="676"/>
      <c r="BR396" s="676"/>
      <c r="BS396" s="676"/>
      <c r="BT396" s="676"/>
      <c r="BU396" s="676"/>
      <c r="BV396" s="676"/>
      <c r="BW396" s="676"/>
      <c r="BX396" s="676"/>
      <c r="BY396" s="676"/>
      <c r="BZ396" s="676"/>
      <c r="CA396" s="676"/>
      <c r="CB396" s="676"/>
      <c r="CC396" s="676">
        <v>51173000</v>
      </c>
      <c r="CD396" s="676"/>
      <c r="CE396" s="676"/>
      <c r="CF396" s="676"/>
      <c r="CG396" s="676"/>
    </row>
    <row r="397" spans="1:85" x14ac:dyDescent="0.25">
      <c r="A397" s="320" t="s">
        <v>1272</v>
      </c>
      <c r="B397" s="320" t="s">
        <v>1273</v>
      </c>
      <c r="C397" s="320"/>
      <c r="D397" s="320" t="s">
        <v>764</v>
      </c>
      <c r="E397" s="320">
        <v>2016</v>
      </c>
      <c r="F397" s="404"/>
      <c r="G397" s="676"/>
      <c r="H397" s="676"/>
      <c r="I397" s="676"/>
      <c r="J397" s="676"/>
      <c r="K397" s="676"/>
      <c r="L397" s="676"/>
      <c r="M397" s="676"/>
      <c r="N397" s="676"/>
      <c r="O397" s="676"/>
      <c r="P397" s="676"/>
      <c r="Q397" s="676"/>
      <c r="R397" s="676"/>
      <c r="S397" s="676"/>
      <c r="T397" s="676"/>
      <c r="U397" s="676"/>
      <c r="V397" s="676"/>
      <c r="W397" s="676"/>
      <c r="X397" s="676">
        <v>0</v>
      </c>
      <c r="Y397" s="676"/>
      <c r="Z397" s="676">
        <v>0</v>
      </c>
      <c r="AA397" s="676"/>
      <c r="AB397" s="676"/>
      <c r="AC397" s="676">
        <v>0</v>
      </c>
      <c r="AD397" s="676"/>
      <c r="AE397" s="676"/>
      <c r="AF397" s="676"/>
      <c r="AG397" s="676"/>
      <c r="AH397" s="676"/>
      <c r="AI397" s="676"/>
      <c r="AJ397" s="676"/>
      <c r="AK397" s="676"/>
      <c r="AL397" s="676"/>
      <c r="AM397" s="676"/>
      <c r="AN397" s="676"/>
      <c r="AO397" s="676"/>
      <c r="AP397" s="676"/>
      <c r="AQ397" s="676"/>
      <c r="AR397" s="676"/>
      <c r="AS397" s="676"/>
      <c r="AT397" s="676">
        <v>0</v>
      </c>
      <c r="AU397" s="676"/>
      <c r="AV397" s="676"/>
      <c r="AW397" s="676"/>
      <c r="AX397" s="676">
        <v>3179246</v>
      </c>
      <c r="AY397" s="676"/>
      <c r="AZ397" s="676">
        <v>0</v>
      </c>
      <c r="BA397" s="676"/>
      <c r="BB397" s="676"/>
      <c r="BC397" s="676"/>
      <c r="BD397" s="676"/>
      <c r="BE397" s="676">
        <v>0</v>
      </c>
      <c r="BF397" s="676"/>
      <c r="BG397" s="676"/>
      <c r="BH397" s="676"/>
      <c r="BI397" s="676"/>
      <c r="BJ397" s="676"/>
      <c r="BK397" s="676"/>
      <c r="BL397" s="676"/>
      <c r="BM397" s="676"/>
      <c r="BN397" s="676">
        <v>0</v>
      </c>
      <c r="BO397" s="676"/>
      <c r="BP397" s="676"/>
      <c r="BQ397" s="676"/>
      <c r="BR397" s="676"/>
      <c r="BS397" s="676"/>
      <c r="BT397" s="676">
        <v>168026</v>
      </c>
      <c r="BU397" s="676"/>
      <c r="BV397" s="676"/>
      <c r="BW397" s="676">
        <v>352789</v>
      </c>
      <c r="BX397" s="676"/>
      <c r="BY397" s="676"/>
      <c r="BZ397" s="676"/>
      <c r="CA397" s="676"/>
      <c r="CB397" s="676"/>
      <c r="CC397" s="676"/>
      <c r="CD397" s="676"/>
      <c r="CE397" s="676"/>
      <c r="CF397" s="676"/>
      <c r="CG397" s="676"/>
    </row>
    <row r="398" spans="1:85" x14ac:dyDescent="0.25">
      <c r="A398" s="320" t="s">
        <v>1274</v>
      </c>
      <c r="B398" s="320" t="s">
        <v>1275</v>
      </c>
      <c r="C398" s="320"/>
      <c r="D398" s="320" t="s">
        <v>1276</v>
      </c>
      <c r="E398" s="320">
        <v>2016</v>
      </c>
      <c r="F398" s="404"/>
      <c r="G398" s="676"/>
      <c r="H398" s="676"/>
      <c r="I398" s="676"/>
      <c r="J398" s="676"/>
      <c r="K398" s="676"/>
      <c r="L398" s="676"/>
      <c r="M398" s="676"/>
      <c r="N398" s="676"/>
      <c r="O398" s="676"/>
      <c r="P398" s="676"/>
      <c r="Q398" s="676"/>
      <c r="R398" s="676"/>
      <c r="S398" s="676"/>
      <c r="T398" s="676"/>
      <c r="U398" s="676">
        <v>712000</v>
      </c>
      <c r="V398" s="676"/>
      <c r="W398" s="676"/>
      <c r="X398" s="676">
        <v>0</v>
      </c>
      <c r="Y398" s="676"/>
      <c r="Z398" s="676">
        <v>0</v>
      </c>
      <c r="AA398" s="676"/>
      <c r="AB398" s="676"/>
      <c r="AC398" s="676">
        <v>0</v>
      </c>
      <c r="AD398" s="676"/>
      <c r="AE398" s="676"/>
      <c r="AF398" s="676"/>
      <c r="AG398" s="676"/>
      <c r="AH398" s="676"/>
      <c r="AI398" s="676"/>
      <c r="AJ398" s="676"/>
      <c r="AK398" s="676"/>
      <c r="AL398" s="676"/>
      <c r="AM398" s="676"/>
      <c r="AN398" s="676"/>
      <c r="AO398" s="676"/>
      <c r="AP398" s="676"/>
      <c r="AQ398" s="676"/>
      <c r="AR398" s="676"/>
      <c r="AS398" s="676"/>
      <c r="AT398" s="676">
        <v>0</v>
      </c>
      <c r="AU398" s="676"/>
      <c r="AV398" s="676"/>
      <c r="AW398" s="676"/>
      <c r="AX398" s="676"/>
      <c r="AY398" s="676"/>
      <c r="AZ398" s="676">
        <v>0</v>
      </c>
      <c r="BA398" s="676"/>
      <c r="BB398" s="676"/>
      <c r="BC398" s="676"/>
      <c r="BD398" s="676"/>
      <c r="BE398" s="676">
        <v>0</v>
      </c>
      <c r="BF398" s="676"/>
      <c r="BG398" s="676">
        <v>29460000</v>
      </c>
      <c r="BH398" s="676"/>
      <c r="BI398" s="676"/>
      <c r="BJ398" s="676"/>
      <c r="BK398" s="676"/>
      <c r="BL398" s="676"/>
      <c r="BM398" s="676"/>
      <c r="BN398" s="676">
        <v>0</v>
      </c>
      <c r="BO398" s="676"/>
      <c r="BP398" s="676"/>
      <c r="BQ398" s="676"/>
      <c r="BR398" s="676"/>
      <c r="BS398" s="676"/>
      <c r="BT398" s="676"/>
      <c r="BU398" s="676"/>
      <c r="BV398" s="676"/>
      <c r="BW398" s="676"/>
      <c r="BX398" s="676"/>
      <c r="BY398" s="676"/>
      <c r="BZ398" s="676"/>
      <c r="CA398" s="676"/>
      <c r="CB398" s="676"/>
      <c r="CC398" s="676">
        <v>17000</v>
      </c>
      <c r="CD398" s="676"/>
      <c r="CE398" s="676"/>
      <c r="CF398" s="676"/>
      <c r="CG398" s="676"/>
    </row>
    <row r="399" spans="1:85" x14ac:dyDescent="0.25">
      <c r="A399" s="320" t="s">
        <v>1277</v>
      </c>
      <c r="B399" s="320" t="s">
        <v>1432</v>
      </c>
      <c r="C399" s="320" t="s">
        <v>1433</v>
      </c>
      <c r="D399" s="320" t="s">
        <v>458</v>
      </c>
      <c r="E399" s="320">
        <v>2016</v>
      </c>
      <c r="F399" s="404"/>
      <c r="G399" s="676"/>
      <c r="H399" s="676"/>
      <c r="I399" s="676"/>
      <c r="J399" s="676"/>
      <c r="K399" s="676"/>
      <c r="L399" s="676"/>
      <c r="M399" s="676"/>
      <c r="N399" s="676"/>
      <c r="O399" s="676"/>
      <c r="P399" s="676"/>
      <c r="Q399" s="676"/>
      <c r="R399" s="676"/>
      <c r="S399" s="676"/>
      <c r="T399" s="676"/>
      <c r="U399" s="676"/>
      <c r="V399" s="676"/>
      <c r="W399" s="676"/>
      <c r="X399" s="676">
        <v>0</v>
      </c>
      <c r="Y399" s="676"/>
      <c r="Z399" s="676">
        <v>0</v>
      </c>
      <c r="AA399" s="676"/>
      <c r="AB399" s="676"/>
      <c r="AC399" s="676">
        <v>0</v>
      </c>
      <c r="AD399" s="676"/>
      <c r="AE399" s="676"/>
      <c r="AF399" s="676"/>
      <c r="AG399" s="676"/>
      <c r="AH399" s="676"/>
      <c r="AI399" s="676"/>
      <c r="AJ399" s="676"/>
      <c r="AK399" s="676"/>
      <c r="AL399" s="676"/>
      <c r="AM399" s="676"/>
      <c r="AN399" s="676"/>
      <c r="AO399" s="676"/>
      <c r="AP399" s="676"/>
      <c r="AQ399" s="676"/>
      <c r="AR399" s="676"/>
      <c r="AS399" s="676"/>
      <c r="AT399" s="676">
        <v>0</v>
      </c>
      <c r="AU399" s="676"/>
      <c r="AV399" s="676"/>
      <c r="AW399" s="676"/>
      <c r="AX399" s="676"/>
      <c r="AY399" s="676"/>
      <c r="AZ399" s="676">
        <v>0</v>
      </c>
      <c r="BA399" s="676"/>
      <c r="BB399" s="676"/>
      <c r="BC399" s="676"/>
      <c r="BD399" s="676"/>
      <c r="BE399" s="676">
        <v>0</v>
      </c>
      <c r="BF399" s="676"/>
      <c r="BG399" s="676"/>
      <c r="BH399" s="676"/>
      <c r="BI399" s="676"/>
      <c r="BJ399" s="676"/>
      <c r="BK399" s="676"/>
      <c r="BL399" s="676"/>
      <c r="BM399" s="676"/>
      <c r="BN399" s="676">
        <v>0</v>
      </c>
      <c r="BO399" s="676"/>
      <c r="BP399" s="676"/>
      <c r="BQ399" s="676"/>
      <c r="BR399" s="676"/>
      <c r="BS399" s="676"/>
      <c r="BT399" s="676"/>
      <c r="BU399" s="676"/>
      <c r="BV399" s="676"/>
      <c r="BW399" s="676"/>
      <c r="BX399" s="676"/>
      <c r="BY399" s="676"/>
      <c r="BZ399" s="676"/>
      <c r="CA399" s="676"/>
      <c r="CB399" s="676"/>
      <c r="CC399" s="676"/>
      <c r="CD399" s="676"/>
      <c r="CE399" s="676"/>
      <c r="CF399" s="676"/>
      <c r="CG399" s="676"/>
    </row>
    <row r="400" spans="1:85" x14ac:dyDescent="0.25">
      <c r="A400" s="320" t="s">
        <v>1278</v>
      </c>
      <c r="B400" s="320" t="s">
        <v>1279</v>
      </c>
      <c r="C400" s="320"/>
      <c r="D400" s="320" t="s">
        <v>767</v>
      </c>
      <c r="E400" s="320">
        <v>2016</v>
      </c>
      <c r="F400" s="404"/>
      <c r="G400" s="676"/>
      <c r="H400" s="676"/>
      <c r="I400" s="676"/>
      <c r="J400" s="676"/>
      <c r="K400" s="676"/>
      <c r="L400" s="676"/>
      <c r="M400" s="676"/>
      <c r="N400" s="676"/>
      <c r="O400" s="676"/>
      <c r="P400" s="676"/>
      <c r="Q400" s="676"/>
      <c r="R400" s="676"/>
      <c r="S400" s="676"/>
      <c r="T400" s="676"/>
      <c r="U400" s="676"/>
      <c r="V400" s="676"/>
      <c r="W400" s="676"/>
      <c r="X400" s="676">
        <v>0</v>
      </c>
      <c r="Y400" s="676"/>
      <c r="Z400" s="676">
        <v>0</v>
      </c>
      <c r="AA400" s="676"/>
      <c r="AB400" s="676"/>
      <c r="AC400" s="676">
        <v>0</v>
      </c>
      <c r="AD400" s="676"/>
      <c r="AE400" s="676"/>
      <c r="AF400" s="676"/>
      <c r="AG400" s="676"/>
      <c r="AH400" s="676"/>
      <c r="AI400" s="676"/>
      <c r="AJ400" s="676"/>
      <c r="AK400" s="676"/>
      <c r="AL400" s="676"/>
      <c r="AM400" s="676"/>
      <c r="AN400" s="676"/>
      <c r="AO400" s="676"/>
      <c r="AP400" s="676"/>
      <c r="AQ400" s="676"/>
      <c r="AR400" s="676"/>
      <c r="AS400" s="676"/>
      <c r="AT400" s="676">
        <v>0</v>
      </c>
      <c r="AU400" s="676"/>
      <c r="AV400" s="676"/>
      <c r="AW400" s="676"/>
      <c r="AX400" s="676"/>
      <c r="AY400" s="676"/>
      <c r="AZ400" s="676">
        <v>0</v>
      </c>
      <c r="BA400" s="676"/>
      <c r="BB400" s="676"/>
      <c r="BC400" s="676"/>
      <c r="BD400" s="676"/>
      <c r="BE400" s="676">
        <v>0</v>
      </c>
      <c r="BF400" s="676"/>
      <c r="BG400" s="676"/>
      <c r="BH400" s="676"/>
      <c r="BI400" s="676"/>
      <c r="BJ400" s="676"/>
      <c r="BK400" s="676"/>
      <c r="BL400" s="676"/>
      <c r="BM400" s="676"/>
      <c r="BN400" s="676">
        <v>0</v>
      </c>
      <c r="BO400" s="676"/>
      <c r="BP400" s="676"/>
      <c r="BQ400" s="676"/>
      <c r="BR400" s="676"/>
      <c r="BS400" s="676"/>
      <c r="BT400" s="676"/>
      <c r="BU400" s="676"/>
      <c r="BV400" s="676"/>
      <c r="BW400" s="676"/>
      <c r="BX400" s="676"/>
      <c r="BY400" s="676"/>
      <c r="BZ400" s="676"/>
      <c r="CA400" s="676"/>
      <c r="CB400" s="676"/>
      <c r="CC400" s="676"/>
      <c r="CD400" s="676"/>
      <c r="CE400" s="676"/>
      <c r="CF400" s="676"/>
      <c r="CG400" s="676"/>
    </row>
    <row r="401" spans="1:85" x14ac:dyDescent="0.25">
      <c r="A401" s="320" t="s">
        <v>1280</v>
      </c>
      <c r="B401" s="320" t="s">
        <v>1281</v>
      </c>
      <c r="C401" s="320"/>
      <c r="D401" s="320" t="s">
        <v>769</v>
      </c>
      <c r="E401" s="320">
        <v>2016</v>
      </c>
      <c r="F401" s="404"/>
      <c r="G401" s="676"/>
      <c r="H401" s="676"/>
      <c r="I401" s="676"/>
      <c r="J401" s="676"/>
      <c r="K401" s="676"/>
      <c r="L401" s="676"/>
      <c r="M401" s="676"/>
      <c r="N401" s="676"/>
      <c r="O401" s="676"/>
      <c r="P401" s="676"/>
      <c r="Q401" s="676"/>
      <c r="R401" s="676"/>
      <c r="S401" s="676"/>
      <c r="T401" s="676"/>
      <c r="U401" s="676"/>
      <c r="V401" s="676"/>
      <c r="W401" s="676"/>
      <c r="X401" s="676">
        <v>0</v>
      </c>
      <c r="Y401" s="676"/>
      <c r="Z401" s="676">
        <v>0</v>
      </c>
      <c r="AA401" s="676"/>
      <c r="AB401" s="676"/>
      <c r="AC401" s="676">
        <v>0</v>
      </c>
      <c r="AD401" s="676"/>
      <c r="AE401" s="676"/>
      <c r="AF401" s="676"/>
      <c r="AG401" s="676"/>
      <c r="AH401" s="676"/>
      <c r="AI401" s="676"/>
      <c r="AJ401" s="676"/>
      <c r="AK401" s="676"/>
      <c r="AL401" s="676"/>
      <c r="AM401" s="676"/>
      <c r="AN401" s="676"/>
      <c r="AO401" s="676"/>
      <c r="AP401" s="676"/>
      <c r="AQ401" s="676"/>
      <c r="AR401" s="676"/>
      <c r="AS401" s="676"/>
      <c r="AT401" s="676">
        <v>0</v>
      </c>
      <c r="AU401" s="676"/>
      <c r="AV401" s="676"/>
      <c r="AW401" s="676"/>
      <c r="AX401" s="676"/>
      <c r="AY401" s="676"/>
      <c r="AZ401" s="676">
        <v>0</v>
      </c>
      <c r="BA401" s="676"/>
      <c r="BB401" s="676"/>
      <c r="BC401" s="676"/>
      <c r="BD401" s="676"/>
      <c r="BE401" s="676">
        <v>0</v>
      </c>
      <c r="BF401" s="676"/>
      <c r="BG401" s="676"/>
      <c r="BH401" s="676"/>
      <c r="BI401" s="676"/>
      <c r="BJ401" s="676"/>
      <c r="BK401" s="676"/>
      <c r="BL401" s="676"/>
      <c r="BM401" s="676"/>
      <c r="BN401" s="676">
        <v>0</v>
      </c>
      <c r="BO401" s="676"/>
      <c r="BP401" s="676"/>
      <c r="BQ401" s="676"/>
      <c r="BR401" s="676"/>
      <c r="BS401" s="676"/>
      <c r="BT401" s="676"/>
      <c r="BU401" s="676"/>
      <c r="BV401" s="676"/>
      <c r="BW401" s="676"/>
      <c r="BX401" s="676"/>
      <c r="BY401" s="676"/>
      <c r="BZ401" s="676"/>
      <c r="CA401" s="676"/>
      <c r="CB401" s="676"/>
      <c r="CC401" s="676"/>
      <c r="CD401" s="676"/>
      <c r="CE401" s="676"/>
      <c r="CF401" s="676"/>
      <c r="CG401" s="676"/>
    </row>
    <row r="402" spans="1:85" x14ac:dyDescent="0.25">
      <c r="A402" s="320" t="s">
        <v>1282</v>
      </c>
      <c r="B402" s="320" t="s">
        <v>1283</v>
      </c>
      <c r="C402" s="320"/>
      <c r="D402" s="320" t="s">
        <v>771</v>
      </c>
      <c r="E402" s="320">
        <v>2016</v>
      </c>
      <c r="F402" s="404"/>
      <c r="G402" s="676"/>
      <c r="H402" s="676"/>
      <c r="I402" s="676"/>
      <c r="J402" s="676"/>
      <c r="K402" s="676"/>
      <c r="L402" s="676"/>
      <c r="M402" s="676"/>
      <c r="N402" s="676"/>
      <c r="O402" s="676"/>
      <c r="P402" s="676"/>
      <c r="Q402" s="676"/>
      <c r="R402" s="676"/>
      <c r="S402" s="676"/>
      <c r="T402" s="676"/>
      <c r="U402" s="676"/>
      <c r="V402" s="676"/>
      <c r="W402" s="676"/>
      <c r="X402" s="676">
        <v>0</v>
      </c>
      <c r="Y402" s="676"/>
      <c r="Z402" s="676">
        <v>0</v>
      </c>
      <c r="AA402" s="676"/>
      <c r="AB402" s="676"/>
      <c r="AC402" s="676">
        <v>0</v>
      </c>
      <c r="AD402" s="676"/>
      <c r="AE402" s="676"/>
      <c r="AF402" s="676"/>
      <c r="AG402" s="676"/>
      <c r="AH402" s="676"/>
      <c r="AI402" s="676"/>
      <c r="AJ402" s="676"/>
      <c r="AK402" s="676"/>
      <c r="AL402" s="676"/>
      <c r="AM402" s="676"/>
      <c r="AN402" s="676"/>
      <c r="AO402" s="676"/>
      <c r="AP402" s="676"/>
      <c r="AQ402" s="676"/>
      <c r="AR402" s="676"/>
      <c r="AS402" s="676"/>
      <c r="AT402" s="676">
        <v>0</v>
      </c>
      <c r="AU402" s="676"/>
      <c r="AV402" s="676"/>
      <c r="AW402" s="676"/>
      <c r="AX402" s="676"/>
      <c r="AY402" s="676"/>
      <c r="AZ402" s="676">
        <v>0</v>
      </c>
      <c r="BA402" s="676"/>
      <c r="BB402" s="676"/>
      <c r="BC402" s="676"/>
      <c r="BD402" s="676"/>
      <c r="BE402" s="676">
        <v>0</v>
      </c>
      <c r="BF402" s="676"/>
      <c r="BG402" s="676"/>
      <c r="BH402" s="676"/>
      <c r="BI402" s="676"/>
      <c r="BJ402" s="676"/>
      <c r="BK402" s="676"/>
      <c r="BL402" s="676"/>
      <c r="BM402" s="676"/>
      <c r="BN402" s="676">
        <v>0</v>
      </c>
      <c r="BO402" s="676"/>
      <c r="BP402" s="676"/>
      <c r="BQ402" s="676"/>
      <c r="BR402" s="676"/>
      <c r="BS402" s="676"/>
      <c r="BT402" s="676"/>
      <c r="BU402" s="676"/>
      <c r="BV402" s="676"/>
      <c r="BW402" s="676"/>
      <c r="BX402" s="676"/>
      <c r="BY402" s="676"/>
      <c r="BZ402" s="676"/>
      <c r="CA402" s="676"/>
      <c r="CB402" s="676"/>
      <c r="CC402" s="676"/>
      <c r="CD402" s="676"/>
      <c r="CE402" s="676"/>
      <c r="CF402" s="676"/>
      <c r="CG402" s="676"/>
    </row>
    <row r="403" spans="1:85" x14ac:dyDescent="0.25">
      <c r="A403" s="320" t="s">
        <v>1284</v>
      </c>
      <c r="B403" s="320" t="s">
        <v>1434</v>
      </c>
      <c r="C403" s="320" t="s">
        <v>1435</v>
      </c>
      <c r="D403" s="320" t="s">
        <v>773</v>
      </c>
      <c r="E403" s="320">
        <v>2016</v>
      </c>
      <c r="F403" s="404">
        <v>99</v>
      </c>
      <c r="G403" s="676">
        <v>3645</v>
      </c>
      <c r="H403" s="676">
        <v>126</v>
      </c>
      <c r="I403" s="676">
        <v>1203</v>
      </c>
      <c r="J403" s="676">
        <v>346</v>
      </c>
      <c r="K403" s="676">
        <v>145</v>
      </c>
      <c r="L403" s="676">
        <v>10</v>
      </c>
      <c r="M403" s="676">
        <v>128737</v>
      </c>
      <c r="N403" s="676">
        <v>259</v>
      </c>
      <c r="O403" s="676"/>
      <c r="P403" s="676">
        <v>224</v>
      </c>
      <c r="Q403" s="676">
        <v>1344</v>
      </c>
      <c r="R403" s="676">
        <v>36046</v>
      </c>
      <c r="S403" s="676">
        <v>242631</v>
      </c>
      <c r="T403" s="676">
        <v>9482</v>
      </c>
      <c r="U403" s="676">
        <v>4348000</v>
      </c>
      <c r="V403" s="676">
        <v>1230</v>
      </c>
      <c r="W403" s="676">
        <v>46</v>
      </c>
      <c r="X403" s="676">
        <v>6.66</v>
      </c>
      <c r="Y403" s="676">
        <v>316</v>
      </c>
      <c r="Z403" s="676">
        <v>808926.74</v>
      </c>
      <c r="AA403" s="676">
        <v>61</v>
      </c>
      <c r="AB403" s="676">
        <v>16329</v>
      </c>
      <c r="AC403" s="676">
        <v>16.920000000000002</v>
      </c>
      <c r="AD403" s="676">
        <v>178</v>
      </c>
      <c r="AE403" s="676">
        <v>27852</v>
      </c>
      <c r="AF403" s="676">
        <v>784</v>
      </c>
      <c r="AG403" s="676">
        <v>1</v>
      </c>
      <c r="AH403" s="676">
        <v>8041</v>
      </c>
      <c r="AI403" s="676">
        <v>46</v>
      </c>
      <c r="AJ403" s="676">
        <v>3</v>
      </c>
      <c r="AK403" s="676">
        <v>20986</v>
      </c>
      <c r="AL403" s="676">
        <v>695</v>
      </c>
      <c r="AM403" s="676">
        <v>100</v>
      </c>
      <c r="AN403" s="676"/>
      <c r="AO403" s="676">
        <v>164147</v>
      </c>
      <c r="AP403" s="676">
        <v>82630</v>
      </c>
      <c r="AQ403" s="676">
        <v>3460</v>
      </c>
      <c r="AR403" s="676">
        <v>31</v>
      </c>
      <c r="AS403" s="676">
        <v>67</v>
      </c>
      <c r="AT403" s="676">
        <v>426</v>
      </c>
      <c r="AU403" s="676">
        <v>1952</v>
      </c>
      <c r="AV403" s="676">
        <v>260</v>
      </c>
      <c r="AW403" s="676">
        <v>12</v>
      </c>
      <c r="AX403" s="676">
        <v>447607</v>
      </c>
      <c r="AY403" s="676">
        <v>28</v>
      </c>
      <c r="AZ403" s="676">
        <v>1776</v>
      </c>
      <c r="BA403" s="676">
        <v>105101</v>
      </c>
      <c r="BB403" s="676">
        <v>474</v>
      </c>
      <c r="BC403" s="676">
        <v>10775</v>
      </c>
      <c r="BD403" s="676">
        <v>178600</v>
      </c>
      <c r="BE403" s="676">
        <v>7115.51</v>
      </c>
      <c r="BF403" s="676">
        <v>11000</v>
      </c>
      <c r="BG403" s="676">
        <v>27987000</v>
      </c>
      <c r="BH403" s="676">
        <v>684000</v>
      </c>
      <c r="BI403" s="676">
        <v>7190</v>
      </c>
      <c r="BJ403" s="676">
        <v>2266</v>
      </c>
      <c r="BK403" s="676">
        <v>11424</v>
      </c>
      <c r="BL403" s="676">
        <v>8787</v>
      </c>
      <c r="BM403" s="676">
        <v>879000</v>
      </c>
      <c r="BN403" s="676">
        <v>14738</v>
      </c>
      <c r="BO403" s="676">
        <v>2451</v>
      </c>
      <c r="BP403" s="676">
        <v>297</v>
      </c>
      <c r="BQ403" s="676">
        <v>232</v>
      </c>
      <c r="BR403" s="676">
        <v>1222</v>
      </c>
      <c r="BS403" s="676">
        <v>13128</v>
      </c>
      <c r="BT403" s="676">
        <v>1016</v>
      </c>
      <c r="BU403" s="676">
        <v>22</v>
      </c>
      <c r="BV403" s="676">
        <v>5040</v>
      </c>
      <c r="BW403" s="676">
        <v>618</v>
      </c>
      <c r="BX403" s="676"/>
      <c r="BY403" s="676">
        <v>10</v>
      </c>
      <c r="BZ403" s="676">
        <v>2000</v>
      </c>
      <c r="CA403" s="676">
        <v>29723.35</v>
      </c>
      <c r="CB403" s="676">
        <v>41901.599999999999</v>
      </c>
      <c r="CC403" s="676">
        <v>22703000</v>
      </c>
      <c r="CD403" s="676">
        <v>290</v>
      </c>
      <c r="CE403" s="676"/>
      <c r="CF403" s="676"/>
      <c r="CG403" s="676">
        <v>70000</v>
      </c>
    </row>
    <row r="404" spans="1:85" x14ac:dyDescent="0.25">
      <c r="A404" s="320" t="s">
        <v>1285</v>
      </c>
      <c r="B404" s="320" t="s">
        <v>1286</v>
      </c>
      <c r="C404" s="320"/>
      <c r="D404" s="320" t="s">
        <v>1287</v>
      </c>
      <c r="E404" s="320">
        <v>2016</v>
      </c>
      <c r="F404" s="404"/>
      <c r="G404" s="676"/>
      <c r="H404" s="676"/>
      <c r="I404" s="676"/>
      <c r="J404" s="676"/>
      <c r="K404" s="676"/>
      <c r="L404" s="676"/>
      <c r="M404" s="676">
        <v>127792</v>
      </c>
      <c r="N404" s="676">
        <v>16</v>
      </c>
      <c r="O404" s="676"/>
      <c r="P404" s="676"/>
      <c r="Q404" s="676"/>
      <c r="R404" s="676">
        <v>35994</v>
      </c>
      <c r="S404" s="676">
        <v>242059</v>
      </c>
      <c r="T404" s="676"/>
      <c r="U404" s="676"/>
      <c r="V404" s="676"/>
      <c r="W404" s="676"/>
      <c r="X404" s="676">
        <v>0</v>
      </c>
      <c r="Y404" s="676"/>
      <c r="Z404" s="676">
        <v>0</v>
      </c>
      <c r="AA404" s="676"/>
      <c r="AB404" s="676"/>
      <c r="AC404" s="676">
        <v>16.920000000000002</v>
      </c>
      <c r="AD404" s="676"/>
      <c r="AE404" s="676"/>
      <c r="AF404" s="676"/>
      <c r="AG404" s="676"/>
      <c r="AH404" s="676"/>
      <c r="AI404" s="676"/>
      <c r="AJ404" s="676"/>
      <c r="AK404" s="676"/>
      <c r="AL404" s="676"/>
      <c r="AM404" s="676"/>
      <c r="AN404" s="676"/>
      <c r="AO404" s="676">
        <v>164147</v>
      </c>
      <c r="AP404" s="676">
        <v>82535</v>
      </c>
      <c r="AQ404" s="676"/>
      <c r="AR404" s="676"/>
      <c r="AS404" s="676">
        <v>67</v>
      </c>
      <c r="AT404" s="676">
        <v>0</v>
      </c>
      <c r="AU404" s="676">
        <v>1598</v>
      </c>
      <c r="AV404" s="676"/>
      <c r="AW404" s="676"/>
      <c r="AX404" s="676"/>
      <c r="AY404" s="676"/>
      <c r="AZ404" s="676">
        <v>0</v>
      </c>
      <c r="BA404" s="676">
        <v>104786</v>
      </c>
      <c r="BB404" s="676">
        <v>369</v>
      </c>
      <c r="BC404" s="676">
        <v>10653</v>
      </c>
      <c r="BD404" s="676"/>
      <c r="BE404" s="676">
        <v>0</v>
      </c>
      <c r="BF404" s="676"/>
      <c r="BG404" s="676"/>
      <c r="BH404" s="676"/>
      <c r="BI404" s="676"/>
      <c r="BJ404" s="676"/>
      <c r="BK404" s="676"/>
      <c r="BL404" s="676"/>
      <c r="BM404" s="676"/>
      <c r="BN404" s="676">
        <v>0</v>
      </c>
      <c r="BO404" s="676"/>
      <c r="BP404" s="676"/>
      <c r="BQ404" s="676"/>
      <c r="BR404" s="676"/>
      <c r="BS404" s="676"/>
      <c r="BT404" s="676"/>
      <c r="BU404" s="676">
        <v>3</v>
      </c>
      <c r="BV404" s="676"/>
      <c r="BW404" s="676"/>
      <c r="BX404" s="676"/>
      <c r="BY404" s="676"/>
      <c r="BZ404" s="676"/>
      <c r="CA404" s="676"/>
      <c r="CB404" s="676"/>
      <c r="CC404" s="676">
        <v>22617000</v>
      </c>
      <c r="CD404" s="676"/>
      <c r="CE404" s="676"/>
      <c r="CF404" s="676"/>
      <c r="CG404" s="676"/>
    </row>
    <row r="405" spans="1:85" x14ac:dyDescent="0.25">
      <c r="A405" s="320" t="s">
        <v>1288</v>
      </c>
      <c r="B405" s="320" t="s">
        <v>1289</v>
      </c>
      <c r="C405" s="320"/>
      <c r="D405" s="320" t="s">
        <v>456</v>
      </c>
      <c r="E405" s="320">
        <v>2016</v>
      </c>
      <c r="F405" s="404">
        <v>99</v>
      </c>
      <c r="G405" s="676">
        <v>3645</v>
      </c>
      <c r="H405" s="676">
        <v>126</v>
      </c>
      <c r="I405" s="676">
        <v>1203</v>
      </c>
      <c r="J405" s="676">
        <v>346</v>
      </c>
      <c r="K405" s="676">
        <v>145</v>
      </c>
      <c r="L405" s="676">
        <v>10</v>
      </c>
      <c r="M405" s="676">
        <v>945</v>
      </c>
      <c r="N405" s="676">
        <v>243</v>
      </c>
      <c r="O405" s="676"/>
      <c r="P405" s="676">
        <v>224</v>
      </c>
      <c r="Q405" s="676">
        <v>1344</v>
      </c>
      <c r="R405" s="676">
        <v>52</v>
      </c>
      <c r="S405" s="676">
        <v>572</v>
      </c>
      <c r="T405" s="676">
        <v>9482</v>
      </c>
      <c r="U405" s="676"/>
      <c r="V405" s="676">
        <v>1230</v>
      </c>
      <c r="W405" s="676">
        <v>46</v>
      </c>
      <c r="X405" s="676">
        <v>6.66</v>
      </c>
      <c r="Y405" s="676">
        <v>316</v>
      </c>
      <c r="Z405" s="676">
        <v>808926.74</v>
      </c>
      <c r="AA405" s="676">
        <v>61</v>
      </c>
      <c r="AB405" s="676">
        <v>16329</v>
      </c>
      <c r="AC405" s="676">
        <v>0</v>
      </c>
      <c r="AD405" s="676">
        <v>178</v>
      </c>
      <c r="AE405" s="676">
        <v>27852</v>
      </c>
      <c r="AF405" s="676">
        <v>784</v>
      </c>
      <c r="AG405" s="676">
        <v>1</v>
      </c>
      <c r="AH405" s="676">
        <v>8041</v>
      </c>
      <c r="AI405" s="676">
        <v>46</v>
      </c>
      <c r="AJ405" s="676">
        <v>3</v>
      </c>
      <c r="AK405" s="676">
        <v>20986</v>
      </c>
      <c r="AL405" s="676">
        <v>695</v>
      </c>
      <c r="AM405" s="676">
        <v>100</v>
      </c>
      <c r="AN405" s="676"/>
      <c r="AO405" s="676"/>
      <c r="AP405" s="676">
        <v>95</v>
      </c>
      <c r="AQ405" s="676">
        <v>3460</v>
      </c>
      <c r="AR405" s="676">
        <v>31</v>
      </c>
      <c r="AS405" s="676"/>
      <c r="AT405" s="676">
        <v>426</v>
      </c>
      <c r="AU405" s="676">
        <v>354</v>
      </c>
      <c r="AV405" s="676">
        <v>260</v>
      </c>
      <c r="AW405" s="676">
        <v>12</v>
      </c>
      <c r="AX405" s="676">
        <v>447607</v>
      </c>
      <c r="AY405" s="676">
        <v>28</v>
      </c>
      <c r="AZ405" s="676">
        <v>1776</v>
      </c>
      <c r="BA405" s="676">
        <v>315</v>
      </c>
      <c r="BB405" s="676">
        <v>105</v>
      </c>
      <c r="BC405" s="676">
        <v>122</v>
      </c>
      <c r="BD405" s="676"/>
      <c r="BE405" s="676">
        <v>7115.51</v>
      </c>
      <c r="BF405" s="676"/>
      <c r="BG405" s="676">
        <v>27987000</v>
      </c>
      <c r="BH405" s="676"/>
      <c r="BI405" s="676">
        <v>7190</v>
      </c>
      <c r="BJ405" s="676">
        <v>2266</v>
      </c>
      <c r="BK405" s="676">
        <v>11424</v>
      </c>
      <c r="BL405" s="676">
        <v>8787</v>
      </c>
      <c r="BM405" s="676">
        <v>879000</v>
      </c>
      <c r="BN405" s="676">
        <v>14738</v>
      </c>
      <c r="BO405" s="676">
        <v>2451</v>
      </c>
      <c r="BP405" s="676">
        <v>297</v>
      </c>
      <c r="BQ405" s="676">
        <v>232</v>
      </c>
      <c r="BR405" s="676">
        <v>1222</v>
      </c>
      <c r="BS405" s="676">
        <v>13128</v>
      </c>
      <c r="BT405" s="676">
        <v>1016</v>
      </c>
      <c r="BU405" s="676">
        <v>19</v>
      </c>
      <c r="BV405" s="676">
        <v>5040</v>
      </c>
      <c r="BW405" s="676">
        <v>618</v>
      </c>
      <c r="BX405" s="676"/>
      <c r="BY405" s="676">
        <v>10</v>
      </c>
      <c r="BZ405" s="676">
        <v>2000</v>
      </c>
      <c r="CA405" s="676">
        <v>29723.35</v>
      </c>
      <c r="CB405" s="676">
        <v>41901.599999999999</v>
      </c>
      <c r="CC405" s="676">
        <v>86000</v>
      </c>
      <c r="CD405" s="676">
        <v>290</v>
      </c>
      <c r="CE405" s="676"/>
      <c r="CF405" s="676"/>
      <c r="CG405" s="676"/>
    </row>
    <row r="406" spans="1:85" x14ac:dyDescent="0.25">
      <c r="A406" s="320" t="s">
        <v>1290</v>
      </c>
      <c r="B406" s="320" t="s">
        <v>1291</v>
      </c>
      <c r="C406" s="320"/>
      <c r="D406" s="320" t="s">
        <v>445</v>
      </c>
      <c r="E406" s="320">
        <v>2016</v>
      </c>
      <c r="F406" s="404"/>
      <c r="G406" s="676">
        <v>1</v>
      </c>
      <c r="H406" s="676"/>
      <c r="I406" s="676">
        <v>44</v>
      </c>
      <c r="J406" s="676">
        <v>6424</v>
      </c>
      <c r="K406" s="676"/>
      <c r="L406" s="676">
        <v>8</v>
      </c>
      <c r="M406" s="676">
        <v>374453</v>
      </c>
      <c r="N406" s="676">
        <v>744</v>
      </c>
      <c r="O406" s="676">
        <v>2791</v>
      </c>
      <c r="P406" s="676"/>
      <c r="Q406" s="676">
        <v>51</v>
      </c>
      <c r="R406" s="676">
        <v>0</v>
      </c>
      <c r="S406" s="676">
        <v>44</v>
      </c>
      <c r="T406" s="676">
        <v>268</v>
      </c>
      <c r="U406" s="676">
        <v>7000</v>
      </c>
      <c r="V406" s="676">
        <v>10</v>
      </c>
      <c r="W406" s="676"/>
      <c r="X406" s="676">
        <v>0</v>
      </c>
      <c r="Y406" s="676">
        <v>9</v>
      </c>
      <c r="Z406" s="676">
        <v>6.15</v>
      </c>
      <c r="AA406" s="676"/>
      <c r="AB406" s="676">
        <v>46</v>
      </c>
      <c r="AC406" s="676">
        <v>0</v>
      </c>
      <c r="AD406" s="676">
        <v>75102</v>
      </c>
      <c r="AE406" s="676">
        <v>1331</v>
      </c>
      <c r="AF406" s="676">
        <v>1110</v>
      </c>
      <c r="AG406" s="676"/>
      <c r="AH406" s="676"/>
      <c r="AI406" s="676">
        <v>6506</v>
      </c>
      <c r="AJ406" s="676">
        <v>5</v>
      </c>
      <c r="AK406" s="676">
        <v>807</v>
      </c>
      <c r="AL406" s="676">
        <v>12108</v>
      </c>
      <c r="AM406" s="676">
        <v>181076</v>
      </c>
      <c r="AN406" s="676"/>
      <c r="AO406" s="676"/>
      <c r="AP406" s="676">
        <v>0</v>
      </c>
      <c r="AQ406" s="676"/>
      <c r="AR406" s="676"/>
      <c r="AS406" s="676"/>
      <c r="AT406" s="676">
        <v>0</v>
      </c>
      <c r="AU406" s="676"/>
      <c r="AV406" s="676"/>
      <c r="AW406" s="676"/>
      <c r="AX406" s="676">
        <v>23</v>
      </c>
      <c r="AY406" s="676">
        <v>3206</v>
      </c>
      <c r="AZ406" s="676">
        <v>0</v>
      </c>
      <c r="BA406" s="676">
        <v>1</v>
      </c>
      <c r="BB406" s="676">
        <v>148</v>
      </c>
      <c r="BC406" s="676">
        <v>17</v>
      </c>
      <c r="BD406" s="676"/>
      <c r="BE406" s="676">
        <v>0</v>
      </c>
      <c r="BF406" s="676">
        <v>654000</v>
      </c>
      <c r="BG406" s="676">
        <v>37000</v>
      </c>
      <c r="BH406" s="676">
        <v>12000</v>
      </c>
      <c r="BI406" s="676">
        <v>4</v>
      </c>
      <c r="BJ406" s="676">
        <v>89728</v>
      </c>
      <c r="BK406" s="676">
        <v>2</v>
      </c>
      <c r="BL406" s="676">
        <v>12446</v>
      </c>
      <c r="BM406" s="676"/>
      <c r="BN406" s="676">
        <v>0</v>
      </c>
      <c r="BO406" s="676"/>
      <c r="BP406" s="676"/>
      <c r="BQ406" s="676"/>
      <c r="BR406" s="676"/>
      <c r="BS406" s="676">
        <v>238</v>
      </c>
      <c r="BT406" s="676">
        <v>3673</v>
      </c>
      <c r="BU406" s="676">
        <v>9</v>
      </c>
      <c r="BV406" s="676"/>
      <c r="BW406" s="676">
        <v>24</v>
      </c>
      <c r="BX406" s="676">
        <v>1</v>
      </c>
      <c r="BY406" s="676">
        <v>63</v>
      </c>
      <c r="BZ406" s="676"/>
      <c r="CA406" s="676"/>
      <c r="CB406" s="676"/>
      <c r="CC406" s="676"/>
      <c r="CD406" s="676"/>
      <c r="CE406" s="676"/>
      <c r="CF406" s="676"/>
      <c r="CG406" s="676">
        <v>41000</v>
      </c>
    </row>
    <row r="407" spans="1:85" x14ac:dyDescent="0.25">
      <c r="A407" s="320" t="s">
        <v>1292</v>
      </c>
      <c r="B407" s="320" t="s">
        <v>1293</v>
      </c>
      <c r="C407" s="320"/>
      <c r="D407" s="320" t="s">
        <v>439</v>
      </c>
      <c r="E407" s="320">
        <v>2016</v>
      </c>
      <c r="F407" s="404"/>
      <c r="G407" s="676"/>
      <c r="H407" s="676"/>
      <c r="I407" s="676"/>
      <c r="J407" s="676"/>
      <c r="K407" s="676"/>
      <c r="L407" s="676"/>
      <c r="M407" s="676"/>
      <c r="N407" s="676"/>
      <c r="O407" s="676"/>
      <c r="P407" s="676"/>
      <c r="Q407" s="676"/>
      <c r="R407" s="676"/>
      <c r="S407" s="676">
        <v>3553314</v>
      </c>
      <c r="T407" s="676"/>
      <c r="U407" s="676"/>
      <c r="V407" s="676"/>
      <c r="W407" s="676"/>
      <c r="X407" s="676">
        <v>0</v>
      </c>
      <c r="Y407" s="676">
        <v>217178</v>
      </c>
      <c r="Z407" s="676">
        <v>0</v>
      </c>
      <c r="AA407" s="676"/>
      <c r="AB407" s="676"/>
      <c r="AC407" s="676">
        <v>0</v>
      </c>
      <c r="AD407" s="676"/>
      <c r="AE407" s="676"/>
      <c r="AF407" s="676"/>
      <c r="AG407" s="676"/>
      <c r="AH407" s="676"/>
      <c r="AI407" s="676"/>
      <c r="AJ407" s="676"/>
      <c r="AK407" s="676"/>
      <c r="AL407" s="676"/>
      <c r="AM407" s="676"/>
      <c r="AN407" s="676"/>
      <c r="AO407" s="676"/>
      <c r="AP407" s="676"/>
      <c r="AQ407" s="676"/>
      <c r="AR407" s="676"/>
      <c r="AS407" s="676"/>
      <c r="AT407" s="676">
        <v>0</v>
      </c>
      <c r="AU407" s="676"/>
      <c r="AV407" s="676"/>
      <c r="AW407" s="676"/>
      <c r="AX407" s="676"/>
      <c r="AY407" s="676"/>
      <c r="AZ407" s="676">
        <v>0</v>
      </c>
      <c r="BA407" s="676"/>
      <c r="BB407" s="676"/>
      <c r="BC407" s="676"/>
      <c r="BD407" s="676"/>
      <c r="BE407" s="676">
        <v>0</v>
      </c>
      <c r="BF407" s="676"/>
      <c r="BG407" s="676"/>
      <c r="BH407" s="676"/>
      <c r="BI407" s="676"/>
      <c r="BJ407" s="676"/>
      <c r="BK407" s="676"/>
      <c r="BL407" s="676"/>
      <c r="BM407" s="676"/>
      <c r="BN407" s="676">
        <v>0</v>
      </c>
      <c r="BO407" s="676"/>
      <c r="BP407" s="676"/>
      <c r="BQ407" s="676"/>
      <c r="BR407" s="676"/>
      <c r="BS407" s="676"/>
      <c r="BT407" s="676"/>
      <c r="BU407" s="676"/>
      <c r="BV407" s="676"/>
      <c r="BW407" s="676"/>
      <c r="BX407" s="676"/>
      <c r="BY407" s="676"/>
      <c r="BZ407" s="676"/>
      <c r="CA407" s="676"/>
      <c r="CB407" s="676"/>
      <c r="CC407" s="676"/>
      <c r="CD407" s="676"/>
      <c r="CE407" s="676"/>
      <c r="CF407" s="676"/>
      <c r="CG407" s="676"/>
    </row>
    <row r="408" spans="1:85" x14ac:dyDescent="0.25">
      <c r="A408" s="320" t="s">
        <v>1294</v>
      </c>
      <c r="B408" s="320" t="s">
        <v>1295</v>
      </c>
      <c r="C408" s="320"/>
      <c r="D408" s="320" t="s">
        <v>1296</v>
      </c>
      <c r="E408" s="320">
        <v>2016</v>
      </c>
      <c r="F408" s="404"/>
      <c r="G408" s="676"/>
      <c r="H408" s="676">
        <v>567</v>
      </c>
      <c r="I408" s="676"/>
      <c r="J408" s="676"/>
      <c r="K408" s="676"/>
      <c r="L408" s="676"/>
      <c r="M408" s="676">
        <v>1</v>
      </c>
      <c r="N408" s="676"/>
      <c r="O408" s="676"/>
      <c r="P408" s="676">
        <v>131</v>
      </c>
      <c r="Q408" s="676"/>
      <c r="R408" s="676">
        <v>0</v>
      </c>
      <c r="S408" s="676"/>
      <c r="T408" s="676">
        <v>258</v>
      </c>
      <c r="U408" s="676">
        <v>393000</v>
      </c>
      <c r="V408" s="676">
        <v>3588</v>
      </c>
      <c r="W408" s="676">
        <v>24</v>
      </c>
      <c r="X408" s="676">
        <v>0.06</v>
      </c>
      <c r="Y408" s="676"/>
      <c r="Z408" s="676">
        <v>0</v>
      </c>
      <c r="AA408" s="676"/>
      <c r="AB408" s="676"/>
      <c r="AC408" s="676">
        <v>0</v>
      </c>
      <c r="AD408" s="676"/>
      <c r="AE408" s="676"/>
      <c r="AF408" s="676">
        <v>70</v>
      </c>
      <c r="AG408" s="676"/>
      <c r="AH408" s="676"/>
      <c r="AI408" s="676">
        <v>1</v>
      </c>
      <c r="AJ408" s="676"/>
      <c r="AK408" s="676"/>
      <c r="AL408" s="676"/>
      <c r="AM408" s="676"/>
      <c r="AN408" s="676"/>
      <c r="AO408" s="676"/>
      <c r="AP408" s="676"/>
      <c r="AQ408" s="676"/>
      <c r="AR408" s="676"/>
      <c r="AS408" s="676"/>
      <c r="AT408" s="676">
        <v>0</v>
      </c>
      <c r="AU408" s="676">
        <v>24</v>
      </c>
      <c r="AV408" s="676"/>
      <c r="AW408" s="676"/>
      <c r="AX408" s="676"/>
      <c r="AY408" s="676">
        <v>80</v>
      </c>
      <c r="AZ408" s="676">
        <v>0</v>
      </c>
      <c r="BA408" s="676"/>
      <c r="BB408" s="676"/>
      <c r="BC408" s="676"/>
      <c r="BD408" s="676">
        <v>19161</v>
      </c>
      <c r="BE408" s="676">
        <v>0</v>
      </c>
      <c r="BF408" s="676">
        <v>827000</v>
      </c>
      <c r="BG408" s="676"/>
      <c r="BH408" s="676"/>
      <c r="BI408" s="676">
        <v>234</v>
      </c>
      <c r="BJ408" s="676"/>
      <c r="BK408" s="676"/>
      <c r="BL408" s="676"/>
      <c r="BM408" s="676">
        <v>5533000</v>
      </c>
      <c r="BN408" s="676">
        <v>0</v>
      </c>
      <c r="BO408" s="676"/>
      <c r="BP408" s="676"/>
      <c r="BQ408" s="676"/>
      <c r="BR408" s="676"/>
      <c r="BS408" s="676"/>
      <c r="BT408" s="676"/>
      <c r="BU408" s="676"/>
      <c r="BV408" s="676"/>
      <c r="BW408" s="676"/>
      <c r="BX408" s="676">
        <v>83</v>
      </c>
      <c r="BY408" s="676"/>
      <c r="BZ408" s="676">
        <v>0</v>
      </c>
      <c r="CA408" s="676"/>
      <c r="CB408" s="676">
        <v>0.73</v>
      </c>
      <c r="CC408" s="676"/>
      <c r="CD408" s="676"/>
      <c r="CE408" s="676">
        <v>348000</v>
      </c>
      <c r="CF408" s="676">
        <v>575000</v>
      </c>
      <c r="CG408" s="676">
        <v>3000</v>
      </c>
    </row>
    <row r="409" spans="1:85" x14ac:dyDescent="0.25">
      <c r="A409" s="320" t="s">
        <v>1222</v>
      </c>
      <c r="B409" s="320" t="s">
        <v>1436</v>
      </c>
      <c r="C409" s="320" t="s">
        <v>1437</v>
      </c>
      <c r="D409" s="320" t="s">
        <v>778</v>
      </c>
      <c r="E409" s="320">
        <v>2016</v>
      </c>
      <c r="F409" s="404">
        <v>1529</v>
      </c>
      <c r="G409" s="676">
        <v>1839</v>
      </c>
      <c r="H409" s="676">
        <v>122923</v>
      </c>
      <c r="I409" s="676">
        <v>326159</v>
      </c>
      <c r="J409" s="676">
        <v>100267</v>
      </c>
      <c r="K409" s="676">
        <v>4558</v>
      </c>
      <c r="L409" s="676">
        <v>12485</v>
      </c>
      <c r="M409" s="676">
        <v>429196</v>
      </c>
      <c r="N409" s="676">
        <v>95941</v>
      </c>
      <c r="O409" s="676">
        <v>28048</v>
      </c>
      <c r="P409" s="676">
        <v>141639</v>
      </c>
      <c r="Q409" s="676">
        <v>2822</v>
      </c>
      <c r="R409" s="676">
        <v>47386</v>
      </c>
      <c r="S409" s="676">
        <v>1724325</v>
      </c>
      <c r="T409" s="676">
        <v>652179</v>
      </c>
      <c r="U409" s="676">
        <v>45411000</v>
      </c>
      <c r="V409" s="676">
        <v>53402</v>
      </c>
      <c r="W409" s="676">
        <v>12005</v>
      </c>
      <c r="X409" s="676">
        <v>14593.4</v>
      </c>
      <c r="Y409" s="676">
        <v>1061015</v>
      </c>
      <c r="Z409" s="676">
        <v>2235.13</v>
      </c>
      <c r="AA409" s="676">
        <v>1517</v>
      </c>
      <c r="AB409" s="676">
        <v>32361</v>
      </c>
      <c r="AC409" s="676">
        <v>352.74</v>
      </c>
      <c r="AD409" s="676">
        <v>171995</v>
      </c>
      <c r="AE409" s="676">
        <v>9567</v>
      </c>
      <c r="AF409" s="676">
        <v>2422368</v>
      </c>
      <c r="AG409" s="676">
        <v>38521</v>
      </c>
      <c r="AH409" s="676">
        <v>11135</v>
      </c>
      <c r="AI409" s="676">
        <v>10652</v>
      </c>
      <c r="AJ409" s="676">
        <v>16554</v>
      </c>
      <c r="AK409" s="676">
        <v>158666</v>
      </c>
      <c r="AL409" s="676">
        <v>358404</v>
      </c>
      <c r="AM409" s="676">
        <v>527282</v>
      </c>
      <c r="AN409" s="676">
        <v>2554000</v>
      </c>
      <c r="AO409" s="676">
        <v>32485</v>
      </c>
      <c r="AP409" s="676">
        <v>39717</v>
      </c>
      <c r="AQ409" s="676">
        <v>28383</v>
      </c>
      <c r="AR409" s="676">
        <v>26268</v>
      </c>
      <c r="AS409" s="676">
        <v>3435</v>
      </c>
      <c r="AT409" s="676">
        <v>2120.02</v>
      </c>
      <c r="AU409" s="676">
        <v>31252</v>
      </c>
      <c r="AV409" s="676">
        <v>3356</v>
      </c>
      <c r="AW409" s="676">
        <v>2184</v>
      </c>
      <c r="AX409" s="676">
        <v>279601</v>
      </c>
      <c r="AY409" s="676">
        <v>107872</v>
      </c>
      <c r="AZ409" s="676">
        <v>12349</v>
      </c>
      <c r="BA409" s="676">
        <v>384304</v>
      </c>
      <c r="BB409" s="676">
        <v>190605</v>
      </c>
      <c r="BC409" s="676">
        <v>59789</v>
      </c>
      <c r="BD409" s="676">
        <v>939887</v>
      </c>
      <c r="BE409" s="676">
        <v>5788.63</v>
      </c>
      <c r="BF409" s="676">
        <v>4599000</v>
      </c>
      <c r="BG409" s="676">
        <v>90183000</v>
      </c>
      <c r="BH409" s="676">
        <v>20404000</v>
      </c>
      <c r="BI409" s="676">
        <v>230157</v>
      </c>
      <c r="BJ409" s="676">
        <v>527784</v>
      </c>
      <c r="BK409" s="676">
        <v>6900</v>
      </c>
      <c r="BL409" s="676">
        <v>2663</v>
      </c>
      <c r="BM409" s="676">
        <v>726000</v>
      </c>
      <c r="BN409" s="676">
        <v>142642</v>
      </c>
      <c r="BO409" s="676">
        <v>2524</v>
      </c>
      <c r="BP409" s="676">
        <v>25350</v>
      </c>
      <c r="BQ409" s="676">
        <v>4705</v>
      </c>
      <c r="BR409" s="676">
        <v>1660</v>
      </c>
      <c r="BS409" s="676">
        <v>380007</v>
      </c>
      <c r="BT409" s="676">
        <v>3322812</v>
      </c>
      <c r="BU409" s="676">
        <v>68204</v>
      </c>
      <c r="BV409" s="676">
        <v>2038</v>
      </c>
      <c r="BW409" s="676">
        <v>3968895</v>
      </c>
      <c r="BX409" s="676">
        <v>151030</v>
      </c>
      <c r="BY409" s="676">
        <v>21025</v>
      </c>
      <c r="BZ409" s="676">
        <v>5537000</v>
      </c>
      <c r="CA409" s="676">
        <v>4650.99</v>
      </c>
      <c r="CB409" s="676">
        <v>71136.92</v>
      </c>
      <c r="CC409" s="676">
        <v>24810000</v>
      </c>
      <c r="CD409" s="676">
        <v>12665</v>
      </c>
      <c r="CE409" s="676">
        <v>188000</v>
      </c>
      <c r="CF409" s="676">
        <v>2169000</v>
      </c>
      <c r="CG409" s="676">
        <v>3871000</v>
      </c>
    </row>
    <row r="410" spans="1:85" x14ac:dyDescent="0.25">
      <c r="A410" s="320" t="s">
        <v>1297</v>
      </c>
      <c r="B410" s="320" t="s">
        <v>1298</v>
      </c>
      <c r="C410" s="320"/>
      <c r="D410" s="320" t="s">
        <v>780</v>
      </c>
      <c r="E410" s="320">
        <v>2016</v>
      </c>
      <c r="F410" s="404"/>
      <c r="G410" s="676"/>
      <c r="H410" s="676"/>
      <c r="I410" s="676"/>
      <c r="J410" s="676"/>
      <c r="K410" s="676"/>
      <c r="L410" s="676"/>
      <c r="M410" s="676">
        <v>18127</v>
      </c>
      <c r="N410" s="676"/>
      <c r="O410" s="676"/>
      <c r="P410" s="676"/>
      <c r="Q410" s="676"/>
      <c r="R410" s="676"/>
      <c r="S410" s="676"/>
      <c r="T410" s="676"/>
      <c r="U410" s="676"/>
      <c r="V410" s="676"/>
      <c r="W410" s="676"/>
      <c r="X410" s="676">
        <v>0</v>
      </c>
      <c r="Y410" s="676"/>
      <c r="Z410" s="676">
        <v>0</v>
      </c>
      <c r="AA410" s="676"/>
      <c r="AB410" s="676"/>
      <c r="AC410" s="676">
        <v>0</v>
      </c>
      <c r="AD410" s="676"/>
      <c r="AE410" s="676"/>
      <c r="AF410" s="676"/>
      <c r="AG410" s="676"/>
      <c r="AH410" s="676"/>
      <c r="AI410" s="676"/>
      <c r="AJ410" s="676"/>
      <c r="AK410" s="676"/>
      <c r="AL410" s="676">
        <v>49000</v>
      </c>
      <c r="AM410" s="676"/>
      <c r="AN410" s="676"/>
      <c r="AO410" s="676"/>
      <c r="AP410" s="676"/>
      <c r="AQ410" s="676"/>
      <c r="AR410" s="676"/>
      <c r="AS410" s="676"/>
      <c r="AT410" s="676">
        <v>0</v>
      </c>
      <c r="AU410" s="676"/>
      <c r="AV410" s="676"/>
      <c r="AW410" s="676"/>
      <c r="AX410" s="676"/>
      <c r="AY410" s="676"/>
      <c r="AZ410" s="676">
        <v>0</v>
      </c>
      <c r="BA410" s="676"/>
      <c r="BB410" s="676"/>
      <c r="BC410" s="676"/>
      <c r="BD410" s="676"/>
      <c r="BE410" s="676">
        <v>0</v>
      </c>
      <c r="BF410" s="676"/>
      <c r="BG410" s="676"/>
      <c r="BH410" s="676"/>
      <c r="BI410" s="676"/>
      <c r="BJ410" s="676"/>
      <c r="BK410" s="676"/>
      <c r="BL410" s="676"/>
      <c r="BM410" s="676"/>
      <c r="BN410" s="676">
        <v>0</v>
      </c>
      <c r="BO410" s="676"/>
      <c r="BP410" s="676"/>
      <c r="BQ410" s="676"/>
      <c r="BR410" s="676"/>
      <c r="BS410" s="676"/>
      <c r="BT410" s="676"/>
      <c r="BU410" s="676"/>
      <c r="BV410" s="676"/>
      <c r="BW410" s="676"/>
      <c r="BX410" s="676"/>
      <c r="BY410" s="676"/>
      <c r="BZ410" s="676"/>
      <c r="CA410" s="676"/>
      <c r="CB410" s="676"/>
      <c r="CC410" s="676"/>
      <c r="CD410" s="676"/>
      <c r="CE410" s="676"/>
      <c r="CF410" s="676"/>
      <c r="CG410" s="676"/>
    </row>
    <row r="411" spans="1:85" x14ac:dyDescent="0.25">
      <c r="A411" s="320" t="s">
        <v>1299</v>
      </c>
      <c r="B411" s="320" t="s">
        <v>1300</v>
      </c>
      <c r="C411" s="320"/>
      <c r="D411" s="320" t="s">
        <v>454</v>
      </c>
      <c r="E411" s="320">
        <v>2016</v>
      </c>
      <c r="F411" s="404"/>
      <c r="G411" s="676"/>
      <c r="H411" s="676"/>
      <c r="I411" s="676"/>
      <c r="J411" s="676"/>
      <c r="K411" s="676"/>
      <c r="L411" s="676"/>
      <c r="M411" s="676"/>
      <c r="N411" s="676"/>
      <c r="O411" s="676"/>
      <c r="P411" s="676"/>
      <c r="Q411" s="676"/>
      <c r="R411" s="676"/>
      <c r="S411" s="676"/>
      <c r="T411" s="676"/>
      <c r="U411" s="676"/>
      <c r="V411" s="676"/>
      <c r="W411" s="676"/>
      <c r="X411" s="676">
        <v>0</v>
      </c>
      <c r="Y411" s="676"/>
      <c r="Z411" s="676">
        <v>0</v>
      </c>
      <c r="AA411" s="676"/>
      <c r="AB411" s="676"/>
      <c r="AC411" s="676">
        <v>0</v>
      </c>
      <c r="AD411" s="676"/>
      <c r="AE411" s="676"/>
      <c r="AF411" s="676"/>
      <c r="AG411" s="676"/>
      <c r="AH411" s="676"/>
      <c r="AI411" s="676"/>
      <c r="AJ411" s="676"/>
      <c r="AK411" s="676"/>
      <c r="AL411" s="676"/>
      <c r="AM411" s="676"/>
      <c r="AN411" s="676"/>
      <c r="AO411" s="676"/>
      <c r="AP411" s="676"/>
      <c r="AQ411" s="676"/>
      <c r="AR411" s="676"/>
      <c r="AS411" s="676"/>
      <c r="AT411" s="676">
        <v>0</v>
      </c>
      <c r="AU411" s="676"/>
      <c r="AV411" s="676"/>
      <c r="AW411" s="676"/>
      <c r="AX411" s="676"/>
      <c r="AY411" s="676"/>
      <c r="AZ411" s="676">
        <v>0</v>
      </c>
      <c r="BA411" s="676"/>
      <c r="BB411" s="676"/>
      <c r="BC411" s="676"/>
      <c r="BD411" s="676"/>
      <c r="BE411" s="676">
        <v>0</v>
      </c>
      <c r="BF411" s="676"/>
      <c r="BG411" s="676">
        <v>0</v>
      </c>
      <c r="BH411" s="676"/>
      <c r="BI411" s="676"/>
      <c r="BJ411" s="676"/>
      <c r="BK411" s="676"/>
      <c r="BL411" s="676"/>
      <c r="BM411" s="676"/>
      <c r="BN411" s="676">
        <v>0</v>
      </c>
      <c r="BO411" s="676"/>
      <c r="BP411" s="676"/>
      <c r="BQ411" s="676"/>
      <c r="BR411" s="676"/>
      <c r="BS411" s="676"/>
      <c r="BT411" s="676"/>
      <c r="BU411" s="676"/>
      <c r="BV411" s="676"/>
      <c r="BW411" s="676"/>
      <c r="BX411" s="676"/>
      <c r="BY411" s="676"/>
      <c r="BZ411" s="676"/>
      <c r="CA411" s="676"/>
      <c r="CB411" s="676"/>
      <c r="CC411" s="676"/>
      <c r="CD411" s="676"/>
      <c r="CE411" s="676"/>
      <c r="CF411" s="676"/>
      <c r="CG411" s="676"/>
    </row>
    <row r="412" spans="1:85" x14ac:dyDescent="0.25">
      <c r="A412" s="320" t="s">
        <v>1301</v>
      </c>
      <c r="B412" s="320" t="s">
        <v>1302</v>
      </c>
      <c r="C412" s="320"/>
      <c r="D412" s="320" t="s">
        <v>1303</v>
      </c>
      <c r="E412" s="320">
        <v>2016</v>
      </c>
      <c r="F412" s="404"/>
      <c r="G412" s="676"/>
      <c r="H412" s="676"/>
      <c r="I412" s="676"/>
      <c r="J412" s="676"/>
      <c r="K412" s="676"/>
      <c r="L412" s="676"/>
      <c r="M412" s="676"/>
      <c r="N412" s="676"/>
      <c r="O412" s="676"/>
      <c r="P412" s="676"/>
      <c r="Q412" s="676"/>
      <c r="R412" s="676"/>
      <c r="S412" s="676"/>
      <c r="T412" s="676"/>
      <c r="U412" s="676"/>
      <c r="V412" s="676"/>
      <c r="W412" s="676"/>
      <c r="X412" s="676">
        <v>0</v>
      </c>
      <c r="Y412" s="676"/>
      <c r="Z412" s="676">
        <v>0</v>
      </c>
      <c r="AA412" s="676"/>
      <c r="AB412" s="676"/>
      <c r="AC412" s="676">
        <v>0</v>
      </c>
      <c r="AD412" s="676"/>
      <c r="AE412" s="676"/>
      <c r="AF412" s="676"/>
      <c r="AG412" s="676"/>
      <c r="AH412" s="676"/>
      <c r="AI412" s="676"/>
      <c r="AJ412" s="676"/>
      <c r="AK412" s="676"/>
      <c r="AL412" s="676"/>
      <c r="AM412" s="676"/>
      <c r="AN412" s="676"/>
      <c r="AO412" s="676"/>
      <c r="AP412" s="676"/>
      <c r="AQ412" s="676"/>
      <c r="AR412" s="676"/>
      <c r="AS412" s="676"/>
      <c r="AT412" s="676">
        <v>0</v>
      </c>
      <c r="AU412" s="676"/>
      <c r="AV412" s="676"/>
      <c r="AW412" s="676"/>
      <c r="AX412" s="676"/>
      <c r="AY412" s="676"/>
      <c r="AZ412" s="676">
        <v>0</v>
      </c>
      <c r="BA412" s="676"/>
      <c r="BB412" s="676"/>
      <c r="BC412" s="676"/>
      <c r="BD412" s="676"/>
      <c r="BE412" s="676">
        <v>0</v>
      </c>
      <c r="BF412" s="676"/>
      <c r="BG412" s="676"/>
      <c r="BH412" s="676"/>
      <c r="BI412" s="676"/>
      <c r="BJ412" s="676"/>
      <c r="BK412" s="676"/>
      <c r="BL412" s="676"/>
      <c r="BM412" s="676"/>
      <c r="BN412" s="676">
        <v>0</v>
      </c>
      <c r="BO412" s="676"/>
      <c r="BP412" s="676"/>
      <c r="BQ412" s="676"/>
      <c r="BR412" s="676"/>
      <c r="BS412" s="676"/>
      <c r="BT412" s="676">
        <v>3312470</v>
      </c>
      <c r="BU412" s="676"/>
      <c r="BV412" s="676"/>
      <c r="BW412" s="676"/>
      <c r="BX412" s="676"/>
      <c r="BY412" s="676"/>
      <c r="BZ412" s="676"/>
      <c r="CA412" s="676"/>
      <c r="CB412" s="676"/>
      <c r="CC412" s="676"/>
      <c r="CD412" s="676"/>
      <c r="CE412" s="676"/>
      <c r="CF412" s="676"/>
      <c r="CG412" s="676"/>
    </row>
    <row r="413" spans="1:85" x14ac:dyDescent="0.25">
      <c r="A413" s="320" t="s">
        <v>1304</v>
      </c>
      <c r="B413" s="320" t="s">
        <v>1438</v>
      </c>
      <c r="C413" s="320" t="s">
        <v>1439</v>
      </c>
      <c r="D413" s="320" t="s">
        <v>443</v>
      </c>
      <c r="E413" s="320">
        <v>2016</v>
      </c>
      <c r="F413" s="404"/>
      <c r="G413" s="676"/>
      <c r="H413" s="676">
        <v>100346</v>
      </c>
      <c r="I413" s="676">
        <v>294494</v>
      </c>
      <c r="J413" s="676">
        <v>91998</v>
      </c>
      <c r="K413" s="676"/>
      <c r="L413" s="676">
        <v>10129</v>
      </c>
      <c r="M413" s="676">
        <v>8191</v>
      </c>
      <c r="N413" s="676">
        <v>3219</v>
      </c>
      <c r="O413" s="676">
        <v>0</v>
      </c>
      <c r="P413" s="676"/>
      <c r="Q413" s="676"/>
      <c r="R413" s="676">
        <v>37121</v>
      </c>
      <c r="S413" s="676">
        <v>39565</v>
      </c>
      <c r="T413" s="676">
        <v>640309</v>
      </c>
      <c r="U413" s="676">
        <v>44633000</v>
      </c>
      <c r="V413" s="676"/>
      <c r="W413" s="676">
        <v>310</v>
      </c>
      <c r="X413" s="676">
        <v>13850.15</v>
      </c>
      <c r="Y413" s="676">
        <v>575</v>
      </c>
      <c r="Z413" s="676">
        <v>0</v>
      </c>
      <c r="AA413" s="676"/>
      <c r="AB413" s="676"/>
      <c r="AC413" s="676">
        <v>0</v>
      </c>
      <c r="AD413" s="676">
        <v>40705</v>
      </c>
      <c r="AE413" s="676"/>
      <c r="AF413" s="676">
        <v>2350144</v>
      </c>
      <c r="AG413" s="676">
        <v>33348</v>
      </c>
      <c r="AH413" s="676">
        <v>2699</v>
      </c>
      <c r="AI413" s="676">
        <v>1609</v>
      </c>
      <c r="AJ413" s="676">
        <v>14640</v>
      </c>
      <c r="AK413" s="676">
        <v>144494</v>
      </c>
      <c r="AL413" s="676">
        <v>163694</v>
      </c>
      <c r="AM413" s="676">
        <v>217468</v>
      </c>
      <c r="AN413" s="676">
        <v>2554000</v>
      </c>
      <c r="AO413" s="676">
        <v>16</v>
      </c>
      <c r="AP413" s="676">
        <v>20791</v>
      </c>
      <c r="AQ413" s="676">
        <v>15521</v>
      </c>
      <c r="AR413" s="676">
        <v>21980</v>
      </c>
      <c r="AS413" s="676">
        <v>680</v>
      </c>
      <c r="AT413" s="676">
        <v>0</v>
      </c>
      <c r="AU413" s="676">
        <v>26373</v>
      </c>
      <c r="AV413" s="676"/>
      <c r="AW413" s="676"/>
      <c r="AX413" s="676">
        <v>193330</v>
      </c>
      <c r="AY413" s="676">
        <v>79697</v>
      </c>
      <c r="AZ413" s="676">
        <v>0</v>
      </c>
      <c r="BA413" s="676">
        <v>379361</v>
      </c>
      <c r="BB413" s="676">
        <v>55109</v>
      </c>
      <c r="BC413" s="676">
        <v>22765</v>
      </c>
      <c r="BD413" s="676">
        <v>939887</v>
      </c>
      <c r="BE413" s="676">
        <v>0</v>
      </c>
      <c r="BF413" s="676">
        <v>165000</v>
      </c>
      <c r="BG413" s="676">
        <v>84976000</v>
      </c>
      <c r="BH413" s="676">
        <v>3703000</v>
      </c>
      <c r="BI413" s="676">
        <v>183860</v>
      </c>
      <c r="BJ413" s="676">
        <v>443710</v>
      </c>
      <c r="BK413" s="676"/>
      <c r="BL413" s="676">
        <v>10</v>
      </c>
      <c r="BM413" s="676">
        <v>726000</v>
      </c>
      <c r="BN413" s="676">
        <v>139777</v>
      </c>
      <c r="BO413" s="676"/>
      <c r="BP413" s="676"/>
      <c r="BQ413" s="676">
        <v>1930</v>
      </c>
      <c r="BR413" s="676"/>
      <c r="BS413" s="676">
        <v>6</v>
      </c>
      <c r="BT413" s="676"/>
      <c r="BU413" s="676">
        <v>46853</v>
      </c>
      <c r="BV413" s="676"/>
      <c r="BW413" s="676">
        <v>3950840</v>
      </c>
      <c r="BX413" s="676">
        <v>129579</v>
      </c>
      <c r="BY413" s="676">
        <v>14967</v>
      </c>
      <c r="BZ413" s="676">
        <v>3656000</v>
      </c>
      <c r="CA413" s="676">
        <v>3419.62</v>
      </c>
      <c r="CB413" s="676">
        <v>68148.960000000006</v>
      </c>
      <c r="CC413" s="676">
        <v>21733000</v>
      </c>
      <c r="CD413" s="676"/>
      <c r="CE413" s="676">
        <v>188000</v>
      </c>
      <c r="CF413" s="676">
        <v>2164000</v>
      </c>
      <c r="CG413" s="676">
        <v>3427000</v>
      </c>
    </row>
    <row r="414" spans="1:85" x14ac:dyDescent="0.25">
      <c r="A414" s="320" t="s">
        <v>1305</v>
      </c>
      <c r="B414" s="320" t="s">
        <v>1306</v>
      </c>
      <c r="C414" s="320"/>
      <c r="D414" s="320" t="s">
        <v>446</v>
      </c>
      <c r="E414" s="320">
        <v>2016</v>
      </c>
      <c r="F414" s="404"/>
      <c r="G414" s="676"/>
      <c r="H414" s="676">
        <v>100346</v>
      </c>
      <c r="I414" s="676">
        <v>157368</v>
      </c>
      <c r="J414" s="676">
        <v>68262</v>
      </c>
      <c r="K414" s="676"/>
      <c r="L414" s="676"/>
      <c r="M414" s="676"/>
      <c r="N414" s="676">
        <v>3035</v>
      </c>
      <c r="O414" s="676"/>
      <c r="P414" s="676"/>
      <c r="Q414" s="676"/>
      <c r="R414" s="676"/>
      <c r="S414" s="676">
        <v>32000</v>
      </c>
      <c r="T414" s="676"/>
      <c r="U414" s="676"/>
      <c r="V414" s="676"/>
      <c r="W414" s="676"/>
      <c r="X414" s="676">
        <v>0</v>
      </c>
      <c r="Y414" s="676">
        <v>575</v>
      </c>
      <c r="Z414" s="676">
        <v>0</v>
      </c>
      <c r="AA414" s="676"/>
      <c r="AB414" s="676"/>
      <c r="AC414" s="676">
        <v>0</v>
      </c>
      <c r="AD414" s="676"/>
      <c r="AE414" s="676"/>
      <c r="AF414" s="676"/>
      <c r="AG414" s="676"/>
      <c r="AH414" s="676"/>
      <c r="AI414" s="676"/>
      <c r="AJ414" s="676"/>
      <c r="AK414" s="676"/>
      <c r="AL414" s="676"/>
      <c r="AM414" s="676"/>
      <c r="AN414" s="676"/>
      <c r="AO414" s="676">
        <v>16</v>
      </c>
      <c r="AP414" s="676"/>
      <c r="AQ414" s="676"/>
      <c r="AR414" s="676">
        <v>9187</v>
      </c>
      <c r="AS414" s="676">
        <v>680</v>
      </c>
      <c r="AT414" s="676">
        <v>0</v>
      </c>
      <c r="AU414" s="676">
        <v>23540</v>
      </c>
      <c r="AV414" s="676"/>
      <c r="AW414" s="676"/>
      <c r="AX414" s="676">
        <v>193330</v>
      </c>
      <c r="AY414" s="676"/>
      <c r="AZ414" s="676">
        <v>0</v>
      </c>
      <c r="BA414" s="676"/>
      <c r="BB414" s="676">
        <v>28308</v>
      </c>
      <c r="BC414" s="676"/>
      <c r="BD414" s="676"/>
      <c r="BE414" s="676">
        <v>0</v>
      </c>
      <c r="BF414" s="676"/>
      <c r="BG414" s="676"/>
      <c r="BH414" s="676"/>
      <c r="BI414" s="676"/>
      <c r="BJ414" s="676">
        <v>200633</v>
      </c>
      <c r="BK414" s="676"/>
      <c r="BL414" s="676"/>
      <c r="BM414" s="676"/>
      <c r="BN414" s="676">
        <v>0</v>
      </c>
      <c r="BO414" s="676"/>
      <c r="BP414" s="676"/>
      <c r="BQ414" s="676"/>
      <c r="BR414" s="676"/>
      <c r="BS414" s="676"/>
      <c r="BT414" s="676"/>
      <c r="BU414" s="676">
        <v>19294</v>
      </c>
      <c r="BV414" s="676"/>
      <c r="BW414" s="676"/>
      <c r="BX414" s="676"/>
      <c r="BY414" s="676">
        <v>11879</v>
      </c>
      <c r="BZ414" s="676"/>
      <c r="CA414" s="676"/>
      <c r="CB414" s="676"/>
      <c r="CC414" s="676"/>
      <c r="CD414" s="676"/>
      <c r="CE414" s="676"/>
      <c r="CF414" s="676"/>
      <c r="CG414" s="676"/>
    </row>
    <row r="415" spans="1:85" x14ac:dyDescent="0.25">
      <c r="A415" s="320" t="s">
        <v>1307</v>
      </c>
      <c r="B415" s="320" t="s">
        <v>1308</v>
      </c>
      <c r="C415" s="320"/>
      <c r="D415" s="320" t="s">
        <v>441</v>
      </c>
      <c r="E415" s="320">
        <v>2016</v>
      </c>
      <c r="F415" s="404"/>
      <c r="G415" s="676"/>
      <c r="H415" s="676"/>
      <c r="I415" s="676">
        <v>137126</v>
      </c>
      <c r="J415" s="676">
        <v>23736</v>
      </c>
      <c r="K415" s="676"/>
      <c r="L415" s="676">
        <v>10129</v>
      </c>
      <c r="M415" s="676">
        <v>8191</v>
      </c>
      <c r="N415" s="676">
        <v>184</v>
      </c>
      <c r="O415" s="676">
        <v>0</v>
      </c>
      <c r="P415" s="676"/>
      <c r="Q415" s="676"/>
      <c r="R415" s="676">
        <v>37121</v>
      </c>
      <c r="S415" s="676">
        <v>7565</v>
      </c>
      <c r="T415" s="676">
        <v>640309</v>
      </c>
      <c r="U415" s="676"/>
      <c r="V415" s="676"/>
      <c r="W415" s="676">
        <v>310</v>
      </c>
      <c r="X415" s="676">
        <v>13850.15</v>
      </c>
      <c r="Y415" s="676"/>
      <c r="Z415" s="676">
        <v>0</v>
      </c>
      <c r="AA415" s="676"/>
      <c r="AB415" s="676"/>
      <c r="AC415" s="676">
        <v>0</v>
      </c>
      <c r="AD415" s="676">
        <v>40705</v>
      </c>
      <c r="AE415" s="676"/>
      <c r="AF415" s="676">
        <v>2350144</v>
      </c>
      <c r="AG415" s="676">
        <v>33348</v>
      </c>
      <c r="AH415" s="676">
        <v>2699</v>
      </c>
      <c r="AI415" s="676">
        <v>1609</v>
      </c>
      <c r="AJ415" s="676">
        <v>14640</v>
      </c>
      <c r="AK415" s="676">
        <v>144494</v>
      </c>
      <c r="AL415" s="676">
        <v>163694</v>
      </c>
      <c r="AM415" s="676">
        <v>217468</v>
      </c>
      <c r="AN415" s="676"/>
      <c r="AO415" s="676"/>
      <c r="AP415" s="676">
        <v>20791</v>
      </c>
      <c r="AQ415" s="676">
        <v>15521</v>
      </c>
      <c r="AR415" s="676">
        <v>12793</v>
      </c>
      <c r="AS415" s="676"/>
      <c r="AT415" s="676">
        <v>0</v>
      </c>
      <c r="AU415" s="676">
        <v>2833</v>
      </c>
      <c r="AV415" s="676"/>
      <c r="AW415" s="676"/>
      <c r="AX415" s="676"/>
      <c r="AY415" s="676">
        <v>79697</v>
      </c>
      <c r="AZ415" s="676">
        <v>0</v>
      </c>
      <c r="BA415" s="676">
        <v>379361</v>
      </c>
      <c r="BB415" s="676">
        <v>26801</v>
      </c>
      <c r="BC415" s="676">
        <v>22765</v>
      </c>
      <c r="BD415" s="676"/>
      <c r="BE415" s="676">
        <v>0</v>
      </c>
      <c r="BF415" s="676"/>
      <c r="BG415" s="676">
        <v>84976000</v>
      </c>
      <c r="BH415" s="676"/>
      <c r="BI415" s="676">
        <v>183860</v>
      </c>
      <c r="BJ415" s="676">
        <v>243077</v>
      </c>
      <c r="BK415" s="676"/>
      <c r="BL415" s="676">
        <v>10</v>
      </c>
      <c r="BM415" s="676"/>
      <c r="BN415" s="676">
        <v>139777</v>
      </c>
      <c r="BO415" s="676"/>
      <c r="BP415" s="676"/>
      <c r="BQ415" s="676">
        <v>1930</v>
      </c>
      <c r="BR415" s="676"/>
      <c r="BS415" s="676">
        <v>6</v>
      </c>
      <c r="BT415" s="676"/>
      <c r="BU415" s="676">
        <v>27559</v>
      </c>
      <c r="BV415" s="676"/>
      <c r="BW415" s="676">
        <v>3950840</v>
      </c>
      <c r="BX415" s="676">
        <v>129579</v>
      </c>
      <c r="BY415" s="676">
        <v>3088</v>
      </c>
      <c r="BZ415" s="676"/>
      <c r="CA415" s="676">
        <v>3419.62</v>
      </c>
      <c r="CB415" s="676">
        <v>68148.960000000006</v>
      </c>
      <c r="CC415" s="676">
        <v>21733000</v>
      </c>
      <c r="CD415" s="676"/>
      <c r="CE415" s="676"/>
      <c r="CF415" s="676"/>
      <c r="CG415" s="676"/>
    </row>
    <row r="416" spans="1:85" x14ac:dyDescent="0.25">
      <c r="A416" s="320" t="s">
        <v>1309</v>
      </c>
      <c r="B416" s="320" t="s">
        <v>1310</v>
      </c>
      <c r="C416" s="320"/>
      <c r="D416" s="320" t="s">
        <v>448</v>
      </c>
      <c r="E416" s="320">
        <v>2016</v>
      </c>
      <c r="F416" s="404"/>
      <c r="G416" s="676">
        <v>39</v>
      </c>
      <c r="H416" s="676"/>
      <c r="I416" s="676">
        <v>241</v>
      </c>
      <c r="J416" s="676">
        <v>2735</v>
      </c>
      <c r="K416" s="676"/>
      <c r="L416" s="676">
        <v>595</v>
      </c>
      <c r="M416" s="676">
        <v>374566</v>
      </c>
      <c r="N416" s="676">
        <v>2129</v>
      </c>
      <c r="O416" s="676">
        <v>3231</v>
      </c>
      <c r="P416" s="676">
        <v>1685</v>
      </c>
      <c r="Q416" s="676">
        <v>47</v>
      </c>
      <c r="R416" s="676">
        <v>6</v>
      </c>
      <c r="S416" s="676">
        <v>540</v>
      </c>
      <c r="T416" s="676">
        <v>3679</v>
      </c>
      <c r="U416" s="676">
        <v>636000</v>
      </c>
      <c r="V416" s="676">
        <v>112</v>
      </c>
      <c r="W416" s="676">
        <v>439</v>
      </c>
      <c r="X416" s="676">
        <v>0</v>
      </c>
      <c r="Y416" s="676">
        <v>258</v>
      </c>
      <c r="Z416" s="676">
        <v>302.77</v>
      </c>
      <c r="AA416" s="676"/>
      <c r="AB416" s="676">
        <v>1425</v>
      </c>
      <c r="AC416" s="676">
        <v>8.49</v>
      </c>
      <c r="AD416" s="676">
        <v>105322</v>
      </c>
      <c r="AE416" s="676">
        <v>281</v>
      </c>
      <c r="AF416" s="676">
        <v>2824</v>
      </c>
      <c r="AG416" s="676">
        <v>40</v>
      </c>
      <c r="AH416" s="676">
        <v>31</v>
      </c>
      <c r="AI416" s="676">
        <v>56</v>
      </c>
      <c r="AJ416" s="676">
        <v>61</v>
      </c>
      <c r="AK416" s="676">
        <v>1349</v>
      </c>
      <c r="AL416" s="676">
        <v>7325</v>
      </c>
      <c r="AM416" s="676">
        <v>209599</v>
      </c>
      <c r="AN416" s="676"/>
      <c r="AO416" s="676">
        <v>18</v>
      </c>
      <c r="AP416" s="676">
        <v>38</v>
      </c>
      <c r="AQ416" s="676">
        <v>7</v>
      </c>
      <c r="AR416" s="676"/>
      <c r="AS416" s="676"/>
      <c r="AT416" s="676">
        <v>0</v>
      </c>
      <c r="AU416" s="676">
        <v>350</v>
      </c>
      <c r="AV416" s="676">
        <v>41</v>
      </c>
      <c r="AW416" s="676"/>
      <c r="AX416" s="676">
        <v>60</v>
      </c>
      <c r="AY416" s="676">
        <v>10435</v>
      </c>
      <c r="AZ416" s="676">
        <v>7</v>
      </c>
      <c r="BA416" s="676">
        <v>40</v>
      </c>
      <c r="BB416" s="676">
        <v>886</v>
      </c>
      <c r="BC416" s="676">
        <v>140</v>
      </c>
      <c r="BD416" s="676"/>
      <c r="BE416" s="676">
        <v>596.23</v>
      </c>
      <c r="BF416" s="676">
        <v>621000</v>
      </c>
      <c r="BG416" s="676"/>
      <c r="BH416" s="676">
        <v>327000</v>
      </c>
      <c r="BI416" s="676">
        <v>496</v>
      </c>
      <c r="BJ416" s="676">
        <v>9174</v>
      </c>
      <c r="BK416" s="676">
        <v>47</v>
      </c>
      <c r="BL416" s="676">
        <v>145</v>
      </c>
      <c r="BM416" s="676"/>
      <c r="BN416" s="676">
        <v>0</v>
      </c>
      <c r="BO416" s="676"/>
      <c r="BP416" s="676">
        <v>23792</v>
      </c>
      <c r="BQ416" s="676">
        <v>1302</v>
      </c>
      <c r="BR416" s="676">
        <v>57</v>
      </c>
      <c r="BS416" s="676">
        <v>1092</v>
      </c>
      <c r="BT416" s="676">
        <v>4663</v>
      </c>
      <c r="BU416" s="676">
        <v>921</v>
      </c>
      <c r="BV416" s="676"/>
      <c r="BW416" s="676">
        <v>850</v>
      </c>
      <c r="BX416" s="676"/>
      <c r="BY416" s="676">
        <v>477</v>
      </c>
      <c r="BZ416" s="676"/>
      <c r="CA416" s="676">
        <v>0.48</v>
      </c>
      <c r="CB416" s="676">
        <v>70.28</v>
      </c>
      <c r="CC416" s="676"/>
      <c r="CD416" s="676">
        <v>1</v>
      </c>
      <c r="CE416" s="676"/>
      <c r="CF416" s="676">
        <v>5000</v>
      </c>
      <c r="CG416" s="676"/>
    </row>
    <row r="417" spans="1:85" x14ac:dyDescent="0.25">
      <c r="A417" s="320" t="s">
        <v>1311</v>
      </c>
      <c r="B417" s="320" t="s">
        <v>1312</v>
      </c>
      <c r="C417" s="320"/>
      <c r="D417" s="320" t="s">
        <v>472</v>
      </c>
      <c r="E417" s="320">
        <v>2016</v>
      </c>
      <c r="F417" s="404"/>
      <c r="G417" s="676"/>
      <c r="H417" s="676"/>
      <c r="I417" s="676"/>
      <c r="J417" s="676"/>
      <c r="K417" s="676"/>
      <c r="L417" s="676"/>
      <c r="M417" s="676">
        <v>12254</v>
      </c>
      <c r="N417" s="676"/>
      <c r="O417" s="676"/>
      <c r="P417" s="676"/>
      <c r="Q417" s="676"/>
      <c r="R417" s="676"/>
      <c r="S417" s="676">
        <v>1342534</v>
      </c>
      <c r="T417" s="676"/>
      <c r="U417" s="676"/>
      <c r="V417" s="676"/>
      <c r="W417" s="676"/>
      <c r="X417" s="676">
        <v>0</v>
      </c>
      <c r="Y417" s="676">
        <v>962771</v>
      </c>
      <c r="Z417" s="676">
        <v>0</v>
      </c>
      <c r="AA417" s="676"/>
      <c r="AB417" s="676"/>
      <c r="AC417" s="676">
        <v>0</v>
      </c>
      <c r="AD417" s="676"/>
      <c r="AE417" s="676"/>
      <c r="AF417" s="676"/>
      <c r="AG417" s="676"/>
      <c r="AH417" s="676"/>
      <c r="AI417" s="676"/>
      <c r="AJ417" s="676"/>
      <c r="AK417" s="676"/>
      <c r="AL417" s="676"/>
      <c r="AM417" s="676"/>
      <c r="AN417" s="676"/>
      <c r="AO417" s="676"/>
      <c r="AP417" s="676"/>
      <c r="AQ417" s="676"/>
      <c r="AR417" s="676"/>
      <c r="AS417" s="676"/>
      <c r="AT417" s="676">
        <v>0</v>
      </c>
      <c r="AU417" s="676"/>
      <c r="AV417" s="676"/>
      <c r="AW417" s="676"/>
      <c r="AX417" s="676"/>
      <c r="AY417" s="676"/>
      <c r="AZ417" s="676">
        <v>0</v>
      </c>
      <c r="BA417" s="676"/>
      <c r="BB417" s="676"/>
      <c r="BC417" s="676"/>
      <c r="BD417" s="676"/>
      <c r="BE417" s="676">
        <v>0</v>
      </c>
      <c r="BF417" s="676"/>
      <c r="BG417" s="676"/>
      <c r="BH417" s="676">
        <v>16374000</v>
      </c>
      <c r="BI417" s="676"/>
      <c r="BJ417" s="676">
        <v>16165</v>
      </c>
      <c r="BK417" s="676"/>
      <c r="BL417" s="676"/>
      <c r="BM417" s="676"/>
      <c r="BN417" s="676">
        <v>0</v>
      </c>
      <c r="BO417" s="676"/>
      <c r="BP417" s="676"/>
      <c r="BQ417" s="676"/>
      <c r="BR417" s="676"/>
      <c r="BS417" s="676"/>
      <c r="BT417" s="676"/>
      <c r="BU417" s="676"/>
      <c r="BV417" s="676"/>
      <c r="BW417" s="676"/>
      <c r="BX417" s="676"/>
      <c r="BY417" s="676"/>
      <c r="BZ417" s="676"/>
      <c r="CA417" s="676"/>
      <c r="CB417" s="676"/>
      <c r="CC417" s="676"/>
      <c r="CD417" s="676"/>
      <c r="CE417" s="676"/>
      <c r="CF417" s="676"/>
      <c r="CG417" s="676">
        <v>111000</v>
      </c>
    </row>
    <row r="418" spans="1:85" x14ac:dyDescent="0.25">
      <c r="A418" s="320" t="s">
        <v>1313</v>
      </c>
      <c r="B418" s="320" t="s">
        <v>1314</v>
      </c>
      <c r="C418" s="320"/>
      <c r="D418" s="320" t="s">
        <v>1315</v>
      </c>
      <c r="E418" s="320">
        <v>2016</v>
      </c>
      <c r="F418" s="404">
        <v>1529</v>
      </c>
      <c r="G418" s="676">
        <v>1800</v>
      </c>
      <c r="H418" s="676">
        <v>22577</v>
      </c>
      <c r="I418" s="676">
        <v>31424</v>
      </c>
      <c r="J418" s="676">
        <v>5534</v>
      </c>
      <c r="K418" s="676">
        <v>4558</v>
      </c>
      <c r="L418" s="676">
        <v>1761</v>
      </c>
      <c r="M418" s="676">
        <v>16058</v>
      </c>
      <c r="N418" s="676">
        <v>90593</v>
      </c>
      <c r="O418" s="676">
        <v>24817</v>
      </c>
      <c r="P418" s="676">
        <v>139954</v>
      </c>
      <c r="Q418" s="676">
        <v>2775</v>
      </c>
      <c r="R418" s="676">
        <v>10259</v>
      </c>
      <c r="S418" s="676">
        <v>341686</v>
      </c>
      <c r="T418" s="676">
        <v>8191</v>
      </c>
      <c r="U418" s="676">
        <v>142000</v>
      </c>
      <c r="V418" s="676">
        <v>53290</v>
      </c>
      <c r="W418" s="676">
        <v>11256</v>
      </c>
      <c r="X418" s="676">
        <v>743.25</v>
      </c>
      <c r="Y418" s="676">
        <v>97411</v>
      </c>
      <c r="Z418" s="676">
        <v>1932.36</v>
      </c>
      <c r="AA418" s="676">
        <v>1517</v>
      </c>
      <c r="AB418" s="676">
        <v>30936</v>
      </c>
      <c r="AC418" s="676">
        <v>344.25</v>
      </c>
      <c r="AD418" s="676">
        <v>25968</v>
      </c>
      <c r="AE418" s="676">
        <v>9286</v>
      </c>
      <c r="AF418" s="676">
        <v>69400</v>
      </c>
      <c r="AG418" s="676">
        <v>5133</v>
      </c>
      <c r="AH418" s="676">
        <v>8405</v>
      </c>
      <c r="AI418" s="676">
        <v>8987</v>
      </c>
      <c r="AJ418" s="676">
        <v>1853</v>
      </c>
      <c r="AK418" s="676">
        <v>12823</v>
      </c>
      <c r="AL418" s="676">
        <v>138385</v>
      </c>
      <c r="AM418" s="676">
        <v>100215</v>
      </c>
      <c r="AN418" s="676"/>
      <c r="AO418" s="676">
        <v>32451</v>
      </c>
      <c r="AP418" s="676">
        <v>18888</v>
      </c>
      <c r="AQ418" s="676">
        <v>12855</v>
      </c>
      <c r="AR418" s="676">
        <v>4288</v>
      </c>
      <c r="AS418" s="676">
        <v>2755</v>
      </c>
      <c r="AT418" s="676">
        <v>2120.02</v>
      </c>
      <c r="AU418" s="676">
        <v>4529</v>
      </c>
      <c r="AV418" s="676">
        <v>3315</v>
      </c>
      <c r="AW418" s="676">
        <v>2184</v>
      </c>
      <c r="AX418" s="676">
        <v>86211</v>
      </c>
      <c r="AY418" s="676">
        <v>17740</v>
      </c>
      <c r="AZ418" s="676">
        <v>12342</v>
      </c>
      <c r="BA418" s="676">
        <v>4903</v>
      </c>
      <c r="BB418" s="676">
        <v>134610</v>
      </c>
      <c r="BC418" s="676">
        <v>36884</v>
      </c>
      <c r="BD418" s="676"/>
      <c r="BE418" s="676">
        <v>5192.3999999999996</v>
      </c>
      <c r="BF418" s="676">
        <v>3813000</v>
      </c>
      <c r="BG418" s="676">
        <v>5207000</v>
      </c>
      <c r="BH418" s="676"/>
      <c r="BI418" s="676">
        <v>45801</v>
      </c>
      <c r="BJ418" s="676">
        <v>58735</v>
      </c>
      <c r="BK418" s="676">
        <v>6853</v>
      </c>
      <c r="BL418" s="676">
        <v>2508</v>
      </c>
      <c r="BM418" s="676"/>
      <c r="BN418" s="676">
        <v>2865</v>
      </c>
      <c r="BO418" s="676">
        <v>2524</v>
      </c>
      <c r="BP418" s="676">
        <v>1558</v>
      </c>
      <c r="BQ418" s="676">
        <v>1473</v>
      </c>
      <c r="BR418" s="676">
        <v>1603</v>
      </c>
      <c r="BS418" s="676">
        <v>378909</v>
      </c>
      <c r="BT418" s="676">
        <v>5679</v>
      </c>
      <c r="BU418" s="676">
        <v>20430</v>
      </c>
      <c r="BV418" s="676">
        <v>2038</v>
      </c>
      <c r="BW418" s="676">
        <v>17205</v>
      </c>
      <c r="BX418" s="676">
        <v>21451</v>
      </c>
      <c r="BY418" s="676">
        <v>5581</v>
      </c>
      <c r="BZ418" s="676">
        <v>1881000</v>
      </c>
      <c r="CA418" s="676">
        <v>1230.8900000000001</v>
      </c>
      <c r="CB418" s="676">
        <v>2917.68</v>
      </c>
      <c r="CC418" s="676">
        <v>3077000</v>
      </c>
      <c r="CD418" s="676">
        <v>12664</v>
      </c>
      <c r="CE418" s="676"/>
      <c r="CF418" s="676"/>
      <c r="CG418" s="676">
        <v>333000</v>
      </c>
    </row>
    <row r="419" spans="1:85" x14ac:dyDescent="0.25">
      <c r="A419" s="320" t="s">
        <v>1266</v>
      </c>
      <c r="B419" s="320" t="s">
        <v>1440</v>
      </c>
      <c r="C419" s="320" t="s">
        <v>1441</v>
      </c>
      <c r="D419" s="320" t="s">
        <v>788</v>
      </c>
      <c r="E419" s="320">
        <v>2016</v>
      </c>
      <c r="F419" s="404">
        <v>-1430</v>
      </c>
      <c r="G419" s="676">
        <v>1807</v>
      </c>
      <c r="H419" s="676">
        <v>-122230</v>
      </c>
      <c r="I419" s="676">
        <v>-324912</v>
      </c>
      <c r="J419" s="676">
        <v>134818</v>
      </c>
      <c r="K419" s="676">
        <v>-4413</v>
      </c>
      <c r="L419" s="676">
        <v>-12467</v>
      </c>
      <c r="M419" s="676">
        <v>90592</v>
      </c>
      <c r="N419" s="676">
        <v>-94938</v>
      </c>
      <c r="O419" s="676">
        <v>-25257</v>
      </c>
      <c r="P419" s="676">
        <v>-141284</v>
      </c>
      <c r="Q419" s="676">
        <v>-1427</v>
      </c>
      <c r="R419" s="676">
        <v>-11340</v>
      </c>
      <c r="S419" s="676">
        <v>2071664</v>
      </c>
      <c r="T419" s="676">
        <v>-642171</v>
      </c>
      <c r="U419" s="676">
        <v>-39951000</v>
      </c>
      <c r="V419" s="676">
        <v>-48574</v>
      </c>
      <c r="W419" s="676">
        <v>-11935</v>
      </c>
      <c r="X419" s="676">
        <v>-14586.68</v>
      </c>
      <c r="Y419" s="676">
        <v>-843512</v>
      </c>
      <c r="Z419" s="676">
        <v>806697.76</v>
      </c>
      <c r="AA419" s="676">
        <v>-1456</v>
      </c>
      <c r="AB419" s="676">
        <v>-15986</v>
      </c>
      <c r="AC419" s="676">
        <v>-335.82</v>
      </c>
      <c r="AD419" s="676">
        <v>-96715</v>
      </c>
      <c r="AE419" s="676">
        <v>19616</v>
      </c>
      <c r="AF419" s="676">
        <v>-2420405</v>
      </c>
      <c r="AG419" s="676">
        <v>-38520</v>
      </c>
      <c r="AH419" s="676">
        <v>-3094</v>
      </c>
      <c r="AI419" s="676">
        <v>-4099</v>
      </c>
      <c r="AJ419" s="676">
        <v>-16546</v>
      </c>
      <c r="AK419" s="676">
        <v>-136873</v>
      </c>
      <c r="AL419" s="676">
        <v>-193244</v>
      </c>
      <c r="AM419" s="676">
        <v>-346106</v>
      </c>
      <c r="AN419" s="676">
        <v>-2554000</v>
      </c>
      <c r="AO419" s="676">
        <v>131662</v>
      </c>
      <c r="AP419" s="676">
        <v>42913</v>
      </c>
      <c r="AQ419" s="676">
        <v>-24923</v>
      </c>
      <c r="AR419" s="676">
        <v>-26237</v>
      </c>
      <c r="AS419" s="676">
        <v>-3368</v>
      </c>
      <c r="AT419" s="676">
        <v>-1694.02</v>
      </c>
      <c r="AU419" s="676">
        <v>-29276</v>
      </c>
      <c r="AV419" s="676">
        <v>-3096</v>
      </c>
      <c r="AW419" s="676">
        <v>-2172</v>
      </c>
      <c r="AX419" s="676">
        <v>3347275</v>
      </c>
      <c r="AY419" s="676">
        <v>-104558</v>
      </c>
      <c r="AZ419" s="676">
        <v>-10573</v>
      </c>
      <c r="BA419" s="676">
        <v>-279202</v>
      </c>
      <c r="BB419" s="676">
        <v>-189983</v>
      </c>
      <c r="BC419" s="676">
        <v>-48997</v>
      </c>
      <c r="BD419" s="676">
        <v>-742126</v>
      </c>
      <c r="BE419" s="676">
        <v>1326.88</v>
      </c>
      <c r="BF419" s="676">
        <v>-3107000</v>
      </c>
      <c r="BG419" s="676">
        <v>-32099000</v>
      </c>
      <c r="BH419" s="676">
        <v>495735000</v>
      </c>
      <c r="BI419" s="676">
        <v>-222729</v>
      </c>
      <c r="BJ419" s="676">
        <v>-435790</v>
      </c>
      <c r="BK419" s="676">
        <v>4526</v>
      </c>
      <c r="BL419" s="676">
        <v>18570</v>
      </c>
      <c r="BM419" s="676">
        <v>60764000</v>
      </c>
      <c r="BN419" s="676">
        <v>-127904</v>
      </c>
      <c r="BO419" s="676">
        <v>-73</v>
      </c>
      <c r="BP419" s="676">
        <v>-25053</v>
      </c>
      <c r="BQ419" s="676">
        <v>-4473</v>
      </c>
      <c r="BR419" s="676">
        <v>-438</v>
      </c>
      <c r="BS419" s="676">
        <v>-366641</v>
      </c>
      <c r="BT419" s="676">
        <v>-3150097</v>
      </c>
      <c r="BU419" s="676">
        <v>-68173</v>
      </c>
      <c r="BV419" s="676">
        <v>3002</v>
      </c>
      <c r="BW419" s="676">
        <v>-3615464</v>
      </c>
      <c r="BX419" s="676">
        <v>-150946</v>
      </c>
      <c r="BY419" s="676">
        <v>-20952</v>
      </c>
      <c r="BZ419" s="676">
        <v>39688000</v>
      </c>
      <c r="CA419" s="676">
        <v>25072.36</v>
      </c>
      <c r="CB419" s="676">
        <v>-29234.59</v>
      </c>
      <c r="CC419" s="676">
        <v>49083000</v>
      </c>
      <c r="CD419" s="676">
        <v>-12375</v>
      </c>
      <c r="CE419" s="676">
        <v>160000</v>
      </c>
      <c r="CF419" s="676">
        <v>-1594000</v>
      </c>
      <c r="CG419" s="676">
        <v>-3757000</v>
      </c>
    </row>
    <row r="420" spans="1:85" x14ac:dyDescent="0.25">
      <c r="A420" s="320" t="s">
        <v>1316</v>
      </c>
      <c r="B420" s="320" t="s">
        <v>1442</v>
      </c>
      <c r="C420" s="320" t="s">
        <v>1443</v>
      </c>
      <c r="D420" s="320" t="s">
        <v>791</v>
      </c>
      <c r="E420" s="320">
        <v>2016</v>
      </c>
      <c r="F420" s="404">
        <v>601</v>
      </c>
      <c r="G420" s="676">
        <v>75849</v>
      </c>
      <c r="H420" s="676">
        <v>198085</v>
      </c>
      <c r="I420" s="676">
        <v>1417627</v>
      </c>
      <c r="J420" s="676">
        <v>1201160</v>
      </c>
      <c r="K420" s="676">
        <v>-138136</v>
      </c>
      <c r="L420" s="676">
        <v>302742</v>
      </c>
      <c r="M420" s="676">
        <v>10257831</v>
      </c>
      <c r="N420" s="676">
        <v>5010184</v>
      </c>
      <c r="O420" s="676">
        <v>1695571</v>
      </c>
      <c r="P420" s="676">
        <v>2415248</v>
      </c>
      <c r="Q420" s="676">
        <v>-1129266</v>
      </c>
      <c r="R420" s="676">
        <v>1502744</v>
      </c>
      <c r="S420" s="676">
        <v>14283670</v>
      </c>
      <c r="T420" s="676">
        <v>327016</v>
      </c>
      <c r="U420" s="676">
        <v>494798000</v>
      </c>
      <c r="V420" s="676">
        <v>3157585</v>
      </c>
      <c r="W420" s="676">
        <v>-299905</v>
      </c>
      <c r="X420" s="676">
        <v>-6865471.5300000003</v>
      </c>
      <c r="Y420" s="676">
        <v>5559296</v>
      </c>
      <c r="Z420" s="676">
        <v>18372822.969999999</v>
      </c>
      <c r="AA420" s="676">
        <v>50967</v>
      </c>
      <c r="AB420" s="676">
        <v>8562784</v>
      </c>
      <c r="AC420" s="676">
        <v>-267774.73</v>
      </c>
      <c r="AD420" s="676">
        <v>-623756</v>
      </c>
      <c r="AE420" s="676">
        <v>1938508</v>
      </c>
      <c r="AF420" s="676">
        <v>-8324271</v>
      </c>
      <c r="AG420" s="676">
        <v>-668645</v>
      </c>
      <c r="AH420" s="676">
        <v>-517180</v>
      </c>
      <c r="AI420" s="676">
        <v>-93507</v>
      </c>
      <c r="AJ420" s="676">
        <v>-134309</v>
      </c>
      <c r="AK420" s="676">
        <v>1729024</v>
      </c>
      <c r="AL420" s="676">
        <v>1772459</v>
      </c>
      <c r="AM420" s="676">
        <v>1868127</v>
      </c>
      <c r="AN420" s="676">
        <v>35944000</v>
      </c>
      <c r="AO420" s="676">
        <v>90821</v>
      </c>
      <c r="AP420" s="676">
        <v>2375043</v>
      </c>
      <c r="AQ420" s="676">
        <v>262486</v>
      </c>
      <c r="AR420" s="676">
        <v>1400434</v>
      </c>
      <c r="AS420" s="676">
        <v>411755</v>
      </c>
      <c r="AT420" s="676">
        <v>-7165191.8799999999</v>
      </c>
      <c r="AU420" s="676">
        <v>29221</v>
      </c>
      <c r="AV420" s="676">
        <v>65835</v>
      </c>
      <c r="AW420" s="676">
        <v>52852</v>
      </c>
      <c r="AX420" s="676">
        <v>14234280</v>
      </c>
      <c r="AY420" s="676">
        <v>3461028</v>
      </c>
      <c r="AZ420" s="676">
        <v>13183</v>
      </c>
      <c r="BA420" s="676">
        <v>734390</v>
      </c>
      <c r="BB420" s="676">
        <v>1908491</v>
      </c>
      <c r="BC420" s="676">
        <v>1089016</v>
      </c>
      <c r="BD420" s="676">
        <v>77021448</v>
      </c>
      <c r="BE420" s="676">
        <v>2350569.71</v>
      </c>
      <c r="BF420" s="676">
        <v>3833000</v>
      </c>
      <c r="BG420" s="676">
        <v>148827000</v>
      </c>
      <c r="BH420" s="676">
        <v>483276000</v>
      </c>
      <c r="BI420" s="676">
        <v>-3973119</v>
      </c>
      <c r="BJ420" s="676">
        <v>6788018</v>
      </c>
      <c r="BK420" s="676">
        <v>-167847</v>
      </c>
      <c r="BL420" s="676">
        <v>357427</v>
      </c>
      <c r="BM420" s="676">
        <v>85531000</v>
      </c>
      <c r="BN420" s="676">
        <v>877951</v>
      </c>
      <c r="BO420" s="676">
        <v>302145</v>
      </c>
      <c r="BP420" s="676">
        <v>152889</v>
      </c>
      <c r="BQ420" s="676">
        <v>215294</v>
      </c>
      <c r="BR420" s="676">
        <v>228194</v>
      </c>
      <c r="BS420" s="676">
        <v>13108034</v>
      </c>
      <c r="BT420" s="676">
        <v>6357422</v>
      </c>
      <c r="BU420" s="676">
        <v>802657</v>
      </c>
      <c r="BV420" s="676">
        <v>-1650338</v>
      </c>
      <c r="BW420" s="676">
        <v>4943102</v>
      </c>
      <c r="BX420" s="676">
        <v>161323</v>
      </c>
      <c r="BY420" s="676">
        <v>144331</v>
      </c>
      <c r="BZ420" s="676">
        <v>41373000</v>
      </c>
      <c r="CA420" s="676">
        <v>1208456.48</v>
      </c>
      <c r="CB420" s="676">
        <v>3516308.17</v>
      </c>
      <c r="CC420" s="676">
        <v>51816000</v>
      </c>
      <c r="CD420" s="676">
        <v>-129256</v>
      </c>
      <c r="CE420" s="676">
        <v>11948000</v>
      </c>
      <c r="CF420" s="676">
        <v>156000</v>
      </c>
      <c r="CG420" s="676">
        <v>-6076000</v>
      </c>
    </row>
    <row r="421" spans="1:85" x14ac:dyDescent="0.25">
      <c r="A421" s="320" t="s">
        <v>1317</v>
      </c>
      <c r="B421" s="320" t="s">
        <v>1444</v>
      </c>
      <c r="C421" s="320" t="s">
        <v>1445</v>
      </c>
      <c r="D421" s="320" t="s">
        <v>1318</v>
      </c>
      <c r="E421" s="320">
        <v>2016</v>
      </c>
      <c r="F421" s="404">
        <v>-2842</v>
      </c>
      <c r="G421" s="676">
        <v>-23936</v>
      </c>
      <c r="H421" s="676">
        <v>-229508</v>
      </c>
      <c r="I421" s="676">
        <v>291696</v>
      </c>
      <c r="J421" s="676">
        <v>342596</v>
      </c>
      <c r="K421" s="676">
        <v>2899</v>
      </c>
      <c r="L421" s="676">
        <v>6654</v>
      </c>
      <c r="M421" s="676">
        <v>2376521</v>
      </c>
      <c r="N421" s="676">
        <v>1385115</v>
      </c>
      <c r="O421" s="676">
        <v>212889</v>
      </c>
      <c r="P421" s="676">
        <v>622125</v>
      </c>
      <c r="Q421" s="676">
        <v>1215</v>
      </c>
      <c r="R421" s="676">
        <v>315756</v>
      </c>
      <c r="S421" s="676">
        <v>3348068</v>
      </c>
      <c r="T421" s="676">
        <v>2890</v>
      </c>
      <c r="U421" s="676">
        <v>107370000</v>
      </c>
      <c r="V421" s="676">
        <v>705358</v>
      </c>
      <c r="W421" s="676">
        <v>-178052</v>
      </c>
      <c r="X421" s="676">
        <v>2881.24</v>
      </c>
      <c r="Y421" s="676">
        <v>1240813</v>
      </c>
      <c r="Z421" s="676">
        <v>5470202.5800000001</v>
      </c>
      <c r="AA421" s="676">
        <v>-37105</v>
      </c>
      <c r="AB421" s="676">
        <v>1281592</v>
      </c>
      <c r="AC421" s="676">
        <v>-15112.87</v>
      </c>
      <c r="AD421" s="676">
        <v>2914</v>
      </c>
      <c r="AE421" s="676">
        <v>460061</v>
      </c>
      <c r="AF421" s="676">
        <v>-2027184</v>
      </c>
      <c r="AG421" s="676">
        <v>2880</v>
      </c>
      <c r="AH421" s="676">
        <v>2884</v>
      </c>
      <c r="AI421" s="676">
        <v>-3231</v>
      </c>
      <c r="AJ421" s="676">
        <v>2881</v>
      </c>
      <c r="AK421" s="676">
        <v>546629</v>
      </c>
      <c r="AL421" s="676">
        <v>413831</v>
      </c>
      <c r="AM421" s="676">
        <v>510946</v>
      </c>
      <c r="AN421" s="676">
        <v>7721000</v>
      </c>
      <c r="AO421" s="676">
        <v>11755</v>
      </c>
      <c r="AP421" s="676">
        <v>521895</v>
      </c>
      <c r="AQ421" s="676">
        <v>-1082</v>
      </c>
      <c r="AR421" s="676">
        <v>180854</v>
      </c>
      <c r="AS421" s="676">
        <v>101812</v>
      </c>
      <c r="AT421" s="676">
        <v>101005.42</v>
      </c>
      <c r="AU421" s="676">
        <v>7172</v>
      </c>
      <c r="AV421" s="676">
        <v>21549</v>
      </c>
      <c r="AW421" s="676">
        <v>7844</v>
      </c>
      <c r="AX421" s="676">
        <v>2481148</v>
      </c>
      <c r="AY421" s="676">
        <v>781639</v>
      </c>
      <c r="AZ421" s="676">
        <v>5471</v>
      </c>
      <c r="BA421" s="676">
        <v>134894</v>
      </c>
      <c r="BB421" s="676">
        <v>505428</v>
      </c>
      <c r="BC421" s="676">
        <v>142151</v>
      </c>
      <c r="BD421" s="676">
        <v>19661199</v>
      </c>
      <c r="BE421" s="676">
        <v>4231.09</v>
      </c>
      <c r="BF421" s="676">
        <v>1556000</v>
      </c>
      <c r="BG421" s="676">
        <v>34471000</v>
      </c>
      <c r="BH421" s="676">
        <v>20287000</v>
      </c>
      <c r="BI421" s="676">
        <v>4017252</v>
      </c>
      <c r="BJ421" s="676">
        <v>1469368</v>
      </c>
      <c r="BK421" s="676">
        <v>-13726</v>
      </c>
      <c r="BL421" s="676">
        <v>-21723</v>
      </c>
      <c r="BM421" s="676">
        <v>7521000</v>
      </c>
      <c r="BN421" s="676">
        <v>167171</v>
      </c>
      <c r="BO421" s="676">
        <v>67372</v>
      </c>
      <c r="BP421" s="676">
        <v>36022</v>
      </c>
      <c r="BQ421" s="676">
        <v>149882</v>
      </c>
      <c r="BR421" s="676">
        <v>37359</v>
      </c>
      <c r="BS421" s="676">
        <v>3310077</v>
      </c>
      <c r="BT421" s="676">
        <v>1749772</v>
      </c>
      <c r="BU421" s="676">
        <v>2880</v>
      </c>
      <c r="BV421" s="676">
        <v>412388</v>
      </c>
      <c r="BW421" s="676">
        <v>3734462</v>
      </c>
      <c r="BX421" s="676">
        <v>28530</v>
      </c>
      <c r="BY421" s="676">
        <v>2536</v>
      </c>
      <c r="BZ421" s="676">
        <v>122000</v>
      </c>
      <c r="CA421" s="676">
        <v>275632.81</v>
      </c>
      <c r="CB421" s="676">
        <v>744209.1</v>
      </c>
      <c r="CC421" s="676">
        <v>956000</v>
      </c>
      <c r="CD421" s="676">
        <v>2935</v>
      </c>
      <c r="CE421" s="676">
        <v>3775000</v>
      </c>
      <c r="CF421" s="676">
        <v>33000</v>
      </c>
      <c r="CG421" s="676">
        <v>-924000</v>
      </c>
    </row>
    <row r="422" spans="1:85" x14ac:dyDescent="0.25">
      <c r="A422" s="320" t="s">
        <v>1319</v>
      </c>
      <c r="B422" s="320" t="s">
        <v>1320</v>
      </c>
      <c r="C422" s="320"/>
      <c r="D422" s="320" t="s">
        <v>477</v>
      </c>
      <c r="E422" s="320">
        <v>2016</v>
      </c>
      <c r="F422" s="404">
        <v>2898</v>
      </c>
      <c r="G422" s="676">
        <v>3849</v>
      </c>
      <c r="H422" s="676">
        <v>4954</v>
      </c>
      <c r="I422" s="676">
        <v>92064</v>
      </c>
      <c r="J422" s="676">
        <v>332562</v>
      </c>
      <c r="K422" s="676">
        <v>2899</v>
      </c>
      <c r="L422" s="676">
        <v>6654</v>
      </c>
      <c r="M422" s="676">
        <v>2415707</v>
      </c>
      <c r="N422" s="676">
        <v>704263</v>
      </c>
      <c r="O422" s="676">
        <v>199666</v>
      </c>
      <c r="P422" s="676">
        <v>569621</v>
      </c>
      <c r="Q422" s="676">
        <v>1215</v>
      </c>
      <c r="R422" s="676">
        <v>353908</v>
      </c>
      <c r="S422" s="676">
        <v>3443213</v>
      </c>
      <c r="T422" s="676">
        <v>2890</v>
      </c>
      <c r="U422" s="676">
        <v>145719000</v>
      </c>
      <c r="V422" s="676">
        <v>741566</v>
      </c>
      <c r="W422" s="676">
        <v>8</v>
      </c>
      <c r="X422" s="676">
        <v>2881.24</v>
      </c>
      <c r="Y422" s="676">
        <v>1211478</v>
      </c>
      <c r="Z422" s="676">
        <v>5470202.5800000001</v>
      </c>
      <c r="AA422" s="676">
        <v>846</v>
      </c>
      <c r="AB422" s="676">
        <v>884570</v>
      </c>
      <c r="AC422" s="676">
        <v>3694.56</v>
      </c>
      <c r="AD422" s="676">
        <v>2914</v>
      </c>
      <c r="AE422" s="676">
        <v>5232</v>
      </c>
      <c r="AF422" s="676">
        <v>3027</v>
      </c>
      <c r="AG422" s="676">
        <v>2880</v>
      </c>
      <c r="AH422" s="676">
        <v>2884</v>
      </c>
      <c r="AI422" s="676">
        <v>2890</v>
      </c>
      <c r="AJ422" s="676">
        <v>2881</v>
      </c>
      <c r="AK422" s="676">
        <v>546629</v>
      </c>
      <c r="AL422" s="676">
        <v>402594</v>
      </c>
      <c r="AM422" s="676">
        <v>408132</v>
      </c>
      <c r="AN422" s="676">
        <v>5000</v>
      </c>
      <c r="AO422" s="676">
        <v>116014</v>
      </c>
      <c r="AP422" s="676">
        <v>631088</v>
      </c>
      <c r="AQ422" s="676">
        <v>20109</v>
      </c>
      <c r="AR422" s="676">
        <v>209714</v>
      </c>
      <c r="AS422" s="676">
        <v>102969</v>
      </c>
      <c r="AT422" s="676">
        <v>3483.23</v>
      </c>
      <c r="AU422" s="676">
        <v>5811</v>
      </c>
      <c r="AV422" s="676">
        <v>23047</v>
      </c>
      <c r="AW422" s="676">
        <v>2882</v>
      </c>
      <c r="AX422" s="676">
        <v>2481141</v>
      </c>
      <c r="AY422" s="676">
        <v>781109</v>
      </c>
      <c r="AZ422" s="676">
        <v>5471</v>
      </c>
      <c r="BA422" s="676">
        <v>5913</v>
      </c>
      <c r="BB422" s="676">
        <v>481245</v>
      </c>
      <c r="BC422" s="676">
        <v>12185</v>
      </c>
      <c r="BD422" s="676">
        <v>21725223</v>
      </c>
      <c r="BE422" s="676">
        <v>4231.09</v>
      </c>
      <c r="BF422" s="676">
        <v>1716000</v>
      </c>
      <c r="BG422" s="676">
        <v>2909000</v>
      </c>
      <c r="BH422" s="676">
        <v>20287000</v>
      </c>
      <c r="BI422" s="676">
        <v>4711</v>
      </c>
      <c r="BJ422" s="676">
        <v>115748</v>
      </c>
      <c r="BK422" s="676">
        <v>3070</v>
      </c>
      <c r="BL422" s="676">
        <v>27004</v>
      </c>
      <c r="BM422" s="676">
        <v>153000</v>
      </c>
      <c r="BN422" s="676">
        <v>583386</v>
      </c>
      <c r="BO422" s="676">
        <v>67909</v>
      </c>
      <c r="BP422" s="676">
        <v>52823</v>
      </c>
      <c r="BQ422" s="676">
        <v>2880</v>
      </c>
      <c r="BR422" s="676">
        <v>13256</v>
      </c>
      <c r="BS422" s="676">
        <v>3349810</v>
      </c>
      <c r="BT422" s="676">
        <v>999373</v>
      </c>
      <c r="BU422" s="676">
        <v>2880</v>
      </c>
      <c r="BV422" s="676">
        <v>315734</v>
      </c>
      <c r="BW422" s="676">
        <v>2994</v>
      </c>
      <c r="BX422" s="676">
        <v>15600</v>
      </c>
      <c r="BY422" s="676">
        <v>2882</v>
      </c>
      <c r="BZ422" s="676">
        <v>-48000</v>
      </c>
      <c r="CA422" s="676">
        <v>66540.67</v>
      </c>
      <c r="CB422" s="676">
        <v>705239.11</v>
      </c>
      <c r="CC422" s="676">
        <v>1176000</v>
      </c>
      <c r="CD422" s="676">
        <v>2935</v>
      </c>
      <c r="CE422" s="676">
        <v>3775000</v>
      </c>
      <c r="CF422" s="676">
        <v>33000</v>
      </c>
      <c r="CG422" s="676">
        <v>3000</v>
      </c>
    </row>
    <row r="423" spans="1:85" x14ac:dyDescent="0.25">
      <c r="A423" s="320" t="s">
        <v>1321</v>
      </c>
      <c r="B423" s="320" t="s">
        <v>1322</v>
      </c>
      <c r="C423" s="320"/>
      <c r="D423" s="320" t="s">
        <v>794</v>
      </c>
      <c r="E423" s="320">
        <v>2016</v>
      </c>
      <c r="F423" s="404">
        <v>-5740</v>
      </c>
      <c r="G423" s="676">
        <v>-27785</v>
      </c>
      <c r="H423" s="676">
        <v>-234462</v>
      </c>
      <c r="I423" s="676">
        <v>199632</v>
      </c>
      <c r="J423" s="676">
        <v>10034</v>
      </c>
      <c r="K423" s="676"/>
      <c r="L423" s="676"/>
      <c r="M423" s="676">
        <v>-39186</v>
      </c>
      <c r="N423" s="676">
        <v>680852</v>
      </c>
      <c r="O423" s="676">
        <v>13223</v>
      </c>
      <c r="P423" s="676">
        <v>52504</v>
      </c>
      <c r="Q423" s="676"/>
      <c r="R423" s="676">
        <v>-38152</v>
      </c>
      <c r="S423" s="676">
        <v>-95145</v>
      </c>
      <c r="T423" s="676">
        <v>0</v>
      </c>
      <c r="U423" s="676">
        <v>-38349000</v>
      </c>
      <c r="V423" s="676">
        <v>-36208</v>
      </c>
      <c r="W423" s="676">
        <v>-178060</v>
      </c>
      <c r="X423" s="676">
        <v>0</v>
      </c>
      <c r="Y423" s="676">
        <v>29335</v>
      </c>
      <c r="Z423" s="676">
        <v>0</v>
      </c>
      <c r="AA423" s="676">
        <v>-37951</v>
      </c>
      <c r="AB423" s="676">
        <v>397022</v>
      </c>
      <c r="AC423" s="676">
        <v>-18807.43</v>
      </c>
      <c r="AD423" s="676"/>
      <c r="AE423" s="676">
        <v>454829</v>
      </c>
      <c r="AF423" s="676">
        <v>-2030211</v>
      </c>
      <c r="AG423" s="676"/>
      <c r="AH423" s="676"/>
      <c r="AI423" s="676">
        <v>-6121</v>
      </c>
      <c r="AJ423" s="676"/>
      <c r="AK423" s="676"/>
      <c r="AL423" s="676">
        <v>11237</v>
      </c>
      <c r="AM423" s="676">
        <v>102814</v>
      </c>
      <c r="AN423" s="676">
        <v>7716000</v>
      </c>
      <c r="AO423" s="676">
        <v>-104259</v>
      </c>
      <c r="AP423" s="676">
        <v>-109193</v>
      </c>
      <c r="AQ423" s="676">
        <v>-21191</v>
      </c>
      <c r="AR423" s="676">
        <v>-28860</v>
      </c>
      <c r="AS423" s="676">
        <v>-1157</v>
      </c>
      <c r="AT423" s="676">
        <v>97522.19</v>
      </c>
      <c r="AU423" s="676">
        <v>1361</v>
      </c>
      <c r="AV423" s="676">
        <v>-1498</v>
      </c>
      <c r="AW423" s="676">
        <v>4962</v>
      </c>
      <c r="AX423" s="676">
        <v>7</v>
      </c>
      <c r="AY423" s="676">
        <v>530</v>
      </c>
      <c r="AZ423" s="676">
        <v>0</v>
      </c>
      <c r="BA423" s="676">
        <v>128981</v>
      </c>
      <c r="BB423" s="676">
        <v>24183</v>
      </c>
      <c r="BC423" s="676">
        <v>129966</v>
      </c>
      <c r="BD423" s="676">
        <v>-2064024</v>
      </c>
      <c r="BE423" s="676">
        <v>0</v>
      </c>
      <c r="BF423" s="676">
        <v>-160000</v>
      </c>
      <c r="BG423" s="676">
        <v>31562000</v>
      </c>
      <c r="BH423" s="676">
        <v>0</v>
      </c>
      <c r="BI423" s="676">
        <v>4012541</v>
      </c>
      <c r="BJ423" s="676">
        <v>1353620</v>
      </c>
      <c r="BK423" s="676">
        <v>-16796</v>
      </c>
      <c r="BL423" s="676">
        <v>-48727</v>
      </c>
      <c r="BM423" s="676">
        <v>7368000</v>
      </c>
      <c r="BN423" s="676">
        <v>-416215</v>
      </c>
      <c r="BO423" s="676">
        <v>-537</v>
      </c>
      <c r="BP423" s="676">
        <v>-16801</v>
      </c>
      <c r="BQ423" s="676">
        <v>147002</v>
      </c>
      <c r="BR423" s="676">
        <v>24103</v>
      </c>
      <c r="BS423" s="676">
        <v>-39733</v>
      </c>
      <c r="BT423" s="676">
        <v>750399</v>
      </c>
      <c r="BU423" s="676"/>
      <c r="BV423" s="676">
        <v>96654</v>
      </c>
      <c r="BW423" s="676">
        <v>3731468</v>
      </c>
      <c r="BX423" s="676">
        <v>12930</v>
      </c>
      <c r="BY423" s="676">
        <v>-346</v>
      </c>
      <c r="BZ423" s="676">
        <v>170000</v>
      </c>
      <c r="CA423" s="676">
        <v>209092.14</v>
      </c>
      <c r="CB423" s="676">
        <v>38969.99</v>
      </c>
      <c r="CC423" s="676">
        <v>-220000</v>
      </c>
      <c r="CD423" s="676"/>
      <c r="CE423" s="676"/>
      <c r="CF423" s="676"/>
      <c r="CG423" s="676">
        <v>-927000</v>
      </c>
    </row>
    <row r="424" spans="1:85" x14ac:dyDescent="0.25">
      <c r="A424" s="320" t="s">
        <v>1323</v>
      </c>
      <c r="B424" s="320" t="s">
        <v>1324</v>
      </c>
      <c r="C424" s="320"/>
      <c r="D424" s="320" t="s">
        <v>796</v>
      </c>
      <c r="E424" s="320">
        <v>2016</v>
      </c>
      <c r="F424" s="404"/>
      <c r="G424" s="676"/>
      <c r="H424" s="676"/>
      <c r="I424" s="676"/>
      <c r="J424" s="676"/>
      <c r="K424" s="676"/>
      <c r="L424" s="676"/>
      <c r="M424" s="676"/>
      <c r="N424" s="676"/>
      <c r="O424" s="676"/>
      <c r="P424" s="676"/>
      <c r="Q424" s="676"/>
      <c r="R424" s="676"/>
      <c r="S424" s="676"/>
      <c r="T424" s="676"/>
      <c r="U424" s="676"/>
      <c r="V424" s="676"/>
      <c r="W424" s="676"/>
      <c r="X424" s="676">
        <v>0</v>
      </c>
      <c r="Y424" s="676"/>
      <c r="Z424" s="676">
        <v>0</v>
      </c>
      <c r="AA424" s="676"/>
      <c r="AB424" s="676"/>
      <c r="AC424" s="676">
        <v>0</v>
      </c>
      <c r="AD424" s="676"/>
      <c r="AE424" s="676"/>
      <c r="AF424" s="676"/>
      <c r="AG424" s="676"/>
      <c r="AH424" s="676"/>
      <c r="AI424" s="676"/>
      <c r="AJ424" s="676"/>
      <c r="AK424" s="676"/>
      <c r="AL424" s="676"/>
      <c r="AM424" s="676"/>
      <c r="AN424" s="676"/>
      <c r="AO424" s="676"/>
      <c r="AP424" s="676"/>
      <c r="AQ424" s="676"/>
      <c r="AR424" s="676"/>
      <c r="AS424" s="676"/>
      <c r="AT424" s="676">
        <v>0</v>
      </c>
      <c r="AU424" s="676"/>
      <c r="AV424" s="676"/>
      <c r="AW424" s="676"/>
      <c r="AX424" s="676"/>
      <c r="AY424" s="676"/>
      <c r="AZ424" s="676">
        <v>0</v>
      </c>
      <c r="BA424" s="676"/>
      <c r="BB424" s="676"/>
      <c r="BC424" s="676"/>
      <c r="BD424" s="676"/>
      <c r="BE424" s="676">
        <v>0</v>
      </c>
      <c r="BF424" s="676"/>
      <c r="BG424" s="676"/>
      <c r="BH424" s="676"/>
      <c r="BI424" s="676"/>
      <c r="BJ424" s="676"/>
      <c r="BK424" s="676"/>
      <c r="BL424" s="676"/>
      <c r="BM424" s="676"/>
      <c r="BN424" s="676">
        <v>0</v>
      </c>
      <c r="BO424" s="676"/>
      <c r="BP424" s="676"/>
      <c r="BQ424" s="676"/>
      <c r="BR424" s="676"/>
      <c r="BS424" s="676"/>
      <c r="BT424" s="676"/>
      <c r="BU424" s="676"/>
      <c r="BV424" s="676"/>
      <c r="BW424" s="676"/>
      <c r="BX424" s="676"/>
      <c r="BY424" s="676"/>
      <c r="BZ424" s="676"/>
      <c r="CA424" s="676"/>
      <c r="CB424" s="676"/>
      <c r="CC424" s="676"/>
      <c r="CD424" s="676"/>
      <c r="CE424" s="676"/>
      <c r="CF424" s="676"/>
      <c r="CG424" s="676"/>
    </row>
    <row r="425" spans="1:85" x14ac:dyDescent="0.25">
      <c r="A425" s="320" t="s">
        <v>1316</v>
      </c>
      <c r="B425" s="320" t="s">
        <v>1401</v>
      </c>
      <c r="C425" s="320" t="s">
        <v>1446</v>
      </c>
      <c r="D425" s="320" t="s">
        <v>476</v>
      </c>
      <c r="E425" s="320">
        <v>2016</v>
      </c>
      <c r="F425" s="404">
        <v>3443</v>
      </c>
      <c r="G425" s="676">
        <v>99785</v>
      </c>
      <c r="H425" s="676">
        <v>427593</v>
      </c>
      <c r="I425" s="676">
        <v>1125931</v>
      </c>
      <c r="J425" s="676">
        <v>858564</v>
      </c>
      <c r="K425" s="676">
        <v>-141035</v>
      </c>
      <c r="L425" s="676">
        <v>296088</v>
      </c>
      <c r="M425" s="676">
        <v>7881310</v>
      </c>
      <c r="N425" s="676">
        <v>3625069</v>
      </c>
      <c r="O425" s="676">
        <v>1482682</v>
      </c>
      <c r="P425" s="676">
        <v>1793123</v>
      </c>
      <c r="Q425" s="676">
        <v>-1130481</v>
      </c>
      <c r="R425" s="676">
        <v>1186988</v>
      </c>
      <c r="S425" s="676">
        <v>10935602</v>
      </c>
      <c r="T425" s="676">
        <v>324126</v>
      </c>
      <c r="U425" s="676">
        <v>387428000</v>
      </c>
      <c r="V425" s="676">
        <v>2452227</v>
      </c>
      <c r="W425" s="676">
        <v>-121853</v>
      </c>
      <c r="X425" s="676">
        <v>-6868352.7699999996</v>
      </c>
      <c r="Y425" s="676">
        <v>4318483</v>
      </c>
      <c r="Z425" s="676">
        <v>12902620.390000001</v>
      </c>
      <c r="AA425" s="676">
        <v>88072</v>
      </c>
      <c r="AB425" s="676">
        <v>7281192</v>
      </c>
      <c r="AC425" s="676">
        <v>-252661.86</v>
      </c>
      <c r="AD425" s="676">
        <v>-626670</v>
      </c>
      <c r="AE425" s="676">
        <v>1478447</v>
      </c>
      <c r="AF425" s="676">
        <v>-6297088</v>
      </c>
      <c r="AG425" s="676">
        <v>-671525</v>
      </c>
      <c r="AH425" s="676">
        <v>-520064</v>
      </c>
      <c r="AI425" s="676">
        <v>-90276</v>
      </c>
      <c r="AJ425" s="676">
        <v>-137190</v>
      </c>
      <c r="AK425" s="676">
        <v>1182395</v>
      </c>
      <c r="AL425" s="676">
        <v>1358628</v>
      </c>
      <c r="AM425" s="676">
        <v>1357181</v>
      </c>
      <c r="AN425" s="676">
        <v>28223000</v>
      </c>
      <c r="AO425" s="676">
        <v>79066</v>
      </c>
      <c r="AP425" s="676">
        <v>1853148</v>
      </c>
      <c r="AQ425" s="676">
        <v>263568</v>
      </c>
      <c r="AR425" s="676">
        <v>1219580</v>
      </c>
      <c r="AS425" s="676">
        <v>309943</v>
      </c>
      <c r="AT425" s="676">
        <v>-7266197.2999999998</v>
      </c>
      <c r="AU425" s="676">
        <v>22049</v>
      </c>
      <c r="AV425" s="676">
        <v>44286</v>
      </c>
      <c r="AW425" s="676">
        <v>45008</v>
      </c>
      <c r="AX425" s="676">
        <v>11753132</v>
      </c>
      <c r="AY425" s="676">
        <v>2679389</v>
      </c>
      <c r="AZ425" s="676">
        <v>7712</v>
      </c>
      <c r="BA425" s="676">
        <v>599496</v>
      </c>
      <c r="BB425" s="676">
        <v>1403063</v>
      </c>
      <c r="BC425" s="676">
        <v>946865</v>
      </c>
      <c r="BD425" s="676">
        <v>57360249</v>
      </c>
      <c r="BE425" s="676">
        <v>2346338.62</v>
      </c>
      <c r="BF425" s="676">
        <v>2277000</v>
      </c>
      <c r="BG425" s="676">
        <v>114356000</v>
      </c>
      <c r="BH425" s="676">
        <v>462989000</v>
      </c>
      <c r="BI425" s="676">
        <v>-7990371</v>
      </c>
      <c r="BJ425" s="676">
        <v>5318650</v>
      </c>
      <c r="BK425" s="676">
        <v>-154121</v>
      </c>
      <c r="BL425" s="676">
        <v>379150</v>
      </c>
      <c r="BM425" s="676">
        <v>78010000</v>
      </c>
      <c r="BN425" s="676">
        <v>710780</v>
      </c>
      <c r="BO425" s="676">
        <v>234773</v>
      </c>
      <c r="BP425" s="676">
        <v>116867</v>
      </c>
      <c r="BQ425" s="676">
        <v>65412</v>
      </c>
      <c r="BR425" s="676">
        <v>190835</v>
      </c>
      <c r="BS425" s="676">
        <v>9797957</v>
      </c>
      <c r="BT425" s="676">
        <v>4607650</v>
      </c>
      <c r="BU425" s="676">
        <v>799777</v>
      </c>
      <c r="BV425" s="676">
        <v>-2062726</v>
      </c>
      <c r="BW425" s="676">
        <v>1208640</v>
      </c>
      <c r="BX425" s="676">
        <v>132793</v>
      </c>
      <c r="BY425" s="676">
        <v>141795</v>
      </c>
      <c r="BZ425" s="676">
        <v>41251000</v>
      </c>
      <c r="CA425" s="676">
        <v>932823.67</v>
      </c>
      <c r="CB425" s="676">
        <v>2772099.07</v>
      </c>
      <c r="CC425" s="676">
        <v>50860000</v>
      </c>
      <c r="CD425" s="676">
        <v>-132191</v>
      </c>
      <c r="CE425" s="676">
        <v>8173000</v>
      </c>
      <c r="CF425" s="676">
        <v>123000</v>
      </c>
      <c r="CG425" s="676">
        <v>-5152000</v>
      </c>
    </row>
    <row r="426" spans="1:85" x14ac:dyDescent="0.25">
      <c r="A426" s="307"/>
      <c r="B426" s="307"/>
    </row>
    <row r="427" spans="1:85" x14ac:dyDescent="0.25">
      <c r="A427" s="307"/>
      <c r="B427" s="307"/>
    </row>
    <row r="428" spans="1:85" x14ac:dyDescent="0.25">
      <c r="A428" s="307"/>
      <c r="B428" s="307"/>
    </row>
    <row r="429" spans="1:85" x14ac:dyDescent="0.25">
      <c r="A429" s="307"/>
      <c r="B429" s="307"/>
    </row>
    <row r="430" spans="1:85" x14ac:dyDescent="0.25">
      <c r="A430" s="307"/>
      <c r="B430" s="307"/>
    </row>
    <row r="431" spans="1:85" x14ac:dyDescent="0.25">
      <c r="A431" s="307"/>
      <c r="B431" s="307"/>
    </row>
  </sheetData>
  <mergeCells count="32548">
    <mergeCell ref="G261"/>
    <mergeCell ref="G48"/>
    <mergeCell ref="G266"/>
    <mergeCell ref="G53"/>
    <mergeCell ref="G265"/>
    <mergeCell ref="G52"/>
    <mergeCell ref="G264"/>
    <mergeCell ref="G51"/>
    <mergeCell ref="G269"/>
    <mergeCell ref="G56"/>
    <mergeCell ref="G268"/>
    <mergeCell ref="G55"/>
    <mergeCell ref="G267"/>
    <mergeCell ref="G54"/>
    <mergeCell ref="G248"/>
    <mergeCell ref="G35"/>
    <mergeCell ref="G247"/>
    <mergeCell ref="G34"/>
    <mergeCell ref="G246"/>
    <mergeCell ref="G33"/>
    <mergeCell ref="G251"/>
    <mergeCell ref="G38"/>
    <mergeCell ref="G250"/>
    <mergeCell ref="G37"/>
    <mergeCell ref="G249"/>
    <mergeCell ref="G36"/>
    <mergeCell ref="G254"/>
    <mergeCell ref="G41"/>
    <mergeCell ref="G253"/>
    <mergeCell ref="G40"/>
    <mergeCell ref="G252"/>
    <mergeCell ref="G39"/>
    <mergeCell ref="G257"/>
    <mergeCell ref="G44"/>
    <mergeCell ref="G256"/>
    <mergeCell ref="G43"/>
    <mergeCell ref="G255"/>
    <mergeCell ref="G42"/>
    <mergeCell ref="G236"/>
    <mergeCell ref="G118"/>
    <mergeCell ref="G71"/>
    <mergeCell ref="G70"/>
    <mergeCell ref="G69"/>
    <mergeCell ref="G74"/>
    <mergeCell ref="G73"/>
    <mergeCell ref="G72"/>
    <mergeCell ref="G77"/>
    <mergeCell ref="G76"/>
    <mergeCell ref="G75"/>
    <mergeCell ref="G80"/>
    <mergeCell ref="G79"/>
    <mergeCell ref="G78"/>
    <mergeCell ref="G59"/>
    <mergeCell ref="G58"/>
    <mergeCell ref="G57"/>
    <mergeCell ref="G62"/>
    <mergeCell ref="G61"/>
    <mergeCell ref="G60"/>
    <mergeCell ref="G65"/>
    <mergeCell ref="G64"/>
    <mergeCell ref="G63"/>
    <mergeCell ref="G68"/>
    <mergeCell ref="G67"/>
    <mergeCell ref="G66"/>
    <mergeCell ref="G47"/>
    <mergeCell ref="G46"/>
    <mergeCell ref="G45"/>
    <mergeCell ref="G50"/>
    <mergeCell ref="G49"/>
    <mergeCell ref="G23"/>
    <mergeCell ref="G235"/>
    <mergeCell ref="G22"/>
    <mergeCell ref="G234"/>
    <mergeCell ref="G21"/>
    <mergeCell ref="G239"/>
    <mergeCell ref="G26"/>
    <mergeCell ref="G238"/>
    <mergeCell ref="G25"/>
    <mergeCell ref="G237"/>
    <mergeCell ref="G24"/>
    <mergeCell ref="G242"/>
    <mergeCell ref="G29"/>
    <mergeCell ref="G241"/>
    <mergeCell ref="G28"/>
    <mergeCell ref="G240"/>
    <mergeCell ref="G27"/>
    <mergeCell ref="G245"/>
    <mergeCell ref="G32"/>
    <mergeCell ref="G244"/>
    <mergeCell ref="G31"/>
    <mergeCell ref="G243"/>
    <mergeCell ref="G30"/>
    <mergeCell ref="G362"/>
    <mergeCell ref="G149"/>
    <mergeCell ref="G361"/>
    <mergeCell ref="G148"/>
    <mergeCell ref="G360"/>
    <mergeCell ref="G147"/>
    <mergeCell ref="G218"/>
    <mergeCell ref="G5"/>
    <mergeCell ref="G217"/>
    <mergeCell ref="G4"/>
    <mergeCell ref="G216"/>
    <mergeCell ref="G353"/>
    <mergeCell ref="G352"/>
    <mergeCell ref="G351"/>
    <mergeCell ref="G356"/>
    <mergeCell ref="G355"/>
    <mergeCell ref="G354"/>
    <mergeCell ref="G359"/>
    <mergeCell ref="G358"/>
    <mergeCell ref="G357"/>
    <mergeCell ref="G347"/>
    <mergeCell ref="G134"/>
    <mergeCell ref="G346"/>
    <mergeCell ref="G133"/>
    <mergeCell ref="G345"/>
    <mergeCell ref="G132"/>
    <mergeCell ref="G326"/>
    <mergeCell ref="G113"/>
    <mergeCell ref="G325"/>
    <mergeCell ref="G112"/>
    <mergeCell ref="G324"/>
    <mergeCell ref="G111"/>
    <mergeCell ref="G329"/>
    <mergeCell ref="G116"/>
    <mergeCell ref="G328"/>
    <mergeCell ref="G115"/>
    <mergeCell ref="G327"/>
    <mergeCell ref="G114"/>
    <mergeCell ref="G332"/>
    <mergeCell ref="G119"/>
    <mergeCell ref="G331"/>
    <mergeCell ref="G3"/>
    <mergeCell ref="G221"/>
    <mergeCell ref="G8"/>
    <mergeCell ref="G220"/>
    <mergeCell ref="G7"/>
    <mergeCell ref="G219"/>
    <mergeCell ref="G6"/>
    <mergeCell ref="G224"/>
    <mergeCell ref="G11"/>
    <mergeCell ref="G223"/>
    <mergeCell ref="G10"/>
    <mergeCell ref="G222"/>
    <mergeCell ref="G9"/>
    <mergeCell ref="G227"/>
    <mergeCell ref="G14"/>
    <mergeCell ref="G226"/>
    <mergeCell ref="G13"/>
    <mergeCell ref="G225"/>
    <mergeCell ref="G12"/>
    <mergeCell ref="G230"/>
    <mergeCell ref="G17"/>
    <mergeCell ref="G229"/>
    <mergeCell ref="G16"/>
    <mergeCell ref="G228"/>
    <mergeCell ref="G15"/>
    <mergeCell ref="G233"/>
    <mergeCell ref="G20"/>
    <mergeCell ref="G232"/>
    <mergeCell ref="G19"/>
    <mergeCell ref="G231"/>
    <mergeCell ref="G18"/>
    <mergeCell ref="G350"/>
    <mergeCell ref="G137"/>
    <mergeCell ref="G349"/>
    <mergeCell ref="G136"/>
    <mergeCell ref="G348"/>
    <mergeCell ref="G135"/>
    <mergeCell ref="G140"/>
    <mergeCell ref="G139"/>
    <mergeCell ref="G138"/>
    <mergeCell ref="G143"/>
    <mergeCell ref="G142"/>
    <mergeCell ref="G141"/>
    <mergeCell ref="G146"/>
    <mergeCell ref="G145"/>
    <mergeCell ref="G144"/>
    <mergeCell ref="G338"/>
    <mergeCell ref="G125"/>
    <mergeCell ref="G337"/>
    <mergeCell ref="G124"/>
    <mergeCell ref="G336"/>
    <mergeCell ref="G123"/>
    <mergeCell ref="G341"/>
    <mergeCell ref="G128"/>
    <mergeCell ref="G340"/>
    <mergeCell ref="G127"/>
    <mergeCell ref="G339"/>
    <mergeCell ref="G126"/>
    <mergeCell ref="G344"/>
    <mergeCell ref="G131"/>
    <mergeCell ref="G343"/>
    <mergeCell ref="G130"/>
    <mergeCell ref="G342"/>
    <mergeCell ref="G129"/>
    <mergeCell ref="G412"/>
    <mergeCell ref="G199"/>
    <mergeCell ref="G411"/>
    <mergeCell ref="G198"/>
    <mergeCell ref="G410"/>
    <mergeCell ref="G197"/>
    <mergeCell ref="G415"/>
    <mergeCell ref="G202"/>
    <mergeCell ref="G414"/>
    <mergeCell ref="G201"/>
    <mergeCell ref="G413"/>
    <mergeCell ref="G200"/>
    <mergeCell ref="G418"/>
    <mergeCell ref="G205"/>
    <mergeCell ref="G417"/>
    <mergeCell ref="G204"/>
    <mergeCell ref="G416"/>
    <mergeCell ref="G203"/>
    <mergeCell ref="G296"/>
    <mergeCell ref="G83"/>
    <mergeCell ref="G425"/>
    <mergeCell ref="G212"/>
    <mergeCell ref="G424"/>
    <mergeCell ref="G211"/>
    <mergeCell ref="G423"/>
    <mergeCell ref="G210"/>
    <mergeCell ref="G422"/>
    <mergeCell ref="G209"/>
    <mergeCell ref="G421"/>
    <mergeCell ref="G208"/>
    <mergeCell ref="G420"/>
    <mergeCell ref="G207"/>
    <mergeCell ref="G419"/>
    <mergeCell ref="G206"/>
    <mergeCell ref="G299"/>
    <mergeCell ref="G86"/>
    <mergeCell ref="G298"/>
    <mergeCell ref="G85"/>
    <mergeCell ref="G297"/>
    <mergeCell ref="G84"/>
    <mergeCell ref="G302"/>
    <mergeCell ref="G89"/>
    <mergeCell ref="G400"/>
    <mergeCell ref="G187"/>
    <mergeCell ref="G399"/>
    <mergeCell ref="G186"/>
    <mergeCell ref="G398"/>
    <mergeCell ref="G185"/>
    <mergeCell ref="G403"/>
    <mergeCell ref="G190"/>
    <mergeCell ref="G402"/>
    <mergeCell ref="G189"/>
    <mergeCell ref="G401"/>
    <mergeCell ref="G188"/>
    <mergeCell ref="G406"/>
    <mergeCell ref="G193"/>
    <mergeCell ref="G405"/>
    <mergeCell ref="G192"/>
    <mergeCell ref="G404"/>
    <mergeCell ref="G191"/>
    <mergeCell ref="G409"/>
    <mergeCell ref="G196"/>
    <mergeCell ref="G408"/>
    <mergeCell ref="G195"/>
    <mergeCell ref="G407"/>
    <mergeCell ref="G194"/>
    <mergeCell ref="G388"/>
    <mergeCell ref="G175"/>
    <mergeCell ref="G387"/>
    <mergeCell ref="G174"/>
    <mergeCell ref="G386"/>
    <mergeCell ref="G173"/>
    <mergeCell ref="G391"/>
    <mergeCell ref="G178"/>
    <mergeCell ref="G390"/>
    <mergeCell ref="G177"/>
    <mergeCell ref="G389"/>
    <mergeCell ref="G176"/>
    <mergeCell ref="G394"/>
    <mergeCell ref="G181"/>
    <mergeCell ref="G393"/>
    <mergeCell ref="G180"/>
    <mergeCell ref="G392"/>
    <mergeCell ref="G179"/>
    <mergeCell ref="G397"/>
    <mergeCell ref="G184"/>
    <mergeCell ref="G396"/>
    <mergeCell ref="G183"/>
    <mergeCell ref="G395"/>
    <mergeCell ref="G182"/>
    <mergeCell ref="G376"/>
    <mergeCell ref="G163"/>
    <mergeCell ref="G375"/>
    <mergeCell ref="G162"/>
    <mergeCell ref="G374"/>
    <mergeCell ref="G161"/>
    <mergeCell ref="G379"/>
    <mergeCell ref="G166"/>
    <mergeCell ref="G378"/>
    <mergeCell ref="G165"/>
    <mergeCell ref="G377"/>
    <mergeCell ref="G164"/>
    <mergeCell ref="G382"/>
    <mergeCell ref="G169"/>
    <mergeCell ref="G381"/>
    <mergeCell ref="G168"/>
    <mergeCell ref="G380"/>
    <mergeCell ref="G167"/>
    <mergeCell ref="G385"/>
    <mergeCell ref="G172"/>
    <mergeCell ref="G384"/>
    <mergeCell ref="G171"/>
    <mergeCell ref="G383"/>
    <mergeCell ref="G170"/>
    <mergeCell ref="G330"/>
    <mergeCell ref="G335"/>
    <mergeCell ref="G334"/>
    <mergeCell ref="G333"/>
    <mergeCell ref="G310"/>
    <mergeCell ref="G309"/>
    <mergeCell ref="G314"/>
    <mergeCell ref="G313"/>
    <mergeCell ref="G312"/>
    <mergeCell ref="G317"/>
    <mergeCell ref="G316"/>
    <mergeCell ref="G315"/>
    <mergeCell ref="G320"/>
    <mergeCell ref="G319"/>
    <mergeCell ref="G373"/>
    <mergeCell ref="G160"/>
    <mergeCell ref="G372"/>
    <mergeCell ref="G159"/>
    <mergeCell ref="G371"/>
    <mergeCell ref="G158"/>
    <mergeCell ref="G301"/>
    <mergeCell ref="G88"/>
    <mergeCell ref="G300"/>
    <mergeCell ref="G87"/>
    <mergeCell ref="G305"/>
    <mergeCell ref="G92"/>
    <mergeCell ref="G304"/>
    <mergeCell ref="G91"/>
    <mergeCell ref="G303"/>
    <mergeCell ref="G90"/>
    <mergeCell ref="G308"/>
    <mergeCell ref="G95"/>
    <mergeCell ref="G307"/>
    <mergeCell ref="G94"/>
    <mergeCell ref="G306"/>
    <mergeCell ref="G93"/>
    <mergeCell ref="G311"/>
    <mergeCell ref="G98"/>
    <mergeCell ref="H275"/>
    <mergeCell ref="H352"/>
    <mergeCell ref="H349"/>
    <mergeCell ref="H350"/>
    <mergeCell ref="H347"/>
    <mergeCell ref="H348"/>
    <mergeCell ref="H339"/>
    <mergeCell ref="H340"/>
    <mergeCell ref="H337"/>
    <mergeCell ref="H338"/>
    <mergeCell ref="H335"/>
    <mergeCell ref="H336"/>
    <mergeCell ref="H345"/>
    <mergeCell ref="H346"/>
    <mergeCell ref="H343"/>
    <mergeCell ref="H344"/>
    <mergeCell ref="H341"/>
    <mergeCell ref="H342"/>
    <mergeCell ref="G117"/>
    <mergeCell ref="G122"/>
    <mergeCell ref="G121"/>
    <mergeCell ref="G120"/>
    <mergeCell ref="G97"/>
    <mergeCell ref="G96"/>
    <mergeCell ref="G101"/>
    <mergeCell ref="G100"/>
    <mergeCell ref="G99"/>
    <mergeCell ref="G104"/>
    <mergeCell ref="G103"/>
    <mergeCell ref="G102"/>
    <mergeCell ref="G107"/>
    <mergeCell ref="G106"/>
    <mergeCell ref="G318"/>
    <mergeCell ref="G105"/>
    <mergeCell ref="G323"/>
    <mergeCell ref="G110"/>
    <mergeCell ref="G322"/>
    <mergeCell ref="G109"/>
    <mergeCell ref="G321"/>
    <mergeCell ref="G108"/>
    <mergeCell ref="H287"/>
    <mergeCell ref="H74"/>
    <mergeCell ref="H288"/>
    <mergeCell ref="H75"/>
    <mergeCell ref="H285"/>
    <mergeCell ref="H72"/>
    <mergeCell ref="H286"/>
    <mergeCell ref="H73"/>
    <mergeCell ref="H283"/>
    <mergeCell ref="H70"/>
    <mergeCell ref="H284"/>
    <mergeCell ref="H71"/>
    <mergeCell ref="H257"/>
    <mergeCell ref="H293"/>
    <mergeCell ref="H80"/>
    <mergeCell ref="H291"/>
    <mergeCell ref="H78"/>
    <mergeCell ref="H292"/>
    <mergeCell ref="H79"/>
    <mergeCell ref="H289"/>
    <mergeCell ref="H76"/>
    <mergeCell ref="H290"/>
    <mergeCell ref="H77"/>
    <mergeCell ref="G367"/>
    <mergeCell ref="G154"/>
    <mergeCell ref="G366"/>
    <mergeCell ref="G153"/>
    <mergeCell ref="G365"/>
    <mergeCell ref="G152"/>
    <mergeCell ref="G370"/>
    <mergeCell ref="G157"/>
    <mergeCell ref="G369"/>
    <mergeCell ref="G156"/>
    <mergeCell ref="G368"/>
    <mergeCell ref="G155"/>
    <mergeCell ref="G284"/>
    <mergeCell ref="G283"/>
    <mergeCell ref="G282"/>
    <mergeCell ref="G287"/>
    <mergeCell ref="G286"/>
    <mergeCell ref="G285"/>
    <mergeCell ref="G290"/>
    <mergeCell ref="G289"/>
    <mergeCell ref="G288"/>
    <mergeCell ref="G293"/>
    <mergeCell ref="G292"/>
    <mergeCell ref="G291"/>
    <mergeCell ref="G272"/>
    <mergeCell ref="G271"/>
    <mergeCell ref="G270"/>
    <mergeCell ref="G275"/>
    <mergeCell ref="G274"/>
    <mergeCell ref="G273"/>
    <mergeCell ref="G278"/>
    <mergeCell ref="G277"/>
    <mergeCell ref="G276"/>
    <mergeCell ref="G281"/>
    <mergeCell ref="G280"/>
    <mergeCell ref="G279"/>
    <mergeCell ref="G260"/>
    <mergeCell ref="G259"/>
    <mergeCell ref="G258"/>
    <mergeCell ref="G263"/>
    <mergeCell ref="G262"/>
    <mergeCell ref="H44"/>
    <mergeCell ref="H258"/>
    <mergeCell ref="H45"/>
    <mergeCell ref="H255"/>
    <mergeCell ref="H42"/>
    <mergeCell ref="H256"/>
    <mergeCell ref="H43"/>
    <mergeCell ref="H253"/>
    <mergeCell ref="H40"/>
    <mergeCell ref="H254"/>
    <mergeCell ref="H41"/>
    <mergeCell ref="H263"/>
    <mergeCell ref="H50"/>
    <mergeCell ref="H264"/>
    <mergeCell ref="H51"/>
    <mergeCell ref="H261"/>
    <mergeCell ref="H48"/>
    <mergeCell ref="H262"/>
    <mergeCell ref="H49"/>
    <mergeCell ref="H259"/>
    <mergeCell ref="H46"/>
    <mergeCell ref="H260"/>
    <mergeCell ref="H47"/>
    <mergeCell ref="H269"/>
    <mergeCell ref="H56"/>
    <mergeCell ref="H270"/>
    <mergeCell ref="H57"/>
    <mergeCell ref="H267"/>
    <mergeCell ref="H54"/>
    <mergeCell ref="H268"/>
    <mergeCell ref="H55"/>
    <mergeCell ref="H265"/>
    <mergeCell ref="H52"/>
    <mergeCell ref="H266"/>
    <mergeCell ref="H53"/>
    <mergeCell ref="H232"/>
    <mergeCell ref="H164"/>
    <mergeCell ref="H173"/>
    <mergeCell ref="H174"/>
    <mergeCell ref="H171"/>
    <mergeCell ref="H172"/>
    <mergeCell ref="H169"/>
    <mergeCell ref="H170"/>
    <mergeCell ref="H179"/>
    <mergeCell ref="H180"/>
    <mergeCell ref="H177"/>
    <mergeCell ref="H178"/>
    <mergeCell ref="H175"/>
    <mergeCell ref="H176"/>
    <mergeCell ref="H62"/>
    <mergeCell ref="H63"/>
    <mergeCell ref="H60"/>
    <mergeCell ref="H61"/>
    <mergeCell ref="H58"/>
    <mergeCell ref="H59"/>
    <mergeCell ref="H68"/>
    <mergeCell ref="H69"/>
    <mergeCell ref="H66"/>
    <mergeCell ref="H67"/>
    <mergeCell ref="H64"/>
    <mergeCell ref="H65"/>
    <mergeCell ref="H19"/>
    <mergeCell ref="H229"/>
    <mergeCell ref="H16"/>
    <mergeCell ref="H230"/>
    <mergeCell ref="H17"/>
    <mergeCell ref="H239"/>
    <mergeCell ref="H26"/>
    <mergeCell ref="H240"/>
    <mergeCell ref="H27"/>
    <mergeCell ref="H237"/>
    <mergeCell ref="H24"/>
    <mergeCell ref="H238"/>
    <mergeCell ref="H25"/>
    <mergeCell ref="H235"/>
    <mergeCell ref="H22"/>
    <mergeCell ref="H236"/>
    <mergeCell ref="H23"/>
    <mergeCell ref="H245"/>
    <mergeCell ref="H32"/>
    <mergeCell ref="H246"/>
    <mergeCell ref="H33"/>
    <mergeCell ref="H243"/>
    <mergeCell ref="H30"/>
    <mergeCell ref="H244"/>
    <mergeCell ref="H31"/>
    <mergeCell ref="H241"/>
    <mergeCell ref="H28"/>
    <mergeCell ref="H242"/>
    <mergeCell ref="H29"/>
    <mergeCell ref="H251"/>
    <mergeCell ref="H38"/>
    <mergeCell ref="H252"/>
    <mergeCell ref="H39"/>
    <mergeCell ref="H249"/>
    <mergeCell ref="H36"/>
    <mergeCell ref="H250"/>
    <mergeCell ref="H37"/>
    <mergeCell ref="H247"/>
    <mergeCell ref="H34"/>
    <mergeCell ref="H248"/>
    <mergeCell ref="H35"/>
    <mergeCell ref="H139"/>
    <mergeCell ref="H136"/>
    <mergeCell ref="H137"/>
    <mergeCell ref="H134"/>
    <mergeCell ref="H135"/>
    <mergeCell ref="H216"/>
    <mergeCell ref="H117"/>
    <mergeCell ref="H126"/>
    <mergeCell ref="H127"/>
    <mergeCell ref="H124"/>
    <mergeCell ref="H125"/>
    <mergeCell ref="H122"/>
    <mergeCell ref="H123"/>
    <mergeCell ref="H132"/>
    <mergeCell ref="H133"/>
    <mergeCell ref="H130"/>
    <mergeCell ref="H131"/>
    <mergeCell ref="H128"/>
    <mergeCell ref="H129"/>
    <mergeCell ref="H168"/>
    <mergeCell ref="H165"/>
    <mergeCell ref="H166"/>
    <mergeCell ref="H163"/>
    <mergeCell ref="H3"/>
    <mergeCell ref="H361"/>
    <mergeCell ref="H148"/>
    <mergeCell ref="H362"/>
    <mergeCell ref="H149"/>
    <mergeCell ref="H359"/>
    <mergeCell ref="H146"/>
    <mergeCell ref="H360"/>
    <mergeCell ref="H147"/>
    <mergeCell ref="H357"/>
    <mergeCell ref="H144"/>
    <mergeCell ref="H358"/>
    <mergeCell ref="H145"/>
    <mergeCell ref="H355"/>
    <mergeCell ref="H142"/>
    <mergeCell ref="H356"/>
    <mergeCell ref="H143"/>
    <mergeCell ref="H353"/>
    <mergeCell ref="H140"/>
    <mergeCell ref="H354"/>
    <mergeCell ref="H141"/>
    <mergeCell ref="H351"/>
    <mergeCell ref="H138"/>
    <mergeCell ref="H221"/>
    <mergeCell ref="H8"/>
    <mergeCell ref="H222"/>
    <mergeCell ref="H9"/>
    <mergeCell ref="H219"/>
    <mergeCell ref="H6"/>
    <mergeCell ref="H220"/>
    <mergeCell ref="H7"/>
    <mergeCell ref="H217"/>
    <mergeCell ref="H4"/>
    <mergeCell ref="H218"/>
    <mergeCell ref="H5"/>
    <mergeCell ref="H227"/>
    <mergeCell ref="H14"/>
    <mergeCell ref="H228"/>
    <mergeCell ref="H15"/>
    <mergeCell ref="H225"/>
    <mergeCell ref="H12"/>
    <mergeCell ref="H226"/>
    <mergeCell ref="H13"/>
    <mergeCell ref="H223"/>
    <mergeCell ref="H10"/>
    <mergeCell ref="H224"/>
    <mergeCell ref="H11"/>
    <mergeCell ref="H233"/>
    <mergeCell ref="H20"/>
    <mergeCell ref="H234"/>
    <mergeCell ref="H21"/>
    <mergeCell ref="H231"/>
    <mergeCell ref="H18"/>
    <mergeCell ref="H333"/>
    <mergeCell ref="H120"/>
    <mergeCell ref="H334"/>
    <mergeCell ref="H121"/>
    <mergeCell ref="H331"/>
    <mergeCell ref="H118"/>
    <mergeCell ref="H332"/>
    <mergeCell ref="H119"/>
    <mergeCell ref="H329"/>
    <mergeCell ref="H116"/>
    <mergeCell ref="H330"/>
    <mergeCell ref="H417"/>
    <mergeCell ref="H204"/>
    <mergeCell ref="H414"/>
    <mergeCell ref="H201"/>
    <mergeCell ref="H415"/>
    <mergeCell ref="H202"/>
    <mergeCell ref="H412"/>
    <mergeCell ref="H199"/>
    <mergeCell ref="H413"/>
    <mergeCell ref="H200"/>
    <mergeCell ref="H297"/>
    <mergeCell ref="H84"/>
    <mergeCell ref="H298"/>
    <mergeCell ref="H85"/>
    <mergeCell ref="H296"/>
    <mergeCell ref="H83"/>
    <mergeCell ref="H424"/>
    <mergeCell ref="H211"/>
    <mergeCell ref="H425"/>
    <mergeCell ref="H212"/>
    <mergeCell ref="H422"/>
    <mergeCell ref="H209"/>
    <mergeCell ref="H423"/>
    <mergeCell ref="H210"/>
    <mergeCell ref="H420"/>
    <mergeCell ref="H207"/>
    <mergeCell ref="H421"/>
    <mergeCell ref="H208"/>
    <mergeCell ref="H418"/>
    <mergeCell ref="H205"/>
    <mergeCell ref="H419"/>
    <mergeCell ref="H206"/>
    <mergeCell ref="H416"/>
    <mergeCell ref="H203"/>
    <mergeCell ref="H303"/>
    <mergeCell ref="H90"/>
    <mergeCell ref="H304"/>
    <mergeCell ref="H91"/>
    <mergeCell ref="H301"/>
    <mergeCell ref="H88"/>
    <mergeCell ref="H302"/>
    <mergeCell ref="H89"/>
    <mergeCell ref="H299"/>
    <mergeCell ref="H86"/>
    <mergeCell ref="H300"/>
    <mergeCell ref="H87"/>
    <mergeCell ref="H309"/>
    <mergeCell ref="H96"/>
    <mergeCell ref="H310"/>
    <mergeCell ref="H97"/>
    <mergeCell ref="H307"/>
    <mergeCell ref="H94"/>
    <mergeCell ref="H308"/>
    <mergeCell ref="H95"/>
    <mergeCell ref="H305"/>
    <mergeCell ref="H92"/>
    <mergeCell ref="H306"/>
    <mergeCell ref="H93"/>
    <mergeCell ref="H315"/>
    <mergeCell ref="H102"/>
    <mergeCell ref="H316"/>
    <mergeCell ref="H103"/>
    <mergeCell ref="H313"/>
    <mergeCell ref="H100"/>
    <mergeCell ref="H398"/>
    <mergeCell ref="H185"/>
    <mergeCell ref="H399"/>
    <mergeCell ref="H186"/>
    <mergeCell ref="H396"/>
    <mergeCell ref="H183"/>
    <mergeCell ref="H397"/>
    <mergeCell ref="H184"/>
    <mergeCell ref="H394"/>
    <mergeCell ref="H181"/>
    <mergeCell ref="H395"/>
    <mergeCell ref="H182"/>
    <mergeCell ref="H404"/>
    <mergeCell ref="H191"/>
    <mergeCell ref="H405"/>
    <mergeCell ref="H192"/>
    <mergeCell ref="H402"/>
    <mergeCell ref="H189"/>
    <mergeCell ref="H403"/>
    <mergeCell ref="H190"/>
    <mergeCell ref="H400"/>
    <mergeCell ref="H187"/>
    <mergeCell ref="H401"/>
    <mergeCell ref="H188"/>
    <mergeCell ref="H410"/>
    <mergeCell ref="H197"/>
    <mergeCell ref="H411"/>
    <mergeCell ref="H198"/>
    <mergeCell ref="H408"/>
    <mergeCell ref="H195"/>
    <mergeCell ref="H409"/>
    <mergeCell ref="H196"/>
    <mergeCell ref="H406"/>
    <mergeCell ref="H193"/>
    <mergeCell ref="H407"/>
    <mergeCell ref="H194"/>
    <mergeCell ref="H381"/>
    <mergeCell ref="H378"/>
    <mergeCell ref="H379"/>
    <mergeCell ref="H376"/>
    <mergeCell ref="H377"/>
    <mergeCell ref="H386"/>
    <mergeCell ref="H387"/>
    <mergeCell ref="H384"/>
    <mergeCell ref="H385"/>
    <mergeCell ref="H382"/>
    <mergeCell ref="H383"/>
    <mergeCell ref="H392"/>
    <mergeCell ref="H393"/>
    <mergeCell ref="H390"/>
    <mergeCell ref="H391"/>
    <mergeCell ref="H388"/>
    <mergeCell ref="H389"/>
    <mergeCell ref="H276"/>
    <mergeCell ref="H273"/>
    <mergeCell ref="H274"/>
    <mergeCell ref="H271"/>
    <mergeCell ref="H272"/>
    <mergeCell ref="H281"/>
    <mergeCell ref="H282"/>
    <mergeCell ref="H279"/>
    <mergeCell ref="H280"/>
    <mergeCell ref="H277"/>
    <mergeCell ref="H278"/>
    <mergeCell ref="I293"/>
    <mergeCell ref="I80"/>
    <mergeCell ref="I291"/>
    <mergeCell ref="I78"/>
    <mergeCell ref="I292"/>
    <mergeCell ref="I79"/>
    <mergeCell ref="I289"/>
    <mergeCell ref="I76"/>
    <mergeCell ref="I290"/>
    <mergeCell ref="I77"/>
    <mergeCell ref="H368"/>
    <mergeCell ref="H155"/>
    <mergeCell ref="H369"/>
    <mergeCell ref="H156"/>
    <mergeCell ref="H366"/>
    <mergeCell ref="H153"/>
    <mergeCell ref="H367"/>
    <mergeCell ref="H154"/>
    <mergeCell ref="H365"/>
    <mergeCell ref="H152"/>
    <mergeCell ref="H374"/>
    <mergeCell ref="H161"/>
    <mergeCell ref="H375"/>
    <mergeCell ref="H162"/>
    <mergeCell ref="H372"/>
    <mergeCell ref="H159"/>
    <mergeCell ref="H373"/>
    <mergeCell ref="H160"/>
    <mergeCell ref="H370"/>
    <mergeCell ref="H157"/>
    <mergeCell ref="H371"/>
    <mergeCell ref="H158"/>
    <mergeCell ref="H380"/>
    <mergeCell ref="H167"/>
    <mergeCell ref="H314"/>
    <mergeCell ref="H101"/>
    <mergeCell ref="H311"/>
    <mergeCell ref="H98"/>
    <mergeCell ref="H312"/>
    <mergeCell ref="H99"/>
    <mergeCell ref="H321"/>
    <mergeCell ref="H108"/>
    <mergeCell ref="H322"/>
    <mergeCell ref="H109"/>
    <mergeCell ref="H319"/>
    <mergeCell ref="H106"/>
    <mergeCell ref="H320"/>
    <mergeCell ref="H107"/>
    <mergeCell ref="H317"/>
    <mergeCell ref="H104"/>
    <mergeCell ref="H318"/>
    <mergeCell ref="H105"/>
    <mergeCell ref="H327"/>
    <mergeCell ref="H114"/>
    <mergeCell ref="H328"/>
    <mergeCell ref="H115"/>
    <mergeCell ref="H325"/>
    <mergeCell ref="H112"/>
    <mergeCell ref="H326"/>
    <mergeCell ref="H113"/>
    <mergeCell ref="H323"/>
    <mergeCell ref="H110"/>
    <mergeCell ref="H324"/>
    <mergeCell ref="H111"/>
    <mergeCell ref="I266"/>
    <mergeCell ref="I53"/>
    <mergeCell ref="I232"/>
    <mergeCell ref="I275"/>
    <mergeCell ref="I62"/>
    <mergeCell ref="I276"/>
    <mergeCell ref="I63"/>
    <mergeCell ref="I273"/>
    <mergeCell ref="I60"/>
    <mergeCell ref="I274"/>
    <mergeCell ref="I61"/>
    <mergeCell ref="I271"/>
    <mergeCell ref="I58"/>
    <mergeCell ref="I272"/>
    <mergeCell ref="I59"/>
    <mergeCell ref="I281"/>
    <mergeCell ref="I68"/>
    <mergeCell ref="I282"/>
    <mergeCell ref="I69"/>
    <mergeCell ref="I279"/>
    <mergeCell ref="I66"/>
    <mergeCell ref="I280"/>
    <mergeCell ref="I67"/>
    <mergeCell ref="I277"/>
    <mergeCell ref="I64"/>
    <mergeCell ref="I278"/>
    <mergeCell ref="I65"/>
    <mergeCell ref="I287"/>
    <mergeCell ref="I74"/>
    <mergeCell ref="I288"/>
    <mergeCell ref="I75"/>
    <mergeCell ref="I285"/>
    <mergeCell ref="I72"/>
    <mergeCell ref="I286"/>
    <mergeCell ref="I73"/>
    <mergeCell ref="I283"/>
    <mergeCell ref="I70"/>
    <mergeCell ref="I284"/>
    <mergeCell ref="I71"/>
    <mergeCell ref="I257"/>
    <mergeCell ref="I25"/>
    <mergeCell ref="I235"/>
    <mergeCell ref="I22"/>
    <mergeCell ref="I236"/>
    <mergeCell ref="I23"/>
    <mergeCell ref="I245"/>
    <mergeCell ref="I32"/>
    <mergeCell ref="I246"/>
    <mergeCell ref="I33"/>
    <mergeCell ref="I243"/>
    <mergeCell ref="I30"/>
    <mergeCell ref="I244"/>
    <mergeCell ref="I31"/>
    <mergeCell ref="I241"/>
    <mergeCell ref="I28"/>
    <mergeCell ref="I242"/>
    <mergeCell ref="I29"/>
    <mergeCell ref="I251"/>
    <mergeCell ref="I38"/>
    <mergeCell ref="I252"/>
    <mergeCell ref="I39"/>
    <mergeCell ref="I249"/>
    <mergeCell ref="I36"/>
    <mergeCell ref="I250"/>
    <mergeCell ref="I37"/>
    <mergeCell ref="I247"/>
    <mergeCell ref="I34"/>
    <mergeCell ref="I248"/>
    <mergeCell ref="I35"/>
    <mergeCell ref="I44"/>
    <mergeCell ref="I258"/>
    <mergeCell ref="I45"/>
    <mergeCell ref="I255"/>
    <mergeCell ref="I42"/>
    <mergeCell ref="I256"/>
    <mergeCell ref="I43"/>
    <mergeCell ref="I253"/>
    <mergeCell ref="I40"/>
    <mergeCell ref="I254"/>
    <mergeCell ref="I41"/>
    <mergeCell ref="I50"/>
    <mergeCell ref="I51"/>
    <mergeCell ref="I48"/>
    <mergeCell ref="I49"/>
    <mergeCell ref="I46"/>
    <mergeCell ref="I47"/>
    <mergeCell ref="I56"/>
    <mergeCell ref="I57"/>
    <mergeCell ref="I54"/>
    <mergeCell ref="I55"/>
    <mergeCell ref="I120"/>
    <mergeCell ref="I52"/>
    <mergeCell ref="I3"/>
    <mergeCell ref="I361"/>
    <mergeCell ref="I148"/>
    <mergeCell ref="I362"/>
    <mergeCell ref="I149"/>
    <mergeCell ref="I359"/>
    <mergeCell ref="I146"/>
    <mergeCell ref="I360"/>
    <mergeCell ref="I147"/>
    <mergeCell ref="I357"/>
    <mergeCell ref="I144"/>
    <mergeCell ref="I358"/>
    <mergeCell ref="I145"/>
    <mergeCell ref="I355"/>
    <mergeCell ref="I142"/>
    <mergeCell ref="I356"/>
    <mergeCell ref="I143"/>
    <mergeCell ref="I353"/>
    <mergeCell ref="I140"/>
    <mergeCell ref="I354"/>
    <mergeCell ref="I141"/>
    <mergeCell ref="I351"/>
    <mergeCell ref="I138"/>
    <mergeCell ref="I221"/>
    <mergeCell ref="I8"/>
    <mergeCell ref="I222"/>
    <mergeCell ref="I9"/>
    <mergeCell ref="I219"/>
    <mergeCell ref="I6"/>
    <mergeCell ref="I220"/>
    <mergeCell ref="I7"/>
    <mergeCell ref="I217"/>
    <mergeCell ref="I4"/>
    <mergeCell ref="I218"/>
    <mergeCell ref="I5"/>
    <mergeCell ref="I227"/>
    <mergeCell ref="I14"/>
    <mergeCell ref="I228"/>
    <mergeCell ref="I15"/>
    <mergeCell ref="I225"/>
    <mergeCell ref="I12"/>
    <mergeCell ref="I226"/>
    <mergeCell ref="I13"/>
    <mergeCell ref="I223"/>
    <mergeCell ref="I10"/>
    <mergeCell ref="I224"/>
    <mergeCell ref="I11"/>
    <mergeCell ref="I233"/>
    <mergeCell ref="I20"/>
    <mergeCell ref="I234"/>
    <mergeCell ref="I21"/>
    <mergeCell ref="I231"/>
    <mergeCell ref="I18"/>
    <mergeCell ref="I19"/>
    <mergeCell ref="I229"/>
    <mergeCell ref="I16"/>
    <mergeCell ref="I230"/>
    <mergeCell ref="I17"/>
    <mergeCell ref="I239"/>
    <mergeCell ref="I26"/>
    <mergeCell ref="I240"/>
    <mergeCell ref="I27"/>
    <mergeCell ref="I237"/>
    <mergeCell ref="I24"/>
    <mergeCell ref="I334"/>
    <mergeCell ref="I121"/>
    <mergeCell ref="I331"/>
    <mergeCell ref="I118"/>
    <mergeCell ref="I332"/>
    <mergeCell ref="I119"/>
    <mergeCell ref="I329"/>
    <mergeCell ref="I116"/>
    <mergeCell ref="I330"/>
    <mergeCell ref="I117"/>
    <mergeCell ref="I339"/>
    <mergeCell ref="I126"/>
    <mergeCell ref="I340"/>
    <mergeCell ref="I127"/>
    <mergeCell ref="I337"/>
    <mergeCell ref="I124"/>
    <mergeCell ref="I338"/>
    <mergeCell ref="I125"/>
    <mergeCell ref="I335"/>
    <mergeCell ref="I122"/>
    <mergeCell ref="I336"/>
    <mergeCell ref="I123"/>
    <mergeCell ref="I345"/>
    <mergeCell ref="I132"/>
    <mergeCell ref="I346"/>
    <mergeCell ref="I133"/>
    <mergeCell ref="I343"/>
    <mergeCell ref="I130"/>
    <mergeCell ref="I344"/>
    <mergeCell ref="I131"/>
    <mergeCell ref="I341"/>
    <mergeCell ref="I128"/>
    <mergeCell ref="I342"/>
    <mergeCell ref="I129"/>
    <mergeCell ref="I168"/>
    <mergeCell ref="I165"/>
    <mergeCell ref="I166"/>
    <mergeCell ref="I163"/>
    <mergeCell ref="I164"/>
    <mergeCell ref="I173"/>
    <mergeCell ref="I174"/>
    <mergeCell ref="I171"/>
    <mergeCell ref="I172"/>
    <mergeCell ref="I169"/>
    <mergeCell ref="I170"/>
    <mergeCell ref="I179"/>
    <mergeCell ref="I180"/>
    <mergeCell ref="I177"/>
    <mergeCell ref="I178"/>
    <mergeCell ref="I175"/>
    <mergeCell ref="I176"/>
    <mergeCell ref="I139"/>
    <mergeCell ref="I136"/>
    <mergeCell ref="I137"/>
    <mergeCell ref="I134"/>
    <mergeCell ref="I135"/>
    <mergeCell ref="I216"/>
    <mergeCell ref="I238"/>
    <mergeCell ref="I263"/>
    <mergeCell ref="I264"/>
    <mergeCell ref="I261"/>
    <mergeCell ref="I262"/>
    <mergeCell ref="I259"/>
    <mergeCell ref="I265"/>
    <mergeCell ref="I417"/>
    <mergeCell ref="I204"/>
    <mergeCell ref="I414"/>
    <mergeCell ref="I201"/>
    <mergeCell ref="I415"/>
    <mergeCell ref="I202"/>
    <mergeCell ref="I412"/>
    <mergeCell ref="I199"/>
    <mergeCell ref="I413"/>
    <mergeCell ref="I200"/>
    <mergeCell ref="I297"/>
    <mergeCell ref="I84"/>
    <mergeCell ref="I298"/>
    <mergeCell ref="I85"/>
    <mergeCell ref="I296"/>
    <mergeCell ref="I83"/>
    <mergeCell ref="I424"/>
    <mergeCell ref="I211"/>
    <mergeCell ref="I425"/>
    <mergeCell ref="I212"/>
    <mergeCell ref="I422"/>
    <mergeCell ref="I209"/>
    <mergeCell ref="I423"/>
    <mergeCell ref="I210"/>
    <mergeCell ref="I420"/>
    <mergeCell ref="I207"/>
    <mergeCell ref="I421"/>
    <mergeCell ref="I208"/>
    <mergeCell ref="I418"/>
    <mergeCell ref="I205"/>
    <mergeCell ref="I419"/>
    <mergeCell ref="I206"/>
    <mergeCell ref="I416"/>
    <mergeCell ref="I203"/>
    <mergeCell ref="I303"/>
    <mergeCell ref="I90"/>
    <mergeCell ref="I304"/>
    <mergeCell ref="I91"/>
    <mergeCell ref="I301"/>
    <mergeCell ref="I88"/>
    <mergeCell ref="I302"/>
    <mergeCell ref="I89"/>
    <mergeCell ref="I299"/>
    <mergeCell ref="I86"/>
    <mergeCell ref="I300"/>
    <mergeCell ref="I87"/>
    <mergeCell ref="I309"/>
    <mergeCell ref="I96"/>
    <mergeCell ref="I310"/>
    <mergeCell ref="I97"/>
    <mergeCell ref="I307"/>
    <mergeCell ref="I94"/>
    <mergeCell ref="I308"/>
    <mergeCell ref="I95"/>
    <mergeCell ref="I305"/>
    <mergeCell ref="I92"/>
    <mergeCell ref="I306"/>
    <mergeCell ref="I93"/>
    <mergeCell ref="I315"/>
    <mergeCell ref="I102"/>
    <mergeCell ref="I316"/>
    <mergeCell ref="I103"/>
    <mergeCell ref="I313"/>
    <mergeCell ref="I100"/>
    <mergeCell ref="I398"/>
    <mergeCell ref="I185"/>
    <mergeCell ref="I399"/>
    <mergeCell ref="I186"/>
    <mergeCell ref="I396"/>
    <mergeCell ref="I183"/>
    <mergeCell ref="I397"/>
    <mergeCell ref="I184"/>
    <mergeCell ref="I394"/>
    <mergeCell ref="I181"/>
    <mergeCell ref="I395"/>
    <mergeCell ref="I182"/>
    <mergeCell ref="I404"/>
    <mergeCell ref="I191"/>
    <mergeCell ref="I405"/>
    <mergeCell ref="I192"/>
    <mergeCell ref="I402"/>
    <mergeCell ref="I189"/>
    <mergeCell ref="I403"/>
    <mergeCell ref="I190"/>
    <mergeCell ref="I400"/>
    <mergeCell ref="I187"/>
    <mergeCell ref="I401"/>
    <mergeCell ref="I188"/>
    <mergeCell ref="I410"/>
    <mergeCell ref="I197"/>
    <mergeCell ref="I411"/>
    <mergeCell ref="I198"/>
    <mergeCell ref="I408"/>
    <mergeCell ref="I195"/>
    <mergeCell ref="I409"/>
    <mergeCell ref="I196"/>
    <mergeCell ref="I406"/>
    <mergeCell ref="I193"/>
    <mergeCell ref="I407"/>
    <mergeCell ref="I194"/>
    <mergeCell ref="I381"/>
    <mergeCell ref="I378"/>
    <mergeCell ref="I379"/>
    <mergeCell ref="I376"/>
    <mergeCell ref="I377"/>
    <mergeCell ref="I386"/>
    <mergeCell ref="I387"/>
    <mergeCell ref="I384"/>
    <mergeCell ref="I385"/>
    <mergeCell ref="I382"/>
    <mergeCell ref="I383"/>
    <mergeCell ref="I392"/>
    <mergeCell ref="I393"/>
    <mergeCell ref="I390"/>
    <mergeCell ref="I391"/>
    <mergeCell ref="I388"/>
    <mergeCell ref="I389"/>
    <mergeCell ref="I333"/>
    <mergeCell ref="I352"/>
    <mergeCell ref="I349"/>
    <mergeCell ref="I350"/>
    <mergeCell ref="I347"/>
    <mergeCell ref="I348"/>
    <mergeCell ref="I260"/>
    <mergeCell ref="I269"/>
    <mergeCell ref="I270"/>
    <mergeCell ref="I267"/>
    <mergeCell ref="I268"/>
    <mergeCell ref="J293"/>
    <mergeCell ref="J80"/>
    <mergeCell ref="J291"/>
    <mergeCell ref="J78"/>
    <mergeCell ref="J292"/>
    <mergeCell ref="J79"/>
    <mergeCell ref="J289"/>
    <mergeCell ref="J76"/>
    <mergeCell ref="J290"/>
    <mergeCell ref="J77"/>
    <mergeCell ref="I368"/>
    <mergeCell ref="I155"/>
    <mergeCell ref="I369"/>
    <mergeCell ref="I156"/>
    <mergeCell ref="I366"/>
    <mergeCell ref="I153"/>
    <mergeCell ref="I367"/>
    <mergeCell ref="I154"/>
    <mergeCell ref="I365"/>
    <mergeCell ref="I152"/>
    <mergeCell ref="I374"/>
    <mergeCell ref="I161"/>
    <mergeCell ref="I375"/>
    <mergeCell ref="I162"/>
    <mergeCell ref="I372"/>
    <mergeCell ref="I159"/>
    <mergeCell ref="I373"/>
    <mergeCell ref="I160"/>
    <mergeCell ref="I370"/>
    <mergeCell ref="I157"/>
    <mergeCell ref="I371"/>
    <mergeCell ref="I158"/>
    <mergeCell ref="I380"/>
    <mergeCell ref="I167"/>
    <mergeCell ref="I314"/>
    <mergeCell ref="I101"/>
    <mergeCell ref="I311"/>
    <mergeCell ref="I98"/>
    <mergeCell ref="I312"/>
    <mergeCell ref="I99"/>
    <mergeCell ref="I321"/>
    <mergeCell ref="I108"/>
    <mergeCell ref="I322"/>
    <mergeCell ref="I109"/>
    <mergeCell ref="I319"/>
    <mergeCell ref="I106"/>
    <mergeCell ref="I320"/>
    <mergeCell ref="I107"/>
    <mergeCell ref="I317"/>
    <mergeCell ref="I104"/>
    <mergeCell ref="I318"/>
    <mergeCell ref="I105"/>
    <mergeCell ref="I327"/>
    <mergeCell ref="I114"/>
    <mergeCell ref="I328"/>
    <mergeCell ref="I115"/>
    <mergeCell ref="I325"/>
    <mergeCell ref="I112"/>
    <mergeCell ref="I326"/>
    <mergeCell ref="I113"/>
    <mergeCell ref="I323"/>
    <mergeCell ref="I110"/>
    <mergeCell ref="I324"/>
    <mergeCell ref="I111"/>
    <mergeCell ref="J276"/>
    <mergeCell ref="J63"/>
    <mergeCell ref="J273"/>
    <mergeCell ref="J60"/>
    <mergeCell ref="J274"/>
    <mergeCell ref="J61"/>
    <mergeCell ref="J271"/>
    <mergeCell ref="J58"/>
    <mergeCell ref="J272"/>
    <mergeCell ref="J59"/>
    <mergeCell ref="J281"/>
    <mergeCell ref="J68"/>
    <mergeCell ref="J282"/>
    <mergeCell ref="J69"/>
    <mergeCell ref="J279"/>
    <mergeCell ref="J66"/>
    <mergeCell ref="J280"/>
    <mergeCell ref="J67"/>
    <mergeCell ref="J277"/>
    <mergeCell ref="J64"/>
    <mergeCell ref="J278"/>
    <mergeCell ref="J65"/>
    <mergeCell ref="J287"/>
    <mergeCell ref="J74"/>
    <mergeCell ref="J288"/>
    <mergeCell ref="J75"/>
    <mergeCell ref="J285"/>
    <mergeCell ref="J72"/>
    <mergeCell ref="J286"/>
    <mergeCell ref="J73"/>
    <mergeCell ref="J283"/>
    <mergeCell ref="J70"/>
    <mergeCell ref="J284"/>
    <mergeCell ref="J71"/>
    <mergeCell ref="J257"/>
    <mergeCell ref="J25"/>
    <mergeCell ref="J235"/>
    <mergeCell ref="J22"/>
    <mergeCell ref="J236"/>
    <mergeCell ref="J23"/>
    <mergeCell ref="J245"/>
    <mergeCell ref="J32"/>
    <mergeCell ref="J246"/>
    <mergeCell ref="J33"/>
    <mergeCell ref="J243"/>
    <mergeCell ref="J30"/>
    <mergeCell ref="J244"/>
    <mergeCell ref="J31"/>
    <mergeCell ref="J241"/>
    <mergeCell ref="J28"/>
    <mergeCell ref="J242"/>
    <mergeCell ref="J29"/>
    <mergeCell ref="J251"/>
    <mergeCell ref="J38"/>
    <mergeCell ref="J252"/>
    <mergeCell ref="J39"/>
    <mergeCell ref="J249"/>
    <mergeCell ref="J36"/>
    <mergeCell ref="J250"/>
    <mergeCell ref="J37"/>
    <mergeCell ref="J247"/>
    <mergeCell ref="J34"/>
    <mergeCell ref="J248"/>
    <mergeCell ref="J35"/>
    <mergeCell ref="J120"/>
    <mergeCell ref="J44"/>
    <mergeCell ref="J258"/>
    <mergeCell ref="J45"/>
    <mergeCell ref="J255"/>
    <mergeCell ref="J42"/>
    <mergeCell ref="J256"/>
    <mergeCell ref="J43"/>
    <mergeCell ref="J253"/>
    <mergeCell ref="J40"/>
    <mergeCell ref="J254"/>
    <mergeCell ref="J41"/>
    <mergeCell ref="J50"/>
    <mergeCell ref="J51"/>
    <mergeCell ref="J48"/>
    <mergeCell ref="J49"/>
    <mergeCell ref="J46"/>
    <mergeCell ref="J47"/>
    <mergeCell ref="J56"/>
    <mergeCell ref="J57"/>
    <mergeCell ref="J54"/>
    <mergeCell ref="J55"/>
    <mergeCell ref="J52"/>
    <mergeCell ref="J53"/>
    <mergeCell ref="J232"/>
    <mergeCell ref="J121"/>
    <mergeCell ref="J62"/>
    <mergeCell ref="J3"/>
    <mergeCell ref="J361"/>
    <mergeCell ref="J148"/>
    <mergeCell ref="J362"/>
    <mergeCell ref="J149"/>
    <mergeCell ref="J359"/>
    <mergeCell ref="J146"/>
    <mergeCell ref="J360"/>
    <mergeCell ref="J147"/>
    <mergeCell ref="J357"/>
    <mergeCell ref="J144"/>
    <mergeCell ref="J358"/>
    <mergeCell ref="J145"/>
    <mergeCell ref="J355"/>
    <mergeCell ref="J142"/>
    <mergeCell ref="J356"/>
    <mergeCell ref="J143"/>
    <mergeCell ref="J353"/>
    <mergeCell ref="J140"/>
    <mergeCell ref="J354"/>
    <mergeCell ref="J141"/>
    <mergeCell ref="J351"/>
    <mergeCell ref="J138"/>
    <mergeCell ref="J221"/>
    <mergeCell ref="J8"/>
    <mergeCell ref="J222"/>
    <mergeCell ref="J9"/>
    <mergeCell ref="J219"/>
    <mergeCell ref="J6"/>
    <mergeCell ref="J220"/>
    <mergeCell ref="J7"/>
    <mergeCell ref="J217"/>
    <mergeCell ref="J4"/>
    <mergeCell ref="J218"/>
    <mergeCell ref="J5"/>
    <mergeCell ref="J227"/>
    <mergeCell ref="J14"/>
    <mergeCell ref="J228"/>
    <mergeCell ref="J15"/>
    <mergeCell ref="J225"/>
    <mergeCell ref="J12"/>
    <mergeCell ref="J226"/>
    <mergeCell ref="J13"/>
    <mergeCell ref="J223"/>
    <mergeCell ref="J10"/>
    <mergeCell ref="J224"/>
    <mergeCell ref="J11"/>
    <mergeCell ref="J233"/>
    <mergeCell ref="J20"/>
    <mergeCell ref="J234"/>
    <mergeCell ref="J21"/>
    <mergeCell ref="J231"/>
    <mergeCell ref="J18"/>
    <mergeCell ref="J19"/>
    <mergeCell ref="J229"/>
    <mergeCell ref="J16"/>
    <mergeCell ref="J230"/>
    <mergeCell ref="J17"/>
    <mergeCell ref="J239"/>
    <mergeCell ref="J26"/>
    <mergeCell ref="J240"/>
    <mergeCell ref="J27"/>
    <mergeCell ref="J237"/>
    <mergeCell ref="J24"/>
    <mergeCell ref="J331"/>
    <mergeCell ref="J118"/>
    <mergeCell ref="J332"/>
    <mergeCell ref="J119"/>
    <mergeCell ref="J329"/>
    <mergeCell ref="J116"/>
    <mergeCell ref="J330"/>
    <mergeCell ref="J117"/>
    <mergeCell ref="J339"/>
    <mergeCell ref="J126"/>
    <mergeCell ref="J340"/>
    <mergeCell ref="J127"/>
    <mergeCell ref="J337"/>
    <mergeCell ref="J124"/>
    <mergeCell ref="J338"/>
    <mergeCell ref="J125"/>
    <mergeCell ref="J335"/>
    <mergeCell ref="J122"/>
    <mergeCell ref="J336"/>
    <mergeCell ref="J123"/>
    <mergeCell ref="J345"/>
    <mergeCell ref="J132"/>
    <mergeCell ref="J346"/>
    <mergeCell ref="J133"/>
    <mergeCell ref="J343"/>
    <mergeCell ref="J130"/>
    <mergeCell ref="J344"/>
    <mergeCell ref="J131"/>
    <mergeCell ref="J341"/>
    <mergeCell ref="J128"/>
    <mergeCell ref="J342"/>
    <mergeCell ref="J129"/>
    <mergeCell ref="J168"/>
    <mergeCell ref="J165"/>
    <mergeCell ref="J166"/>
    <mergeCell ref="J163"/>
    <mergeCell ref="J164"/>
    <mergeCell ref="J173"/>
    <mergeCell ref="J174"/>
    <mergeCell ref="J171"/>
    <mergeCell ref="J172"/>
    <mergeCell ref="J169"/>
    <mergeCell ref="J170"/>
    <mergeCell ref="J179"/>
    <mergeCell ref="J180"/>
    <mergeCell ref="J177"/>
    <mergeCell ref="J178"/>
    <mergeCell ref="J175"/>
    <mergeCell ref="J176"/>
    <mergeCell ref="J139"/>
    <mergeCell ref="J136"/>
    <mergeCell ref="J137"/>
    <mergeCell ref="J134"/>
    <mergeCell ref="J135"/>
    <mergeCell ref="J216"/>
    <mergeCell ref="J238"/>
    <mergeCell ref="J263"/>
    <mergeCell ref="J264"/>
    <mergeCell ref="J261"/>
    <mergeCell ref="J262"/>
    <mergeCell ref="J259"/>
    <mergeCell ref="J260"/>
    <mergeCell ref="J269"/>
    <mergeCell ref="J275"/>
    <mergeCell ref="J417"/>
    <mergeCell ref="J204"/>
    <mergeCell ref="J414"/>
    <mergeCell ref="J201"/>
    <mergeCell ref="J415"/>
    <mergeCell ref="J202"/>
    <mergeCell ref="J412"/>
    <mergeCell ref="J199"/>
    <mergeCell ref="J413"/>
    <mergeCell ref="J200"/>
    <mergeCell ref="J297"/>
    <mergeCell ref="J84"/>
    <mergeCell ref="J298"/>
    <mergeCell ref="J85"/>
    <mergeCell ref="J296"/>
    <mergeCell ref="J83"/>
    <mergeCell ref="J424"/>
    <mergeCell ref="J211"/>
    <mergeCell ref="J425"/>
    <mergeCell ref="J212"/>
    <mergeCell ref="J422"/>
    <mergeCell ref="J209"/>
    <mergeCell ref="J423"/>
    <mergeCell ref="J210"/>
    <mergeCell ref="J420"/>
    <mergeCell ref="J207"/>
    <mergeCell ref="J421"/>
    <mergeCell ref="J208"/>
    <mergeCell ref="J418"/>
    <mergeCell ref="J205"/>
    <mergeCell ref="J419"/>
    <mergeCell ref="J206"/>
    <mergeCell ref="J416"/>
    <mergeCell ref="J203"/>
    <mergeCell ref="J303"/>
    <mergeCell ref="J90"/>
    <mergeCell ref="J304"/>
    <mergeCell ref="J91"/>
    <mergeCell ref="J301"/>
    <mergeCell ref="J88"/>
    <mergeCell ref="J302"/>
    <mergeCell ref="J89"/>
    <mergeCell ref="J299"/>
    <mergeCell ref="J86"/>
    <mergeCell ref="J300"/>
    <mergeCell ref="J87"/>
    <mergeCell ref="J309"/>
    <mergeCell ref="J96"/>
    <mergeCell ref="J310"/>
    <mergeCell ref="J97"/>
    <mergeCell ref="J307"/>
    <mergeCell ref="J94"/>
    <mergeCell ref="J308"/>
    <mergeCell ref="J95"/>
    <mergeCell ref="J305"/>
    <mergeCell ref="J92"/>
    <mergeCell ref="J306"/>
    <mergeCell ref="J93"/>
    <mergeCell ref="J315"/>
    <mergeCell ref="J102"/>
    <mergeCell ref="J316"/>
    <mergeCell ref="J103"/>
    <mergeCell ref="J313"/>
    <mergeCell ref="J100"/>
    <mergeCell ref="J398"/>
    <mergeCell ref="J185"/>
    <mergeCell ref="J399"/>
    <mergeCell ref="J186"/>
    <mergeCell ref="J396"/>
    <mergeCell ref="J183"/>
    <mergeCell ref="J397"/>
    <mergeCell ref="J184"/>
    <mergeCell ref="J394"/>
    <mergeCell ref="J181"/>
    <mergeCell ref="J395"/>
    <mergeCell ref="J182"/>
    <mergeCell ref="J404"/>
    <mergeCell ref="J191"/>
    <mergeCell ref="J405"/>
    <mergeCell ref="J192"/>
    <mergeCell ref="J402"/>
    <mergeCell ref="J189"/>
    <mergeCell ref="J403"/>
    <mergeCell ref="J190"/>
    <mergeCell ref="J400"/>
    <mergeCell ref="J187"/>
    <mergeCell ref="J401"/>
    <mergeCell ref="J188"/>
    <mergeCell ref="J410"/>
    <mergeCell ref="J197"/>
    <mergeCell ref="J411"/>
    <mergeCell ref="J198"/>
    <mergeCell ref="J408"/>
    <mergeCell ref="J195"/>
    <mergeCell ref="J409"/>
    <mergeCell ref="J196"/>
    <mergeCell ref="J406"/>
    <mergeCell ref="J193"/>
    <mergeCell ref="J407"/>
    <mergeCell ref="J194"/>
    <mergeCell ref="J381"/>
    <mergeCell ref="J378"/>
    <mergeCell ref="J379"/>
    <mergeCell ref="J376"/>
    <mergeCell ref="J377"/>
    <mergeCell ref="J386"/>
    <mergeCell ref="J387"/>
    <mergeCell ref="J384"/>
    <mergeCell ref="J385"/>
    <mergeCell ref="J382"/>
    <mergeCell ref="J383"/>
    <mergeCell ref="J392"/>
    <mergeCell ref="J393"/>
    <mergeCell ref="J390"/>
    <mergeCell ref="J391"/>
    <mergeCell ref="J388"/>
    <mergeCell ref="J389"/>
    <mergeCell ref="J334"/>
    <mergeCell ref="J352"/>
    <mergeCell ref="J349"/>
    <mergeCell ref="J350"/>
    <mergeCell ref="J347"/>
    <mergeCell ref="J348"/>
    <mergeCell ref="J270"/>
    <mergeCell ref="J267"/>
    <mergeCell ref="J268"/>
    <mergeCell ref="J265"/>
    <mergeCell ref="J266"/>
    <mergeCell ref="K293"/>
    <mergeCell ref="K80"/>
    <mergeCell ref="K292"/>
    <mergeCell ref="K79"/>
    <mergeCell ref="K291"/>
    <mergeCell ref="K78"/>
    <mergeCell ref="J368"/>
    <mergeCell ref="J155"/>
    <mergeCell ref="J369"/>
    <mergeCell ref="J156"/>
    <mergeCell ref="J366"/>
    <mergeCell ref="J153"/>
    <mergeCell ref="J367"/>
    <mergeCell ref="J154"/>
    <mergeCell ref="J365"/>
    <mergeCell ref="J152"/>
    <mergeCell ref="J374"/>
    <mergeCell ref="J161"/>
    <mergeCell ref="J375"/>
    <mergeCell ref="J162"/>
    <mergeCell ref="J372"/>
    <mergeCell ref="J159"/>
    <mergeCell ref="J373"/>
    <mergeCell ref="J160"/>
    <mergeCell ref="J370"/>
    <mergeCell ref="J157"/>
    <mergeCell ref="J371"/>
    <mergeCell ref="J158"/>
    <mergeCell ref="J380"/>
    <mergeCell ref="J167"/>
    <mergeCell ref="J314"/>
    <mergeCell ref="J101"/>
    <mergeCell ref="J311"/>
    <mergeCell ref="J98"/>
    <mergeCell ref="J312"/>
    <mergeCell ref="J99"/>
    <mergeCell ref="J321"/>
    <mergeCell ref="J108"/>
    <mergeCell ref="J322"/>
    <mergeCell ref="J109"/>
    <mergeCell ref="J319"/>
    <mergeCell ref="J106"/>
    <mergeCell ref="J320"/>
    <mergeCell ref="J107"/>
    <mergeCell ref="J317"/>
    <mergeCell ref="J104"/>
    <mergeCell ref="J318"/>
    <mergeCell ref="J105"/>
    <mergeCell ref="J327"/>
    <mergeCell ref="J114"/>
    <mergeCell ref="J328"/>
    <mergeCell ref="J115"/>
    <mergeCell ref="J325"/>
    <mergeCell ref="J112"/>
    <mergeCell ref="J326"/>
    <mergeCell ref="J113"/>
    <mergeCell ref="J323"/>
    <mergeCell ref="J110"/>
    <mergeCell ref="J324"/>
    <mergeCell ref="J111"/>
    <mergeCell ref="J333"/>
    <mergeCell ref="K281"/>
    <mergeCell ref="K362"/>
    <mergeCell ref="K361"/>
    <mergeCell ref="K280"/>
    <mergeCell ref="K67"/>
    <mergeCell ref="K279"/>
    <mergeCell ref="K66"/>
    <mergeCell ref="K284"/>
    <mergeCell ref="K71"/>
    <mergeCell ref="K283"/>
    <mergeCell ref="K70"/>
    <mergeCell ref="K282"/>
    <mergeCell ref="K69"/>
    <mergeCell ref="K287"/>
    <mergeCell ref="K74"/>
    <mergeCell ref="K286"/>
    <mergeCell ref="K73"/>
    <mergeCell ref="K285"/>
    <mergeCell ref="K72"/>
    <mergeCell ref="K290"/>
    <mergeCell ref="K77"/>
    <mergeCell ref="K289"/>
    <mergeCell ref="K76"/>
    <mergeCell ref="K288"/>
    <mergeCell ref="K75"/>
    <mergeCell ref="K269"/>
    <mergeCell ref="K56"/>
    <mergeCell ref="K268"/>
    <mergeCell ref="K55"/>
    <mergeCell ref="K267"/>
    <mergeCell ref="K54"/>
    <mergeCell ref="K272"/>
    <mergeCell ref="K59"/>
    <mergeCell ref="K271"/>
    <mergeCell ref="K58"/>
    <mergeCell ref="K270"/>
    <mergeCell ref="K57"/>
    <mergeCell ref="K275"/>
    <mergeCell ref="K62"/>
    <mergeCell ref="K274"/>
    <mergeCell ref="K61"/>
    <mergeCell ref="K273"/>
    <mergeCell ref="K60"/>
    <mergeCell ref="K278"/>
    <mergeCell ref="K65"/>
    <mergeCell ref="K277"/>
    <mergeCell ref="K64"/>
    <mergeCell ref="K276"/>
    <mergeCell ref="K63"/>
    <mergeCell ref="K257"/>
    <mergeCell ref="K44"/>
    <mergeCell ref="K256"/>
    <mergeCell ref="K43"/>
    <mergeCell ref="K255"/>
    <mergeCell ref="K42"/>
    <mergeCell ref="K260"/>
    <mergeCell ref="K47"/>
    <mergeCell ref="K259"/>
    <mergeCell ref="K46"/>
    <mergeCell ref="K258"/>
    <mergeCell ref="K45"/>
    <mergeCell ref="K263"/>
    <mergeCell ref="K50"/>
    <mergeCell ref="K262"/>
    <mergeCell ref="K49"/>
    <mergeCell ref="K261"/>
    <mergeCell ref="K48"/>
    <mergeCell ref="K266"/>
    <mergeCell ref="K53"/>
    <mergeCell ref="K265"/>
    <mergeCell ref="K52"/>
    <mergeCell ref="K264"/>
    <mergeCell ref="K51"/>
    <mergeCell ref="K241"/>
    <mergeCell ref="K28"/>
    <mergeCell ref="K240"/>
    <mergeCell ref="K27"/>
    <mergeCell ref="K245"/>
    <mergeCell ref="K32"/>
    <mergeCell ref="K244"/>
    <mergeCell ref="K31"/>
    <mergeCell ref="K243"/>
    <mergeCell ref="K30"/>
    <mergeCell ref="K248"/>
    <mergeCell ref="K35"/>
    <mergeCell ref="K247"/>
    <mergeCell ref="K34"/>
    <mergeCell ref="K246"/>
    <mergeCell ref="K33"/>
    <mergeCell ref="K251"/>
    <mergeCell ref="K38"/>
    <mergeCell ref="K250"/>
    <mergeCell ref="K37"/>
    <mergeCell ref="K249"/>
    <mergeCell ref="K36"/>
    <mergeCell ref="K254"/>
    <mergeCell ref="K41"/>
    <mergeCell ref="K253"/>
    <mergeCell ref="K40"/>
    <mergeCell ref="K252"/>
    <mergeCell ref="K39"/>
    <mergeCell ref="K216"/>
    <mergeCell ref="K112"/>
    <mergeCell ref="K68"/>
    <mergeCell ref="K3"/>
    <mergeCell ref="K221"/>
    <mergeCell ref="K8"/>
    <mergeCell ref="K220"/>
    <mergeCell ref="K7"/>
    <mergeCell ref="K219"/>
    <mergeCell ref="K6"/>
    <mergeCell ref="K224"/>
    <mergeCell ref="K11"/>
    <mergeCell ref="K223"/>
    <mergeCell ref="K10"/>
    <mergeCell ref="K222"/>
    <mergeCell ref="K9"/>
    <mergeCell ref="K227"/>
    <mergeCell ref="K14"/>
    <mergeCell ref="K226"/>
    <mergeCell ref="K13"/>
    <mergeCell ref="K225"/>
    <mergeCell ref="K12"/>
    <mergeCell ref="K230"/>
    <mergeCell ref="K17"/>
    <mergeCell ref="K229"/>
    <mergeCell ref="K16"/>
    <mergeCell ref="K228"/>
    <mergeCell ref="K15"/>
    <mergeCell ref="K356"/>
    <mergeCell ref="K143"/>
    <mergeCell ref="K355"/>
    <mergeCell ref="K142"/>
    <mergeCell ref="K354"/>
    <mergeCell ref="K141"/>
    <mergeCell ref="K359"/>
    <mergeCell ref="K146"/>
    <mergeCell ref="K358"/>
    <mergeCell ref="K145"/>
    <mergeCell ref="K357"/>
    <mergeCell ref="K144"/>
    <mergeCell ref="K149"/>
    <mergeCell ref="K148"/>
    <mergeCell ref="K337"/>
    <mergeCell ref="K124"/>
    <mergeCell ref="K336"/>
    <mergeCell ref="K123"/>
    <mergeCell ref="K341"/>
    <mergeCell ref="K128"/>
    <mergeCell ref="K340"/>
    <mergeCell ref="K127"/>
    <mergeCell ref="K339"/>
    <mergeCell ref="K126"/>
    <mergeCell ref="K320"/>
    <mergeCell ref="K107"/>
    <mergeCell ref="K319"/>
    <mergeCell ref="K106"/>
    <mergeCell ref="K318"/>
    <mergeCell ref="K105"/>
    <mergeCell ref="K323"/>
    <mergeCell ref="K110"/>
    <mergeCell ref="K322"/>
    <mergeCell ref="K109"/>
    <mergeCell ref="K321"/>
    <mergeCell ref="K108"/>
    <mergeCell ref="K326"/>
    <mergeCell ref="K113"/>
    <mergeCell ref="K325"/>
    <mergeCell ref="K360"/>
    <mergeCell ref="K147"/>
    <mergeCell ref="K218"/>
    <mergeCell ref="K5"/>
    <mergeCell ref="K217"/>
    <mergeCell ref="K4"/>
    <mergeCell ref="K233"/>
    <mergeCell ref="K20"/>
    <mergeCell ref="K232"/>
    <mergeCell ref="K19"/>
    <mergeCell ref="K231"/>
    <mergeCell ref="K18"/>
    <mergeCell ref="K236"/>
    <mergeCell ref="K23"/>
    <mergeCell ref="K235"/>
    <mergeCell ref="K22"/>
    <mergeCell ref="K234"/>
    <mergeCell ref="K21"/>
    <mergeCell ref="K239"/>
    <mergeCell ref="K26"/>
    <mergeCell ref="K238"/>
    <mergeCell ref="K25"/>
    <mergeCell ref="K237"/>
    <mergeCell ref="K24"/>
    <mergeCell ref="K242"/>
    <mergeCell ref="K29"/>
    <mergeCell ref="K344"/>
    <mergeCell ref="K131"/>
    <mergeCell ref="K343"/>
    <mergeCell ref="K130"/>
    <mergeCell ref="K342"/>
    <mergeCell ref="K129"/>
    <mergeCell ref="K347"/>
    <mergeCell ref="K134"/>
    <mergeCell ref="K346"/>
    <mergeCell ref="K133"/>
    <mergeCell ref="K345"/>
    <mergeCell ref="K132"/>
    <mergeCell ref="K350"/>
    <mergeCell ref="K137"/>
    <mergeCell ref="K349"/>
    <mergeCell ref="K136"/>
    <mergeCell ref="K348"/>
    <mergeCell ref="K135"/>
    <mergeCell ref="K353"/>
    <mergeCell ref="K140"/>
    <mergeCell ref="K352"/>
    <mergeCell ref="K139"/>
    <mergeCell ref="K351"/>
    <mergeCell ref="K138"/>
    <mergeCell ref="K332"/>
    <mergeCell ref="K119"/>
    <mergeCell ref="K331"/>
    <mergeCell ref="K118"/>
    <mergeCell ref="K330"/>
    <mergeCell ref="K117"/>
    <mergeCell ref="K335"/>
    <mergeCell ref="K122"/>
    <mergeCell ref="K334"/>
    <mergeCell ref="K121"/>
    <mergeCell ref="K333"/>
    <mergeCell ref="K120"/>
    <mergeCell ref="K338"/>
    <mergeCell ref="K125"/>
    <mergeCell ref="K406"/>
    <mergeCell ref="K193"/>
    <mergeCell ref="K405"/>
    <mergeCell ref="K192"/>
    <mergeCell ref="K404"/>
    <mergeCell ref="K191"/>
    <mergeCell ref="K409"/>
    <mergeCell ref="K196"/>
    <mergeCell ref="K408"/>
    <mergeCell ref="K195"/>
    <mergeCell ref="K407"/>
    <mergeCell ref="K194"/>
    <mergeCell ref="K412"/>
    <mergeCell ref="K199"/>
    <mergeCell ref="K411"/>
    <mergeCell ref="K198"/>
    <mergeCell ref="K324"/>
    <mergeCell ref="K111"/>
    <mergeCell ref="K329"/>
    <mergeCell ref="K116"/>
    <mergeCell ref="K328"/>
    <mergeCell ref="K115"/>
    <mergeCell ref="K327"/>
    <mergeCell ref="K114"/>
    <mergeCell ref="K304"/>
    <mergeCell ref="K91"/>
    <mergeCell ref="K303"/>
    <mergeCell ref="K90"/>
    <mergeCell ref="K308"/>
    <mergeCell ref="K95"/>
    <mergeCell ref="K307"/>
    <mergeCell ref="K94"/>
    <mergeCell ref="K306"/>
    <mergeCell ref="K93"/>
    <mergeCell ref="K311"/>
    <mergeCell ref="K98"/>
    <mergeCell ref="K310"/>
    <mergeCell ref="K97"/>
    <mergeCell ref="K309"/>
    <mergeCell ref="K96"/>
    <mergeCell ref="K314"/>
    <mergeCell ref="K101"/>
    <mergeCell ref="K313"/>
    <mergeCell ref="K100"/>
    <mergeCell ref="K312"/>
    <mergeCell ref="K99"/>
    <mergeCell ref="K317"/>
    <mergeCell ref="K104"/>
    <mergeCell ref="K316"/>
    <mergeCell ref="K103"/>
    <mergeCell ref="K315"/>
    <mergeCell ref="K102"/>
    <mergeCell ref="K154"/>
    <mergeCell ref="K153"/>
    <mergeCell ref="K152"/>
    <mergeCell ref="K157"/>
    <mergeCell ref="K156"/>
    <mergeCell ref="K155"/>
    <mergeCell ref="K160"/>
    <mergeCell ref="K159"/>
    <mergeCell ref="K158"/>
    <mergeCell ref="K163"/>
    <mergeCell ref="K162"/>
    <mergeCell ref="K161"/>
    <mergeCell ref="K387"/>
    <mergeCell ref="K174"/>
    <mergeCell ref="K386"/>
    <mergeCell ref="K173"/>
    <mergeCell ref="K367"/>
    <mergeCell ref="K366"/>
    <mergeCell ref="K365"/>
    <mergeCell ref="K370"/>
    <mergeCell ref="K369"/>
    <mergeCell ref="K368"/>
    <mergeCell ref="K373"/>
    <mergeCell ref="K372"/>
    <mergeCell ref="K371"/>
    <mergeCell ref="K376"/>
    <mergeCell ref="K375"/>
    <mergeCell ref="K374"/>
    <mergeCell ref="K415"/>
    <mergeCell ref="K202"/>
    <mergeCell ref="K414"/>
    <mergeCell ref="K201"/>
    <mergeCell ref="K413"/>
    <mergeCell ref="K200"/>
    <mergeCell ref="K418"/>
    <mergeCell ref="K205"/>
    <mergeCell ref="K417"/>
    <mergeCell ref="K204"/>
    <mergeCell ref="K416"/>
    <mergeCell ref="K203"/>
    <mergeCell ref="K296"/>
    <mergeCell ref="K83"/>
    <mergeCell ref="K425"/>
    <mergeCell ref="K212"/>
    <mergeCell ref="K424"/>
    <mergeCell ref="K211"/>
    <mergeCell ref="K423"/>
    <mergeCell ref="K210"/>
    <mergeCell ref="K422"/>
    <mergeCell ref="K209"/>
    <mergeCell ref="K421"/>
    <mergeCell ref="K208"/>
    <mergeCell ref="K420"/>
    <mergeCell ref="K207"/>
    <mergeCell ref="K419"/>
    <mergeCell ref="K206"/>
    <mergeCell ref="K299"/>
    <mergeCell ref="K86"/>
    <mergeCell ref="K298"/>
    <mergeCell ref="K85"/>
    <mergeCell ref="K297"/>
    <mergeCell ref="K84"/>
    <mergeCell ref="K302"/>
    <mergeCell ref="K89"/>
    <mergeCell ref="K301"/>
    <mergeCell ref="K88"/>
    <mergeCell ref="K300"/>
    <mergeCell ref="K87"/>
    <mergeCell ref="K305"/>
    <mergeCell ref="K92"/>
    <mergeCell ref="K403"/>
    <mergeCell ref="K190"/>
    <mergeCell ref="K402"/>
    <mergeCell ref="K189"/>
    <mergeCell ref="K401"/>
    <mergeCell ref="K188"/>
    <mergeCell ref="L62"/>
    <mergeCell ref="L274"/>
    <mergeCell ref="L61"/>
    <mergeCell ref="L273"/>
    <mergeCell ref="L60"/>
    <mergeCell ref="L278"/>
    <mergeCell ref="L65"/>
    <mergeCell ref="L277"/>
    <mergeCell ref="L64"/>
    <mergeCell ref="L276"/>
    <mergeCell ref="L63"/>
    <mergeCell ref="L281"/>
    <mergeCell ref="L68"/>
    <mergeCell ref="L280"/>
    <mergeCell ref="L67"/>
    <mergeCell ref="L279"/>
    <mergeCell ref="L66"/>
    <mergeCell ref="L260"/>
    <mergeCell ref="K410"/>
    <mergeCell ref="K197"/>
    <mergeCell ref="K391"/>
    <mergeCell ref="K178"/>
    <mergeCell ref="K390"/>
    <mergeCell ref="K177"/>
    <mergeCell ref="K389"/>
    <mergeCell ref="K176"/>
    <mergeCell ref="K394"/>
    <mergeCell ref="K181"/>
    <mergeCell ref="K393"/>
    <mergeCell ref="K180"/>
    <mergeCell ref="K392"/>
    <mergeCell ref="K179"/>
    <mergeCell ref="K397"/>
    <mergeCell ref="K184"/>
    <mergeCell ref="K396"/>
    <mergeCell ref="K183"/>
    <mergeCell ref="K395"/>
    <mergeCell ref="K182"/>
    <mergeCell ref="K400"/>
    <mergeCell ref="K187"/>
    <mergeCell ref="K399"/>
    <mergeCell ref="K186"/>
    <mergeCell ref="K398"/>
    <mergeCell ref="K185"/>
    <mergeCell ref="K379"/>
    <mergeCell ref="K166"/>
    <mergeCell ref="K378"/>
    <mergeCell ref="K165"/>
    <mergeCell ref="K377"/>
    <mergeCell ref="K164"/>
    <mergeCell ref="K382"/>
    <mergeCell ref="K169"/>
    <mergeCell ref="K381"/>
    <mergeCell ref="K168"/>
    <mergeCell ref="K380"/>
    <mergeCell ref="K167"/>
    <mergeCell ref="K385"/>
    <mergeCell ref="K172"/>
    <mergeCell ref="K384"/>
    <mergeCell ref="K171"/>
    <mergeCell ref="K383"/>
    <mergeCell ref="K170"/>
    <mergeCell ref="K388"/>
    <mergeCell ref="K175"/>
    <mergeCell ref="L47"/>
    <mergeCell ref="L259"/>
    <mergeCell ref="L46"/>
    <mergeCell ref="L258"/>
    <mergeCell ref="L45"/>
    <mergeCell ref="L263"/>
    <mergeCell ref="L50"/>
    <mergeCell ref="L262"/>
    <mergeCell ref="L49"/>
    <mergeCell ref="L261"/>
    <mergeCell ref="L48"/>
    <mergeCell ref="L266"/>
    <mergeCell ref="L53"/>
    <mergeCell ref="L265"/>
    <mergeCell ref="L52"/>
    <mergeCell ref="L264"/>
    <mergeCell ref="L51"/>
    <mergeCell ref="L269"/>
    <mergeCell ref="L56"/>
    <mergeCell ref="L268"/>
    <mergeCell ref="L55"/>
    <mergeCell ref="L267"/>
    <mergeCell ref="L54"/>
    <mergeCell ref="L248"/>
    <mergeCell ref="L35"/>
    <mergeCell ref="L247"/>
    <mergeCell ref="L34"/>
    <mergeCell ref="L246"/>
    <mergeCell ref="L33"/>
    <mergeCell ref="L251"/>
    <mergeCell ref="L38"/>
    <mergeCell ref="L250"/>
    <mergeCell ref="L37"/>
    <mergeCell ref="L249"/>
    <mergeCell ref="L36"/>
    <mergeCell ref="L254"/>
    <mergeCell ref="L41"/>
    <mergeCell ref="L253"/>
    <mergeCell ref="L40"/>
    <mergeCell ref="L252"/>
    <mergeCell ref="L39"/>
    <mergeCell ref="L257"/>
    <mergeCell ref="L44"/>
    <mergeCell ref="L256"/>
    <mergeCell ref="L43"/>
    <mergeCell ref="L255"/>
    <mergeCell ref="L42"/>
    <mergeCell ref="L236"/>
    <mergeCell ref="L118"/>
    <mergeCell ref="L71"/>
    <mergeCell ref="L70"/>
    <mergeCell ref="L69"/>
    <mergeCell ref="L74"/>
    <mergeCell ref="L73"/>
    <mergeCell ref="L72"/>
    <mergeCell ref="L77"/>
    <mergeCell ref="L76"/>
    <mergeCell ref="L75"/>
    <mergeCell ref="L80"/>
    <mergeCell ref="L79"/>
    <mergeCell ref="L78"/>
    <mergeCell ref="L59"/>
    <mergeCell ref="L58"/>
    <mergeCell ref="L57"/>
    <mergeCell ref="L23"/>
    <mergeCell ref="L235"/>
    <mergeCell ref="L22"/>
    <mergeCell ref="L234"/>
    <mergeCell ref="L21"/>
    <mergeCell ref="L239"/>
    <mergeCell ref="L26"/>
    <mergeCell ref="L238"/>
    <mergeCell ref="L25"/>
    <mergeCell ref="L237"/>
    <mergeCell ref="L24"/>
    <mergeCell ref="L242"/>
    <mergeCell ref="L29"/>
    <mergeCell ref="L241"/>
    <mergeCell ref="L28"/>
    <mergeCell ref="L240"/>
    <mergeCell ref="L27"/>
    <mergeCell ref="L245"/>
    <mergeCell ref="L32"/>
    <mergeCell ref="L244"/>
    <mergeCell ref="L31"/>
    <mergeCell ref="L243"/>
    <mergeCell ref="L30"/>
    <mergeCell ref="L362"/>
    <mergeCell ref="L149"/>
    <mergeCell ref="L361"/>
    <mergeCell ref="L148"/>
    <mergeCell ref="L360"/>
    <mergeCell ref="L147"/>
    <mergeCell ref="L218"/>
    <mergeCell ref="L5"/>
    <mergeCell ref="L217"/>
    <mergeCell ref="L4"/>
    <mergeCell ref="L216"/>
    <mergeCell ref="L353"/>
    <mergeCell ref="L352"/>
    <mergeCell ref="L351"/>
    <mergeCell ref="L356"/>
    <mergeCell ref="L355"/>
    <mergeCell ref="L354"/>
    <mergeCell ref="L359"/>
    <mergeCell ref="L358"/>
    <mergeCell ref="L357"/>
    <mergeCell ref="L347"/>
    <mergeCell ref="L134"/>
    <mergeCell ref="L346"/>
    <mergeCell ref="L133"/>
    <mergeCell ref="L345"/>
    <mergeCell ref="L132"/>
    <mergeCell ref="L326"/>
    <mergeCell ref="L113"/>
    <mergeCell ref="L325"/>
    <mergeCell ref="L112"/>
    <mergeCell ref="L324"/>
    <mergeCell ref="L111"/>
    <mergeCell ref="L329"/>
    <mergeCell ref="L116"/>
    <mergeCell ref="L328"/>
    <mergeCell ref="L115"/>
    <mergeCell ref="L327"/>
    <mergeCell ref="L114"/>
    <mergeCell ref="L332"/>
    <mergeCell ref="L119"/>
    <mergeCell ref="L331"/>
    <mergeCell ref="L3"/>
    <mergeCell ref="L221"/>
    <mergeCell ref="L8"/>
    <mergeCell ref="L220"/>
    <mergeCell ref="L7"/>
    <mergeCell ref="L219"/>
    <mergeCell ref="L6"/>
    <mergeCell ref="L224"/>
    <mergeCell ref="L11"/>
    <mergeCell ref="L223"/>
    <mergeCell ref="L10"/>
    <mergeCell ref="L222"/>
    <mergeCell ref="L9"/>
    <mergeCell ref="L227"/>
    <mergeCell ref="L14"/>
    <mergeCell ref="L226"/>
    <mergeCell ref="L13"/>
    <mergeCell ref="L225"/>
    <mergeCell ref="L12"/>
    <mergeCell ref="L230"/>
    <mergeCell ref="L17"/>
    <mergeCell ref="L229"/>
    <mergeCell ref="L16"/>
    <mergeCell ref="L228"/>
    <mergeCell ref="L15"/>
    <mergeCell ref="L233"/>
    <mergeCell ref="L20"/>
    <mergeCell ref="L232"/>
    <mergeCell ref="L19"/>
    <mergeCell ref="L231"/>
    <mergeCell ref="L18"/>
    <mergeCell ref="L350"/>
    <mergeCell ref="L137"/>
    <mergeCell ref="L349"/>
    <mergeCell ref="L136"/>
    <mergeCell ref="L348"/>
    <mergeCell ref="L135"/>
    <mergeCell ref="L140"/>
    <mergeCell ref="L139"/>
    <mergeCell ref="L138"/>
    <mergeCell ref="L143"/>
    <mergeCell ref="L142"/>
    <mergeCell ref="L141"/>
    <mergeCell ref="L146"/>
    <mergeCell ref="L145"/>
    <mergeCell ref="L144"/>
    <mergeCell ref="L338"/>
    <mergeCell ref="L125"/>
    <mergeCell ref="L337"/>
    <mergeCell ref="L124"/>
    <mergeCell ref="L336"/>
    <mergeCell ref="L123"/>
    <mergeCell ref="L341"/>
    <mergeCell ref="L128"/>
    <mergeCell ref="L340"/>
    <mergeCell ref="L127"/>
    <mergeCell ref="L339"/>
    <mergeCell ref="L126"/>
    <mergeCell ref="L344"/>
    <mergeCell ref="L131"/>
    <mergeCell ref="L343"/>
    <mergeCell ref="L130"/>
    <mergeCell ref="L342"/>
    <mergeCell ref="L129"/>
    <mergeCell ref="L412"/>
    <mergeCell ref="L199"/>
    <mergeCell ref="L411"/>
    <mergeCell ref="L198"/>
    <mergeCell ref="L410"/>
    <mergeCell ref="L197"/>
    <mergeCell ref="L415"/>
    <mergeCell ref="L202"/>
    <mergeCell ref="L414"/>
    <mergeCell ref="L201"/>
    <mergeCell ref="L413"/>
    <mergeCell ref="L200"/>
    <mergeCell ref="L418"/>
    <mergeCell ref="L205"/>
    <mergeCell ref="L417"/>
    <mergeCell ref="L204"/>
    <mergeCell ref="L416"/>
    <mergeCell ref="L203"/>
    <mergeCell ref="L296"/>
    <mergeCell ref="L83"/>
    <mergeCell ref="L425"/>
    <mergeCell ref="L212"/>
    <mergeCell ref="L424"/>
    <mergeCell ref="L211"/>
    <mergeCell ref="L423"/>
    <mergeCell ref="L210"/>
    <mergeCell ref="L422"/>
    <mergeCell ref="L209"/>
    <mergeCell ref="L421"/>
    <mergeCell ref="L208"/>
    <mergeCell ref="L420"/>
    <mergeCell ref="L207"/>
    <mergeCell ref="L419"/>
    <mergeCell ref="L206"/>
    <mergeCell ref="L299"/>
    <mergeCell ref="L86"/>
    <mergeCell ref="L298"/>
    <mergeCell ref="L85"/>
    <mergeCell ref="L297"/>
    <mergeCell ref="L84"/>
    <mergeCell ref="L302"/>
    <mergeCell ref="L89"/>
    <mergeCell ref="L400"/>
    <mergeCell ref="L187"/>
    <mergeCell ref="L399"/>
    <mergeCell ref="L186"/>
    <mergeCell ref="L398"/>
    <mergeCell ref="L185"/>
    <mergeCell ref="L403"/>
    <mergeCell ref="L190"/>
    <mergeCell ref="L402"/>
    <mergeCell ref="L189"/>
    <mergeCell ref="L401"/>
    <mergeCell ref="L188"/>
    <mergeCell ref="L406"/>
    <mergeCell ref="L193"/>
    <mergeCell ref="L405"/>
    <mergeCell ref="L192"/>
    <mergeCell ref="L404"/>
    <mergeCell ref="L191"/>
    <mergeCell ref="L409"/>
    <mergeCell ref="L196"/>
    <mergeCell ref="L408"/>
    <mergeCell ref="L195"/>
    <mergeCell ref="L407"/>
    <mergeCell ref="L194"/>
    <mergeCell ref="L388"/>
    <mergeCell ref="L175"/>
    <mergeCell ref="L387"/>
    <mergeCell ref="L174"/>
    <mergeCell ref="L386"/>
    <mergeCell ref="L173"/>
    <mergeCell ref="L391"/>
    <mergeCell ref="L178"/>
    <mergeCell ref="L390"/>
    <mergeCell ref="L177"/>
    <mergeCell ref="L389"/>
    <mergeCell ref="L176"/>
    <mergeCell ref="L394"/>
    <mergeCell ref="L181"/>
    <mergeCell ref="L393"/>
    <mergeCell ref="L180"/>
    <mergeCell ref="L392"/>
    <mergeCell ref="L179"/>
    <mergeCell ref="L397"/>
    <mergeCell ref="L184"/>
    <mergeCell ref="L396"/>
    <mergeCell ref="L183"/>
    <mergeCell ref="L395"/>
    <mergeCell ref="L182"/>
    <mergeCell ref="L376"/>
    <mergeCell ref="L163"/>
    <mergeCell ref="L375"/>
    <mergeCell ref="L162"/>
    <mergeCell ref="L374"/>
    <mergeCell ref="L161"/>
    <mergeCell ref="L379"/>
    <mergeCell ref="L166"/>
    <mergeCell ref="L378"/>
    <mergeCell ref="L165"/>
    <mergeCell ref="L377"/>
    <mergeCell ref="L164"/>
    <mergeCell ref="L382"/>
    <mergeCell ref="L169"/>
    <mergeCell ref="L381"/>
    <mergeCell ref="L168"/>
    <mergeCell ref="L380"/>
    <mergeCell ref="L167"/>
    <mergeCell ref="L385"/>
    <mergeCell ref="L172"/>
    <mergeCell ref="L384"/>
    <mergeCell ref="L171"/>
    <mergeCell ref="L383"/>
    <mergeCell ref="L170"/>
    <mergeCell ref="L330"/>
    <mergeCell ref="L335"/>
    <mergeCell ref="L334"/>
    <mergeCell ref="L333"/>
    <mergeCell ref="L310"/>
    <mergeCell ref="L309"/>
    <mergeCell ref="L314"/>
    <mergeCell ref="L313"/>
    <mergeCell ref="L312"/>
    <mergeCell ref="L317"/>
    <mergeCell ref="L316"/>
    <mergeCell ref="L315"/>
    <mergeCell ref="L320"/>
    <mergeCell ref="L319"/>
    <mergeCell ref="L373"/>
    <mergeCell ref="L160"/>
    <mergeCell ref="L372"/>
    <mergeCell ref="L159"/>
    <mergeCell ref="L371"/>
    <mergeCell ref="L158"/>
    <mergeCell ref="L301"/>
    <mergeCell ref="L88"/>
    <mergeCell ref="L300"/>
    <mergeCell ref="L87"/>
    <mergeCell ref="L305"/>
    <mergeCell ref="L92"/>
    <mergeCell ref="L304"/>
    <mergeCell ref="L91"/>
    <mergeCell ref="L303"/>
    <mergeCell ref="L90"/>
    <mergeCell ref="L308"/>
    <mergeCell ref="L95"/>
    <mergeCell ref="L307"/>
    <mergeCell ref="L94"/>
    <mergeCell ref="L306"/>
    <mergeCell ref="L93"/>
    <mergeCell ref="L311"/>
    <mergeCell ref="L98"/>
    <mergeCell ref="M275"/>
    <mergeCell ref="M352"/>
    <mergeCell ref="M349"/>
    <mergeCell ref="M350"/>
    <mergeCell ref="M347"/>
    <mergeCell ref="M348"/>
    <mergeCell ref="M339"/>
    <mergeCell ref="M340"/>
    <mergeCell ref="M337"/>
    <mergeCell ref="M338"/>
    <mergeCell ref="M335"/>
    <mergeCell ref="M336"/>
    <mergeCell ref="M345"/>
    <mergeCell ref="M346"/>
    <mergeCell ref="M343"/>
    <mergeCell ref="M344"/>
    <mergeCell ref="M341"/>
    <mergeCell ref="M342"/>
    <mergeCell ref="L117"/>
    <mergeCell ref="L122"/>
    <mergeCell ref="L121"/>
    <mergeCell ref="L120"/>
    <mergeCell ref="L97"/>
    <mergeCell ref="L96"/>
    <mergeCell ref="L101"/>
    <mergeCell ref="L100"/>
    <mergeCell ref="L99"/>
    <mergeCell ref="L104"/>
    <mergeCell ref="L103"/>
    <mergeCell ref="L102"/>
    <mergeCell ref="L107"/>
    <mergeCell ref="L106"/>
    <mergeCell ref="L318"/>
    <mergeCell ref="L105"/>
    <mergeCell ref="L323"/>
    <mergeCell ref="L110"/>
    <mergeCell ref="L322"/>
    <mergeCell ref="L109"/>
    <mergeCell ref="L321"/>
    <mergeCell ref="L108"/>
    <mergeCell ref="M287"/>
    <mergeCell ref="M74"/>
    <mergeCell ref="M288"/>
    <mergeCell ref="M75"/>
    <mergeCell ref="M285"/>
    <mergeCell ref="M72"/>
    <mergeCell ref="M286"/>
    <mergeCell ref="M73"/>
    <mergeCell ref="M283"/>
    <mergeCell ref="M70"/>
    <mergeCell ref="M284"/>
    <mergeCell ref="M71"/>
    <mergeCell ref="M257"/>
    <mergeCell ref="M293"/>
    <mergeCell ref="M80"/>
    <mergeCell ref="M291"/>
    <mergeCell ref="M78"/>
    <mergeCell ref="M292"/>
    <mergeCell ref="M79"/>
    <mergeCell ref="M289"/>
    <mergeCell ref="M76"/>
    <mergeCell ref="M290"/>
    <mergeCell ref="M77"/>
    <mergeCell ref="L367"/>
    <mergeCell ref="L154"/>
    <mergeCell ref="L366"/>
    <mergeCell ref="L153"/>
    <mergeCell ref="L365"/>
    <mergeCell ref="L152"/>
    <mergeCell ref="L370"/>
    <mergeCell ref="L157"/>
    <mergeCell ref="L369"/>
    <mergeCell ref="L156"/>
    <mergeCell ref="L368"/>
    <mergeCell ref="L155"/>
    <mergeCell ref="L284"/>
    <mergeCell ref="L283"/>
    <mergeCell ref="L282"/>
    <mergeCell ref="L287"/>
    <mergeCell ref="L286"/>
    <mergeCell ref="L285"/>
    <mergeCell ref="L290"/>
    <mergeCell ref="L289"/>
    <mergeCell ref="L288"/>
    <mergeCell ref="L293"/>
    <mergeCell ref="L292"/>
    <mergeCell ref="L291"/>
    <mergeCell ref="L272"/>
    <mergeCell ref="L271"/>
    <mergeCell ref="L270"/>
    <mergeCell ref="L275"/>
    <mergeCell ref="M44"/>
    <mergeCell ref="M258"/>
    <mergeCell ref="M45"/>
    <mergeCell ref="M255"/>
    <mergeCell ref="M42"/>
    <mergeCell ref="M256"/>
    <mergeCell ref="M43"/>
    <mergeCell ref="M253"/>
    <mergeCell ref="M40"/>
    <mergeCell ref="M254"/>
    <mergeCell ref="M41"/>
    <mergeCell ref="M263"/>
    <mergeCell ref="M50"/>
    <mergeCell ref="M264"/>
    <mergeCell ref="M51"/>
    <mergeCell ref="M261"/>
    <mergeCell ref="M48"/>
    <mergeCell ref="M262"/>
    <mergeCell ref="M49"/>
    <mergeCell ref="M259"/>
    <mergeCell ref="M46"/>
    <mergeCell ref="M260"/>
    <mergeCell ref="M47"/>
    <mergeCell ref="M269"/>
    <mergeCell ref="M56"/>
    <mergeCell ref="M270"/>
    <mergeCell ref="M57"/>
    <mergeCell ref="M267"/>
    <mergeCell ref="M54"/>
    <mergeCell ref="M268"/>
    <mergeCell ref="M55"/>
    <mergeCell ref="M265"/>
    <mergeCell ref="M52"/>
    <mergeCell ref="M266"/>
    <mergeCell ref="M53"/>
    <mergeCell ref="M232"/>
    <mergeCell ref="M173"/>
    <mergeCell ref="M174"/>
    <mergeCell ref="M171"/>
    <mergeCell ref="M172"/>
    <mergeCell ref="M169"/>
    <mergeCell ref="M170"/>
    <mergeCell ref="M179"/>
    <mergeCell ref="M180"/>
    <mergeCell ref="M177"/>
    <mergeCell ref="M178"/>
    <mergeCell ref="M175"/>
    <mergeCell ref="M176"/>
    <mergeCell ref="M62"/>
    <mergeCell ref="M63"/>
    <mergeCell ref="M60"/>
    <mergeCell ref="M61"/>
    <mergeCell ref="M58"/>
    <mergeCell ref="M59"/>
    <mergeCell ref="M68"/>
    <mergeCell ref="M69"/>
    <mergeCell ref="M66"/>
    <mergeCell ref="M67"/>
    <mergeCell ref="M64"/>
    <mergeCell ref="M65"/>
    <mergeCell ref="M19"/>
    <mergeCell ref="M229"/>
    <mergeCell ref="M16"/>
    <mergeCell ref="M230"/>
    <mergeCell ref="M17"/>
    <mergeCell ref="M239"/>
    <mergeCell ref="M26"/>
    <mergeCell ref="M240"/>
    <mergeCell ref="M27"/>
    <mergeCell ref="M237"/>
    <mergeCell ref="M24"/>
    <mergeCell ref="M238"/>
    <mergeCell ref="M25"/>
    <mergeCell ref="M235"/>
    <mergeCell ref="M22"/>
    <mergeCell ref="M236"/>
    <mergeCell ref="M23"/>
    <mergeCell ref="M245"/>
    <mergeCell ref="M32"/>
    <mergeCell ref="M246"/>
    <mergeCell ref="M33"/>
    <mergeCell ref="M243"/>
    <mergeCell ref="M30"/>
    <mergeCell ref="M244"/>
    <mergeCell ref="M31"/>
    <mergeCell ref="M241"/>
    <mergeCell ref="M28"/>
    <mergeCell ref="M242"/>
    <mergeCell ref="M29"/>
    <mergeCell ref="M251"/>
    <mergeCell ref="M38"/>
    <mergeCell ref="M252"/>
    <mergeCell ref="M39"/>
    <mergeCell ref="M249"/>
    <mergeCell ref="M36"/>
    <mergeCell ref="M250"/>
    <mergeCell ref="M37"/>
    <mergeCell ref="M247"/>
    <mergeCell ref="M34"/>
    <mergeCell ref="M248"/>
    <mergeCell ref="M35"/>
    <mergeCell ref="M139"/>
    <mergeCell ref="M136"/>
    <mergeCell ref="M137"/>
    <mergeCell ref="M134"/>
    <mergeCell ref="M135"/>
    <mergeCell ref="M216"/>
    <mergeCell ref="M126"/>
    <mergeCell ref="M127"/>
    <mergeCell ref="M124"/>
    <mergeCell ref="M125"/>
    <mergeCell ref="M122"/>
    <mergeCell ref="M123"/>
    <mergeCell ref="M132"/>
    <mergeCell ref="M133"/>
    <mergeCell ref="M130"/>
    <mergeCell ref="M131"/>
    <mergeCell ref="M128"/>
    <mergeCell ref="M129"/>
    <mergeCell ref="M168"/>
    <mergeCell ref="M165"/>
    <mergeCell ref="M166"/>
    <mergeCell ref="M163"/>
    <mergeCell ref="M164"/>
    <mergeCell ref="M3"/>
    <mergeCell ref="M361"/>
    <mergeCell ref="M148"/>
    <mergeCell ref="M362"/>
    <mergeCell ref="M149"/>
    <mergeCell ref="M359"/>
    <mergeCell ref="M146"/>
    <mergeCell ref="M360"/>
    <mergeCell ref="M147"/>
    <mergeCell ref="M357"/>
    <mergeCell ref="M144"/>
    <mergeCell ref="M358"/>
    <mergeCell ref="M145"/>
    <mergeCell ref="M355"/>
    <mergeCell ref="M142"/>
    <mergeCell ref="M356"/>
    <mergeCell ref="M143"/>
    <mergeCell ref="M353"/>
    <mergeCell ref="M140"/>
    <mergeCell ref="M354"/>
    <mergeCell ref="M141"/>
    <mergeCell ref="M351"/>
    <mergeCell ref="M138"/>
    <mergeCell ref="M221"/>
    <mergeCell ref="M8"/>
    <mergeCell ref="M222"/>
    <mergeCell ref="M9"/>
    <mergeCell ref="M219"/>
    <mergeCell ref="M6"/>
    <mergeCell ref="M220"/>
    <mergeCell ref="M7"/>
    <mergeCell ref="M217"/>
    <mergeCell ref="M4"/>
    <mergeCell ref="M218"/>
    <mergeCell ref="M5"/>
    <mergeCell ref="M227"/>
    <mergeCell ref="M14"/>
    <mergeCell ref="M228"/>
    <mergeCell ref="M15"/>
    <mergeCell ref="M225"/>
    <mergeCell ref="M12"/>
    <mergeCell ref="M226"/>
    <mergeCell ref="M13"/>
    <mergeCell ref="M223"/>
    <mergeCell ref="M10"/>
    <mergeCell ref="M224"/>
    <mergeCell ref="M11"/>
    <mergeCell ref="M233"/>
    <mergeCell ref="M20"/>
    <mergeCell ref="M234"/>
    <mergeCell ref="M21"/>
    <mergeCell ref="M231"/>
    <mergeCell ref="M18"/>
    <mergeCell ref="M120"/>
    <mergeCell ref="M334"/>
    <mergeCell ref="M121"/>
    <mergeCell ref="M331"/>
    <mergeCell ref="M118"/>
    <mergeCell ref="M332"/>
    <mergeCell ref="M119"/>
    <mergeCell ref="M329"/>
    <mergeCell ref="M116"/>
    <mergeCell ref="M330"/>
    <mergeCell ref="M117"/>
    <mergeCell ref="M417"/>
    <mergeCell ref="M204"/>
    <mergeCell ref="M414"/>
    <mergeCell ref="M201"/>
    <mergeCell ref="M415"/>
    <mergeCell ref="M202"/>
    <mergeCell ref="M412"/>
    <mergeCell ref="M199"/>
    <mergeCell ref="M413"/>
    <mergeCell ref="M200"/>
    <mergeCell ref="M297"/>
    <mergeCell ref="M84"/>
    <mergeCell ref="M298"/>
    <mergeCell ref="M85"/>
    <mergeCell ref="M296"/>
    <mergeCell ref="M83"/>
    <mergeCell ref="M424"/>
    <mergeCell ref="M211"/>
    <mergeCell ref="M425"/>
    <mergeCell ref="M212"/>
    <mergeCell ref="M422"/>
    <mergeCell ref="M209"/>
    <mergeCell ref="M423"/>
    <mergeCell ref="M210"/>
    <mergeCell ref="M420"/>
    <mergeCell ref="M207"/>
    <mergeCell ref="M421"/>
    <mergeCell ref="M208"/>
    <mergeCell ref="M418"/>
    <mergeCell ref="M205"/>
    <mergeCell ref="M419"/>
    <mergeCell ref="M206"/>
    <mergeCell ref="M416"/>
    <mergeCell ref="M203"/>
    <mergeCell ref="M303"/>
    <mergeCell ref="M90"/>
    <mergeCell ref="M304"/>
    <mergeCell ref="M91"/>
    <mergeCell ref="M301"/>
    <mergeCell ref="M88"/>
    <mergeCell ref="M302"/>
    <mergeCell ref="M89"/>
    <mergeCell ref="M299"/>
    <mergeCell ref="M86"/>
    <mergeCell ref="M300"/>
    <mergeCell ref="M87"/>
    <mergeCell ref="M309"/>
    <mergeCell ref="M96"/>
    <mergeCell ref="M310"/>
    <mergeCell ref="M97"/>
    <mergeCell ref="M307"/>
    <mergeCell ref="M94"/>
    <mergeCell ref="M308"/>
    <mergeCell ref="M95"/>
    <mergeCell ref="M305"/>
    <mergeCell ref="M92"/>
    <mergeCell ref="M306"/>
    <mergeCell ref="M93"/>
    <mergeCell ref="M315"/>
    <mergeCell ref="M102"/>
    <mergeCell ref="M316"/>
    <mergeCell ref="M103"/>
    <mergeCell ref="M313"/>
    <mergeCell ref="M100"/>
    <mergeCell ref="M398"/>
    <mergeCell ref="M185"/>
    <mergeCell ref="M399"/>
    <mergeCell ref="M186"/>
    <mergeCell ref="M396"/>
    <mergeCell ref="M183"/>
    <mergeCell ref="M397"/>
    <mergeCell ref="M184"/>
    <mergeCell ref="M394"/>
    <mergeCell ref="M181"/>
    <mergeCell ref="M395"/>
    <mergeCell ref="M182"/>
    <mergeCell ref="M404"/>
    <mergeCell ref="M191"/>
    <mergeCell ref="M405"/>
    <mergeCell ref="M192"/>
    <mergeCell ref="M402"/>
    <mergeCell ref="M189"/>
    <mergeCell ref="M403"/>
    <mergeCell ref="M190"/>
    <mergeCell ref="M400"/>
    <mergeCell ref="M187"/>
    <mergeCell ref="M401"/>
    <mergeCell ref="M188"/>
    <mergeCell ref="M410"/>
    <mergeCell ref="M197"/>
    <mergeCell ref="M411"/>
    <mergeCell ref="M198"/>
    <mergeCell ref="M408"/>
    <mergeCell ref="M195"/>
    <mergeCell ref="M409"/>
    <mergeCell ref="M196"/>
    <mergeCell ref="M406"/>
    <mergeCell ref="M193"/>
    <mergeCell ref="M407"/>
    <mergeCell ref="M194"/>
    <mergeCell ref="M381"/>
    <mergeCell ref="M378"/>
    <mergeCell ref="M379"/>
    <mergeCell ref="M376"/>
    <mergeCell ref="M377"/>
    <mergeCell ref="M386"/>
    <mergeCell ref="M387"/>
    <mergeCell ref="M384"/>
    <mergeCell ref="M385"/>
    <mergeCell ref="M382"/>
    <mergeCell ref="M383"/>
    <mergeCell ref="M392"/>
    <mergeCell ref="M393"/>
    <mergeCell ref="M390"/>
    <mergeCell ref="M391"/>
    <mergeCell ref="M388"/>
    <mergeCell ref="M389"/>
    <mergeCell ref="M276"/>
    <mergeCell ref="M273"/>
    <mergeCell ref="M274"/>
    <mergeCell ref="M271"/>
    <mergeCell ref="M272"/>
    <mergeCell ref="M281"/>
    <mergeCell ref="M282"/>
    <mergeCell ref="M279"/>
    <mergeCell ref="M280"/>
    <mergeCell ref="M277"/>
    <mergeCell ref="M278"/>
    <mergeCell ref="N293"/>
    <mergeCell ref="N80"/>
    <mergeCell ref="N292"/>
    <mergeCell ref="N79"/>
    <mergeCell ref="N291"/>
    <mergeCell ref="N78"/>
    <mergeCell ref="M368"/>
    <mergeCell ref="M155"/>
    <mergeCell ref="M369"/>
    <mergeCell ref="M156"/>
    <mergeCell ref="M366"/>
    <mergeCell ref="M153"/>
    <mergeCell ref="M367"/>
    <mergeCell ref="M154"/>
    <mergeCell ref="M365"/>
    <mergeCell ref="M152"/>
    <mergeCell ref="M374"/>
    <mergeCell ref="M161"/>
    <mergeCell ref="M375"/>
    <mergeCell ref="M162"/>
    <mergeCell ref="M372"/>
    <mergeCell ref="M159"/>
    <mergeCell ref="M373"/>
    <mergeCell ref="M160"/>
    <mergeCell ref="M370"/>
    <mergeCell ref="M157"/>
    <mergeCell ref="M371"/>
    <mergeCell ref="M158"/>
    <mergeCell ref="M380"/>
    <mergeCell ref="M167"/>
    <mergeCell ref="M314"/>
    <mergeCell ref="M101"/>
    <mergeCell ref="M311"/>
    <mergeCell ref="M98"/>
    <mergeCell ref="M312"/>
    <mergeCell ref="M99"/>
    <mergeCell ref="M321"/>
    <mergeCell ref="M108"/>
    <mergeCell ref="M322"/>
    <mergeCell ref="M109"/>
    <mergeCell ref="M319"/>
    <mergeCell ref="M106"/>
    <mergeCell ref="M320"/>
    <mergeCell ref="M107"/>
    <mergeCell ref="M317"/>
    <mergeCell ref="M104"/>
    <mergeCell ref="M318"/>
    <mergeCell ref="M105"/>
    <mergeCell ref="M327"/>
    <mergeCell ref="M114"/>
    <mergeCell ref="M328"/>
    <mergeCell ref="M115"/>
    <mergeCell ref="M325"/>
    <mergeCell ref="M112"/>
    <mergeCell ref="M326"/>
    <mergeCell ref="M113"/>
    <mergeCell ref="M323"/>
    <mergeCell ref="M110"/>
    <mergeCell ref="M324"/>
    <mergeCell ref="M111"/>
    <mergeCell ref="M333"/>
    <mergeCell ref="N281"/>
    <mergeCell ref="N362"/>
    <mergeCell ref="N361"/>
    <mergeCell ref="N280"/>
    <mergeCell ref="N67"/>
    <mergeCell ref="N279"/>
    <mergeCell ref="N66"/>
    <mergeCell ref="N284"/>
    <mergeCell ref="N71"/>
    <mergeCell ref="N283"/>
    <mergeCell ref="N70"/>
    <mergeCell ref="N282"/>
    <mergeCell ref="N69"/>
    <mergeCell ref="N287"/>
    <mergeCell ref="N74"/>
    <mergeCell ref="N286"/>
    <mergeCell ref="N73"/>
    <mergeCell ref="N285"/>
    <mergeCell ref="N72"/>
    <mergeCell ref="N290"/>
    <mergeCell ref="N77"/>
    <mergeCell ref="N289"/>
    <mergeCell ref="N76"/>
    <mergeCell ref="N288"/>
    <mergeCell ref="N75"/>
    <mergeCell ref="N269"/>
    <mergeCell ref="N56"/>
    <mergeCell ref="N268"/>
    <mergeCell ref="N55"/>
    <mergeCell ref="N267"/>
    <mergeCell ref="N54"/>
    <mergeCell ref="N272"/>
    <mergeCell ref="N59"/>
    <mergeCell ref="N271"/>
    <mergeCell ref="N58"/>
    <mergeCell ref="N270"/>
    <mergeCell ref="N57"/>
    <mergeCell ref="N275"/>
    <mergeCell ref="N62"/>
    <mergeCell ref="N274"/>
    <mergeCell ref="N61"/>
    <mergeCell ref="N273"/>
    <mergeCell ref="N60"/>
    <mergeCell ref="N278"/>
    <mergeCell ref="N65"/>
    <mergeCell ref="N277"/>
    <mergeCell ref="N64"/>
    <mergeCell ref="N276"/>
    <mergeCell ref="N63"/>
    <mergeCell ref="N257"/>
    <mergeCell ref="N44"/>
    <mergeCell ref="N256"/>
    <mergeCell ref="N43"/>
    <mergeCell ref="N255"/>
    <mergeCell ref="N42"/>
    <mergeCell ref="N260"/>
    <mergeCell ref="N47"/>
    <mergeCell ref="N259"/>
    <mergeCell ref="N46"/>
    <mergeCell ref="N258"/>
    <mergeCell ref="N45"/>
    <mergeCell ref="N263"/>
    <mergeCell ref="N50"/>
    <mergeCell ref="N262"/>
    <mergeCell ref="N49"/>
    <mergeCell ref="N261"/>
    <mergeCell ref="N48"/>
    <mergeCell ref="N266"/>
    <mergeCell ref="N53"/>
    <mergeCell ref="N265"/>
    <mergeCell ref="N52"/>
    <mergeCell ref="N264"/>
    <mergeCell ref="N51"/>
    <mergeCell ref="N241"/>
    <mergeCell ref="N28"/>
    <mergeCell ref="N240"/>
    <mergeCell ref="N27"/>
    <mergeCell ref="N245"/>
    <mergeCell ref="N32"/>
    <mergeCell ref="N244"/>
    <mergeCell ref="N31"/>
    <mergeCell ref="N243"/>
    <mergeCell ref="N30"/>
    <mergeCell ref="N248"/>
    <mergeCell ref="N35"/>
    <mergeCell ref="N247"/>
    <mergeCell ref="N34"/>
    <mergeCell ref="N246"/>
    <mergeCell ref="N33"/>
    <mergeCell ref="N251"/>
    <mergeCell ref="N38"/>
    <mergeCell ref="N250"/>
    <mergeCell ref="N37"/>
    <mergeCell ref="N249"/>
    <mergeCell ref="N36"/>
    <mergeCell ref="N254"/>
    <mergeCell ref="N41"/>
    <mergeCell ref="N253"/>
    <mergeCell ref="N40"/>
    <mergeCell ref="N252"/>
    <mergeCell ref="N39"/>
    <mergeCell ref="N216"/>
    <mergeCell ref="N112"/>
    <mergeCell ref="N68"/>
    <mergeCell ref="N3"/>
    <mergeCell ref="N221"/>
    <mergeCell ref="N8"/>
    <mergeCell ref="N220"/>
    <mergeCell ref="N7"/>
    <mergeCell ref="N219"/>
    <mergeCell ref="N6"/>
    <mergeCell ref="N224"/>
    <mergeCell ref="N11"/>
    <mergeCell ref="N223"/>
    <mergeCell ref="N10"/>
    <mergeCell ref="N222"/>
    <mergeCell ref="N9"/>
    <mergeCell ref="N227"/>
    <mergeCell ref="N14"/>
    <mergeCell ref="N226"/>
    <mergeCell ref="N13"/>
    <mergeCell ref="N225"/>
    <mergeCell ref="N12"/>
    <mergeCell ref="N230"/>
    <mergeCell ref="N17"/>
    <mergeCell ref="N229"/>
    <mergeCell ref="N16"/>
    <mergeCell ref="N228"/>
    <mergeCell ref="N15"/>
    <mergeCell ref="N356"/>
    <mergeCell ref="N143"/>
    <mergeCell ref="N355"/>
    <mergeCell ref="N142"/>
    <mergeCell ref="N354"/>
    <mergeCell ref="N141"/>
    <mergeCell ref="N359"/>
    <mergeCell ref="N146"/>
    <mergeCell ref="N358"/>
    <mergeCell ref="N145"/>
    <mergeCell ref="N357"/>
    <mergeCell ref="N144"/>
    <mergeCell ref="N149"/>
    <mergeCell ref="N148"/>
    <mergeCell ref="N337"/>
    <mergeCell ref="N124"/>
    <mergeCell ref="N336"/>
    <mergeCell ref="N123"/>
    <mergeCell ref="N341"/>
    <mergeCell ref="N128"/>
    <mergeCell ref="N340"/>
    <mergeCell ref="N127"/>
    <mergeCell ref="N339"/>
    <mergeCell ref="N126"/>
    <mergeCell ref="N320"/>
    <mergeCell ref="N107"/>
    <mergeCell ref="N319"/>
    <mergeCell ref="N106"/>
    <mergeCell ref="N318"/>
    <mergeCell ref="N105"/>
    <mergeCell ref="N323"/>
    <mergeCell ref="N110"/>
    <mergeCell ref="N322"/>
    <mergeCell ref="N109"/>
    <mergeCell ref="N321"/>
    <mergeCell ref="N108"/>
    <mergeCell ref="N326"/>
    <mergeCell ref="N113"/>
    <mergeCell ref="N325"/>
    <mergeCell ref="N360"/>
    <mergeCell ref="N147"/>
    <mergeCell ref="N218"/>
    <mergeCell ref="N5"/>
    <mergeCell ref="N217"/>
    <mergeCell ref="N4"/>
    <mergeCell ref="N233"/>
    <mergeCell ref="N20"/>
    <mergeCell ref="N232"/>
    <mergeCell ref="N19"/>
    <mergeCell ref="N231"/>
    <mergeCell ref="N18"/>
    <mergeCell ref="N236"/>
    <mergeCell ref="N23"/>
    <mergeCell ref="N235"/>
    <mergeCell ref="N22"/>
    <mergeCell ref="N234"/>
    <mergeCell ref="N21"/>
    <mergeCell ref="N239"/>
    <mergeCell ref="N26"/>
    <mergeCell ref="N238"/>
    <mergeCell ref="N25"/>
    <mergeCell ref="N237"/>
    <mergeCell ref="N24"/>
    <mergeCell ref="N242"/>
    <mergeCell ref="N29"/>
    <mergeCell ref="N344"/>
    <mergeCell ref="N131"/>
    <mergeCell ref="N343"/>
    <mergeCell ref="N130"/>
    <mergeCell ref="N342"/>
    <mergeCell ref="N129"/>
    <mergeCell ref="N347"/>
    <mergeCell ref="N134"/>
    <mergeCell ref="N346"/>
    <mergeCell ref="N133"/>
    <mergeCell ref="N345"/>
    <mergeCell ref="N132"/>
    <mergeCell ref="N350"/>
    <mergeCell ref="N137"/>
    <mergeCell ref="N349"/>
    <mergeCell ref="N136"/>
    <mergeCell ref="N348"/>
    <mergeCell ref="N135"/>
    <mergeCell ref="N353"/>
    <mergeCell ref="N140"/>
    <mergeCell ref="N352"/>
    <mergeCell ref="N139"/>
    <mergeCell ref="N351"/>
    <mergeCell ref="N138"/>
    <mergeCell ref="N332"/>
    <mergeCell ref="N119"/>
    <mergeCell ref="N331"/>
    <mergeCell ref="N118"/>
    <mergeCell ref="N330"/>
    <mergeCell ref="N117"/>
    <mergeCell ref="N335"/>
    <mergeCell ref="N122"/>
    <mergeCell ref="N334"/>
    <mergeCell ref="N121"/>
    <mergeCell ref="N333"/>
    <mergeCell ref="N120"/>
    <mergeCell ref="N338"/>
    <mergeCell ref="N125"/>
    <mergeCell ref="N406"/>
    <mergeCell ref="N193"/>
    <mergeCell ref="N405"/>
    <mergeCell ref="N192"/>
    <mergeCell ref="N404"/>
    <mergeCell ref="N191"/>
    <mergeCell ref="N409"/>
    <mergeCell ref="N196"/>
    <mergeCell ref="N408"/>
    <mergeCell ref="N195"/>
    <mergeCell ref="N407"/>
    <mergeCell ref="N194"/>
    <mergeCell ref="N412"/>
    <mergeCell ref="N199"/>
    <mergeCell ref="N411"/>
    <mergeCell ref="N198"/>
    <mergeCell ref="N324"/>
    <mergeCell ref="N111"/>
    <mergeCell ref="N329"/>
    <mergeCell ref="N116"/>
    <mergeCell ref="N328"/>
    <mergeCell ref="N115"/>
    <mergeCell ref="N327"/>
    <mergeCell ref="N114"/>
    <mergeCell ref="N304"/>
    <mergeCell ref="N91"/>
    <mergeCell ref="N303"/>
    <mergeCell ref="N90"/>
    <mergeCell ref="N308"/>
    <mergeCell ref="N95"/>
    <mergeCell ref="N307"/>
    <mergeCell ref="N94"/>
    <mergeCell ref="N306"/>
    <mergeCell ref="N93"/>
    <mergeCell ref="N311"/>
    <mergeCell ref="N98"/>
    <mergeCell ref="N310"/>
    <mergeCell ref="N97"/>
    <mergeCell ref="N309"/>
    <mergeCell ref="N96"/>
    <mergeCell ref="N314"/>
    <mergeCell ref="N101"/>
    <mergeCell ref="N313"/>
    <mergeCell ref="N100"/>
    <mergeCell ref="N312"/>
    <mergeCell ref="N99"/>
    <mergeCell ref="N317"/>
    <mergeCell ref="N104"/>
    <mergeCell ref="N316"/>
    <mergeCell ref="N103"/>
    <mergeCell ref="N315"/>
    <mergeCell ref="N102"/>
    <mergeCell ref="N154"/>
    <mergeCell ref="N153"/>
    <mergeCell ref="N152"/>
    <mergeCell ref="N157"/>
    <mergeCell ref="N156"/>
    <mergeCell ref="N155"/>
    <mergeCell ref="N160"/>
    <mergeCell ref="N159"/>
    <mergeCell ref="N158"/>
    <mergeCell ref="N163"/>
    <mergeCell ref="N162"/>
    <mergeCell ref="N161"/>
    <mergeCell ref="N387"/>
    <mergeCell ref="N174"/>
    <mergeCell ref="N386"/>
    <mergeCell ref="N173"/>
    <mergeCell ref="N367"/>
    <mergeCell ref="N366"/>
    <mergeCell ref="N365"/>
    <mergeCell ref="N370"/>
    <mergeCell ref="N369"/>
    <mergeCell ref="N368"/>
    <mergeCell ref="N373"/>
    <mergeCell ref="N372"/>
    <mergeCell ref="N371"/>
    <mergeCell ref="N376"/>
    <mergeCell ref="N375"/>
    <mergeCell ref="N374"/>
    <mergeCell ref="N415"/>
    <mergeCell ref="N202"/>
    <mergeCell ref="N414"/>
    <mergeCell ref="N201"/>
    <mergeCell ref="N413"/>
    <mergeCell ref="N200"/>
    <mergeCell ref="N418"/>
    <mergeCell ref="N205"/>
    <mergeCell ref="N417"/>
    <mergeCell ref="N204"/>
    <mergeCell ref="N416"/>
    <mergeCell ref="N203"/>
    <mergeCell ref="N296"/>
    <mergeCell ref="N83"/>
    <mergeCell ref="N425"/>
    <mergeCell ref="N212"/>
    <mergeCell ref="N424"/>
    <mergeCell ref="N211"/>
    <mergeCell ref="N423"/>
    <mergeCell ref="N210"/>
    <mergeCell ref="N422"/>
    <mergeCell ref="N209"/>
    <mergeCell ref="N421"/>
    <mergeCell ref="N208"/>
    <mergeCell ref="N420"/>
    <mergeCell ref="N207"/>
    <mergeCell ref="N419"/>
    <mergeCell ref="N206"/>
    <mergeCell ref="N299"/>
    <mergeCell ref="N86"/>
    <mergeCell ref="N298"/>
    <mergeCell ref="N85"/>
    <mergeCell ref="N297"/>
    <mergeCell ref="N84"/>
    <mergeCell ref="N302"/>
    <mergeCell ref="N89"/>
    <mergeCell ref="N301"/>
    <mergeCell ref="N88"/>
    <mergeCell ref="N300"/>
    <mergeCell ref="N87"/>
    <mergeCell ref="N305"/>
    <mergeCell ref="N92"/>
    <mergeCell ref="N403"/>
    <mergeCell ref="N190"/>
    <mergeCell ref="N402"/>
    <mergeCell ref="N189"/>
    <mergeCell ref="N401"/>
    <mergeCell ref="N188"/>
    <mergeCell ref="O62"/>
    <mergeCell ref="O274"/>
    <mergeCell ref="O61"/>
    <mergeCell ref="O273"/>
    <mergeCell ref="O60"/>
    <mergeCell ref="O278"/>
    <mergeCell ref="O65"/>
    <mergeCell ref="O277"/>
    <mergeCell ref="O64"/>
    <mergeCell ref="O276"/>
    <mergeCell ref="O63"/>
    <mergeCell ref="O281"/>
    <mergeCell ref="O68"/>
    <mergeCell ref="O280"/>
    <mergeCell ref="O67"/>
    <mergeCell ref="O279"/>
    <mergeCell ref="O66"/>
    <mergeCell ref="O260"/>
    <mergeCell ref="N410"/>
    <mergeCell ref="N197"/>
    <mergeCell ref="N391"/>
    <mergeCell ref="N178"/>
    <mergeCell ref="N390"/>
    <mergeCell ref="N177"/>
    <mergeCell ref="N389"/>
    <mergeCell ref="N176"/>
    <mergeCell ref="N394"/>
    <mergeCell ref="N181"/>
    <mergeCell ref="N393"/>
    <mergeCell ref="N180"/>
    <mergeCell ref="N392"/>
    <mergeCell ref="N179"/>
    <mergeCell ref="N397"/>
    <mergeCell ref="N184"/>
    <mergeCell ref="N396"/>
    <mergeCell ref="N183"/>
    <mergeCell ref="N395"/>
    <mergeCell ref="N182"/>
    <mergeCell ref="N400"/>
    <mergeCell ref="N187"/>
    <mergeCell ref="N399"/>
    <mergeCell ref="N186"/>
    <mergeCell ref="N398"/>
    <mergeCell ref="N185"/>
    <mergeCell ref="N379"/>
    <mergeCell ref="N166"/>
    <mergeCell ref="N378"/>
    <mergeCell ref="N165"/>
    <mergeCell ref="N377"/>
    <mergeCell ref="N164"/>
    <mergeCell ref="N382"/>
    <mergeCell ref="N169"/>
    <mergeCell ref="N381"/>
    <mergeCell ref="N168"/>
    <mergeCell ref="N380"/>
    <mergeCell ref="N167"/>
    <mergeCell ref="N385"/>
    <mergeCell ref="N172"/>
    <mergeCell ref="N384"/>
    <mergeCell ref="N171"/>
    <mergeCell ref="N383"/>
    <mergeCell ref="N170"/>
    <mergeCell ref="N388"/>
    <mergeCell ref="N175"/>
    <mergeCell ref="O47"/>
    <mergeCell ref="O259"/>
    <mergeCell ref="O46"/>
    <mergeCell ref="O258"/>
    <mergeCell ref="O45"/>
    <mergeCell ref="O263"/>
    <mergeCell ref="O50"/>
    <mergeCell ref="O262"/>
    <mergeCell ref="O49"/>
    <mergeCell ref="O261"/>
    <mergeCell ref="O48"/>
    <mergeCell ref="O266"/>
    <mergeCell ref="O53"/>
    <mergeCell ref="O265"/>
    <mergeCell ref="O52"/>
    <mergeCell ref="O264"/>
    <mergeCell ref="O51"/>
    <mergeCell ref="O269"/>
    <mergeCell ref="O56"/>
    <mergeCell ref="O268"/>
    <mergeCell ref="O55"/>
    <mergeCell ref="O267"/>
    <mergeCell ref="O54"/>
    <mergeCell ref="O248"/>
    <mergeCell ref="O35"/>
    <mergeCell ref="O247"/>
    <mergeCell ref="O34"/>
    <mergeCell ref="O246"/>
    <mergeCell ref="O33"/>
    <mergeCell ref="O251"/>
    <mergeCell ref="O38"/>
    <mergeCell ref="O250"/>
    <mergeCell ref="O37"/>
    <mergeCell ref="O249"/>
    <mergeCell ref="O36"/>
    <mergeCell ref="O254"/>
    <mergeCell ref="O41"/>
    <mergeCell ref="O253"/>
    <mergeCell ref="O40"/>
    <mergeCell ref="O252"/>
    <mergeCell ref="O39"/>
    <mergeCell ref="O257"/>
    <mergeCell ref="O44"/>
    <mergeCell ref="O256"/>
    <mergeCell ref="O43"/>
    <mergeCell ref="O255"/>
    <mergeCell ref="O42"/>
    <mergeCell ref="O236"/>
    <mergeCell ref="O118"/>
    <mergeCell ref="O71"/>
    <mergeCell ref="O70"/>
    <mergeCell ref="O69"/>
    <mergeCell ref="O74"/>
    <mergeCell ref="O73"/>
    <mergeCell ref="O72"/>
    <mergeCell ref="O77"/>
    <mergeCell ref="O76"/>
    <mergeCell ref="O75"/>
    <mergeCell ref="O80"/>
    <mergeCell ref="O79"/>
    <mergeCell ref="O78"/>
    <mergeCell ref="O59"/>
    <mergeCell ref="O58"/>
    <mergeCell ref="O57"/>
    <mergeCell ref="O23"/>
    <mergeCell ref="O235"/>
    <mergeCell ref="O22"/>
    <mergeCell ref="O234"/>
    <mergeCell ref="O21"/>
    <mergeCell ref="O239"/>
    <mergeCell ref="O26"/>
    <mergeCell ref="O238"/>
    <mergeCell ref="O25"/>
    <mergeCell ref="O237"/>
    <mergeCell ref="O24"/>
    <mergeCell ref="O242"/>
    <mergeCell ref="O29"/>
    <mergeCell ref="O241"/>
    <mergeCell ref="O28"/>
    <mergeCell ref="O240"/>
    <mergeCell ref="O27"/>
    <mergeCell ref="O245"/>
    <mergeCell ref="O32"/>
    <mergeCell ref="O244"/>
    <mergeCell ref="O31"/>
    <mergeCell ref="O243"/>
    <mergeCell ref="O30"/>
    <mergeCell ref="O362"/>
    <mergeCell ref="O149"/>
    <mergeCell ref="O361"/>
    <mergeCell ref="O148"/>
    <mergeCell ref="O360"/>
    <mergeCell ref="O147"/>
    <mergeCell ref="O218"/>
    <mergeCell ref="O5"/>
    <mergeCell ref="O217"/>
    <mergeCell ref="O4"/>
    <mergeCell ref="O216"/>
    <mergeCell ref="O353"/>
    <mergeCell ref="O352"/>
    <mergeCell ref="O351"/>
    <mergeCell ref="O356"/>
    <mergeCell ref="O355"/>
    <mergeCell ref="O354"/>
    <mergeCell ref="O359"/>
    <mergeCell ref="O358"/>
    <mergeCell ref="O357"/>
    <mergeCell ref="O347"/>
    <mergeCell ref="O134"/>
    <mergeCell ref="O346"/>
    <mergeCell ref="O133"/>
    <mergeCell ref="O345"/>
    <mergeCell ref="O132"/>
    <mergeCell ref="O326"/>
    <mergeCell ref="O113"/>
    <mergeCell ref="O325"/>
    <mergeCell ref="O112"/>
    <mergeCell ref="O324"/>
    <mergeCell ref="O111"/>
    <mergeCell ref="O329"/>
    <mergeCell ref="O116"/>
    <mergeCell ref="O328"/>
    <mergeCell ref="O115"/>
    <mergeCell ref="O327"/>
    <mergeCell ref="O114"/>
    <mergeCell ref="O332"/>
    <mergeCell ref="O119"/>
    <mergeCell ref="O331"/>
    <mergeCell ref="O3"/>
    <mergeCell ref="O221"/>
    <mergeCell ref="O8"/>
    <mergeCell ref="O220"/>
    <mergeCell ref="O7"/>
    <mergeCell ref="O219"/>
    <mergeCell ref="O6"/>
    <mergeCell ref="O224"/>
    <mergeCell ref="O11"/>
    <mergeCell ref="O223"/>
    <mergeCell ref="O10"/>
    <mergeCell ref="O222"/>
    <mergeCell ref="O9"/>
    <mergeCell ref="O227"/>
    <mergeCell ref="O14"/>
    <mergeCell ref="O226"/>
    <mergeCell ref="O13"/>
    <mergeCell ref="O225"/>
    <mergeCell ref="O12"/>
    <mergeCell ref="O230"/>
    <mergeCell ref="O17"/>
    <mergeCell ref="O229"/>
    <mergeCell ref="O16"/>
    <mergeCell ref="O228"/>
    <mergeCell ref="O15"/>
    <mergeCell ref="O233"/>
    <mergeCell ref="O20"/>
    <mergeCell ref="O232"/>
    <mergeCell ref="O19"/>
    <mergeCell ref="O231"/>
    <mergeCell ref="O18"/>
    <mergeCell ref="O350"/>
    <mergeCell ref="O137"/>
    <mergeCell ref="O349"/>
    <mergeCell ref="O136"/>
    <mergeCell ref="O348"/>
    <mergeCell ref="O135"/>
    <mergeCell ref="O140"/>
    <mergeCell ref="O139"/>
    <mergeCell ref="O138"/>
    <mergeCell ref="O143"/>
    <mergeCell ref="O142"/>
    <mergeCell ref="O141"/>
    <mergeCell ref="O146"/>
    <mergeCell ref="O145"/>
    <mergeCell ref="O144"/>
    <mergeCell ref="O338"/>
    <mergeCell ref="O125"/>
    <mergeCell ref="O337"/>
    <mergeCell ref="O124"/>
    <mergeCell ref="O336"/>
    <mergeCell ref="O123"/>
    <mergeCell ref="O341"/>
    <mergeCell ref="O128"/>
    <mergeCell ref="O340"/>
    <mergeCell ref="O127"/>
    <mergeCell ref="O339"/>
    <mergeCell ref="O126"/>
    <mergeCell ref="O344"/>
    <mergeCell ref="O131"/>
    <mergeCell ref="O343"/>
    <mergeCell ref="O130"/>
    <mergeCell ref="O342"/>
    <mergeCell ref="O129"/>
    <mergeCell ref="O117"/>
    <mergeCell ref="O335"/>
    <mergeCell ref="O122"/>
    <mergeCell ref="O334"/>
    <mergeCell ref="O121"/>
    <mergeCell ref="O333"/>
    <mergeCell ref="O120"/>
    <mergeCell ref="O97"/>
    <mergeCell ref="O309"/>
    <mergeCell ref="O96"/>
    <mergeCell ref="O314"/>
    <mergeCell ref="O101"/>
    <mergeCell ref="O313"/>
    <mergeCell ref="O100"/>
    <mergeCell ref="O312"/>
    <mergeCell ref="O99"/>
    <mergeCell ref="O317"/>
    <mergeCell ref="O104"/>
    <mergeCell ref="O316"/>
    <mergeCell ref="O103"/>
    <mergeCell ref="O315"/>
    <mergeCell ref="O102"/>
    <mergeCell ref="O320"/>
    <mergeCell ref="O107"/>
    <mergeCell ref="O319"/>
    <mergeCell ref="O106"/>
    <mergeCell ref="O318"/>
    <mergeCell ref="O105"/>
    <mergeCell ref="O323"/>
    <mergeCell ref="O110"/>
    <mergeCell ref="O322"/>
    <mergeCell ref="O109"/>
    <mergeCell ref="O321"/>
    <mergeCell ref="O108"/>
    <mergeCell ref="O284"/>
    <mergeCell ref="O283"/>
    <mergeCell ref="O282"/>
    <mergeCell ref="O287"/>
    <mergeCell ref="O286"/>
    <mergeCell ref="O285"/>
    <mergeCell ref="O290"/>
    <mergeCell ref="O289"/>
    <mergeCell ref="O288"/>
    <mergeCell ref="O293"/>
    <mergeCell ref="O292"/>
    <mergeCell ref="O291"/>
    <mergeCell ref="O272"/>
    <mergeCell ref="O271"/>
    <mergeCell ref="O270"/>
    <mergeCell ref="O275"/>
    <mergeCell ref="O412"/>
    <mergeCell ref="O199"/>
    <mergeCell ref="O411"/>
    <mergeCell ref="O198"/>
    <mergeCell ref="O410"/>
    <mergeCell ref="O197"/>
    <mergeCell ref="O415"/>
    <mergeCell ref="O202"/>
    <mergeCell ref="O414"/>
    <mergeCell ref="O201"/>
    <mergeCell ref="O413"/>
    <mergeCell ref="O200"/>
    <mergeCell ref="O418"/>
    <mergeCell ref="O205"/>
    <mergeCell ref="O417"/>
    <mergeCell ref="O204"/>
    <mergeCell ref="O416"/>
    <mergeCell ref="O203"/>
    <mergeCell ref="O296"/>
    <mergeCell ref="O83"/>
    <mergeCell ref="O425"/>
    <mergeCell ref="O212"/>
    <mergeCell ref="O424"/>
    <mergeCell ref="O211"/>
    <mergeCell ref="O423"/>
    <mergeCell ref="O210"/>
    <mergeCell ref="O422"/>
    <mergeCell ref="O209"/>
    <mergeCell ref="O421"/>
    <mergeCell ref="O208"/>
    <mergeCell ref="O420"/>
    <mergeCell ref="O207"/>
    <mergeCell ref="O419"/>
    <mergeCell ref="O206"/>
    <mergeCell ref="O299"/>
    <mergeCell ref="O86"/>
    <mergeCell ref="O298"/>
    <mergeCell ref="O85"/>
    <mergeCell ref="O297"/>
    <mergeCell ref="O84"/>
    <mergeCell ref="O302"/>
    <mergeCell ref="O89"/>
    <mergeCell ref="O400"/>
    <mergeCell ref="O187"/>
    <mergeCell ref="O399"/>
    <mergeCell ref="O186"/>
    <mergeCell ref="O398"/>
    <mergeCell ref="O185"/>
    <mergeCell ref="O403"/>
    <mergeCell ref="O190"/>
    <mergeCell ref="O402"/>
    <mergeCell ref="O189"/>
    <mergeCell ref="O401"/>
    <mergeCell ref="O188"/>
    <mergeCell ref="O406"/>
    <mergeCell ref="O193"/>
    <mergeCell ref="O405"/>
    <mergeCell ref="O192"/>
    <mergeCell ref="O404"/>
    <mergeCell ref="O191"/>
    <mergeCell ref="O409"/>
    <mergeCell ref="O196"/>
    <mergeCell ref="O408"/>
    <mergeCell ref="O195"/>
    <mergeCell ref="O407"/>
    <mergeCell ref="O194"/>
    <mergeCell ref="O388"/>
    <mergeCell ref="O175"/>
    <mergeCell ref="O387"/>
    <mergeCell ref="O174"/>
    <mergeCell ref="O386"/>
    <mergeCell ref="O173"/>
    <mergeCell ref="O391"/>
    <mergeCell ref="O178"/>
    <mergeCell ref="O390"/>
    <mergeCell ref="O177"/>
    <mergeCell ref="O389"/>
    <mergeCell ref="O176"/>
    <mergeCell ref="O394"/>
    <mergeCell ref="O181"/>
    <mergeCell ref="O393"/>
    <mergeCell ref="O180"/>
    <mergeCell ref="O392"/>
    <mergeCell ref="O179"/>
    <mergeCell ref="O397"/>
    <mergeCell ref="O184"/>
    <mergeCell ref="O396"/>
    <mergeCell ref="O183"/>
    <mergeCell ref="O395"/>
    <mergeCell ref="O182"/>
    <mergeCell ref="O376"/>
    <mergeCell ref="O163"/>
    <mergeCell ref="O375"/>
    <mergeCell ref="O162"/>
    <mergeCell ref="O374"/>
    <mergeCell ref="O161"/>
    <mergeCell ref="O379"/>
    <mergeCell ref="O166"/>
    <mergeCell ref="O378"/>
    <mergeCell ref="O165"/>
    <mergeCell ref="O377"/>
    <mergeCell ref="O164"/>
    <mergeCell ref="O382"/>
    <mergeCell ref="O169"/>
    <mergeCell ref="O381"/>
    <mergeCell ref="O168"/>
    <mergeCell ref="O380"/>
    <mergeCell ref="O167"/>
    <mergeCell ref="O385"/>
    <mergeCell ref="O172"/>
    <mergeCell ref="O384"/>
    <mergeCell ref="O171"/>
    <mergeCell ref="O383"/>
    <mergeCell ref="O170"/>
    <mergeCell ref="O330"/>
    <mergeCell ref="P293"/>
    <mergeCell ref="P80"/>
    <mergeCell ref="P292"/>
    <mergeCell ref="P79"/>
    <mergeCell ref="P291"/>
    <mergeCell ref="P78"/>
    <mergeCell ref="O367"/>
    <mergeCell ref="O154"/>
    <mergeCell ref="O366"/>
    <mergeCell ref="O153"/>
    <mergeCell ref="O365"/>
    <mergeCell ref="O152"/>
    <mergeCell ref="O370"/>
    <mergeCell ref="O157"/>
    <mergeCell ref="O369"/>
    <mergeCell ref="O156"/>
    <mergeCell ref="O368"/>
    <mergeCell ref="O155"/>
    <mergeCell ref="O373"/>
    <mergeCell ref="O160"/>
    <mergeCell ref="O372"/>
    <mergeCell ref="O159"/>
    <mergeCell ref="O371"/>
    <mergeCell ref="O158"/>
    <mergeCell ref="O301"/>
    <mergeCell ref="O88"/>
    <mergeCell ref="O300"/>
    <mergeCell ref="O87"/>
    <mergeCell ref="O305"/>
    <mergeCell ref="O92"/>
    <mergeCell ref="O304"/>
    <mergeCell ref="O91"/>
    <mergeCell ref="O303"/>
    <mergeCell ref="O90"/>
    <mergeCell ref="O308"/>
    <mergeCell ref="O95"/>
    <mergeCell ref="O307"/>
    <mergeCell ref="O94"/>
    <mergeCell ref="O306"/>
    <mergeCell ref="O93"/>
    <mergeCell ref="O311"/>
    <mergeCell ref="O98"/>
    <mergeCell ref="O310"/>
    <mergeCell ref="P281"/>
    <mergeCell ref="P362"/>
    <mergeCell ref="P361"/>
    <mergeCell ref="P360"/>
    <mergeCell ref="P344"/>
    <mergeCell ref="P343"/>
    <mergeCell ref="P342"/>
    <mergeCell ref="P347"/>
    <mergeCell ref="P346"/>
    <mergeCell ref="P345"/>
    <mergeCell ref="P350"/>
    <mergeCell ref="P349"/>
    <mergeCell ref="P348"/>
    <mergeCell ref="P353"/>
    <mergeCell ref="P352"/>
    <mergeCell ref="P351"/>
    <mergeCell ref="P332"/>
    <mergeCell ref="P331"/>
    <mergeCell ref="P330"/>
    <mergeCell ref="P335"/>
    <mergeCell ref="P334"/>
    <mergeCell ref="P73"/>
    <mergeCell ref="P285"/>
    <mergeCell ref="P72"/>
    <mergeCell ref="P290"/>
    <mergeCell ref="P77"/>
    <mergeCell ref="P289"/>
    <mergeCell ref="P76"/>
    <mergeCell ref="P288"/>
    <mergeCell ref="P75"/>
    <mergeCell ref="P269"/>
    <mergeCell ref="P56"/>
    <mergeCell ref="P268"/>
    <mergeCell ref="P55"/>
    <mergeCell ref="P267"/>
    <mergeCell ref="P54"/>
    <mergeCell ref="P272"/>
    <mergeCell ref="P59"/>
    <mergeCell ref="P271"/>
    <mergeCell ref="P58"/>
    <mergeCell ref="P270"/>
    <mergeCell ref="P57"/>
    <mergeCell ref="P275"/>
    <mergeCell ref="P62"/>
    <mergeCell ref="P274"/>
    <mergeCell ref="P61"/>
    <mergeCell ref="P273"/>
    <mergeCell ref="P60"/>
    <mergeCell ref="P278"/>
    <mergeCell ref="P65"/>
    <mergeCell ref="P277"/>
    <mergeCell ref="P64"/>
    <mergeCell ref="P276"/>
    <mergeCell ref="P63"/>
    <mergeCell ref="P257"/>
    <mergeCell ref="P119"/>
    <mergeCell ref="P118"/>
    <mergeCell ref="P117"/>
    <mergeCell ref="P122"/>
    <mergeCell ref="P121"/>
    <mergeCell ref="P91"/>
    <mergeCell ref="P90"/>
    <mergeCell ref="P95"/>
    <mergeCell ref="P94"/>
    <mergeCell ref="P93"/>
    <mergeCell ref="P98"/>
    <mergeCell ref="P97"/>
    <mergeCell ref="P96"/>
    <mergeCell ref="P101"/>
    <mergeCell ref="P100"/>
    <mergeCell ref="P99"/>
    <mergeCell ref="P161"/>
    <mergeCell ref="P104"/>
    <mergeCell ref="P120"/>
    <mergeCell ref="P68"/>
    <mergeCell ref="P67"/>
    <mergeCell ref="P66"/>
    <mergeCell ref="P284"/>
    <mergeCell ref="P71"/>
    <mergeCell ref="P283"/>
    <mergeCell ref="P70"/>
    <mergeCell ref="P282"/>
    <mergeCell ref="P69"/>
    <mergeCell ref="P287"/>
    <mergeCell ref="P74"/>
    <mergeCell ref="P44"/>
    <mergeCell ref="P256"/>
    <mergeCell ref="P43"/>
    <mergeCell ref="P255"/>
    <mergeCell ref="P42"/>
    <mergeCell ref="P260"/>
    <mergeCell ref="P47"/>
    <mergeCell ref="P259"/>
    <mergeCell ref="P46"/>
    <mergeCell ref="P258"/>
    <mergeCell ref="P45"/>
    <mergeCell ref="P263"/>
    <mergeCell ref="P50"/>
    <mergeCell ref="P262"/>
    <mergeCell ref="P49"/>
    <mergeCell ref="P261"/>
    <mergeCell ref="P48"/>
    <mergeCell ref="P266"/>
    <mergeCell ref="P53"/>
    <mergeCell ref="P265"/>
    <mergeCell ref="P52"/>
    <mergeCell ref="P264"/>
    <mergeCell ref="P51"/>
    <mergeCell ref="P241"/>
    <mergeCell ref="P28"/>
    <mergeCell ref="P240"/>
    <mergeCell ref="P27"/>
    <mergeCell ref="P245"/>
    <mergeCell ref="P32"/>
    <mergeCell ref="P244"/>
    <mergeCell ref="P31"/>
    <mergeCell ref="P243"/>
    <mergeCell ref="P30"/>
    <mergeCell ref="P248"/>
    <mergeCell ref="P35"/>
    <mergeCell ref="P247"/>
    <mergeCell ref="P34"/>
    <mergeCell ref="P246"/>
    <mergeCell ref="P33"/>
    <mergeCell ref="P251"/>
    <mergeCell ref="P38"/>
    <mergeCell ref="P250"/>
    <mergeCell ref="P37"/>
    <mergeCell ref="P249"/>
    <mergeCell ref="P36"/>
    <mergeCell ref="P254"/>
    <mergeCell ref="P41"/>
    <mergeCell ref="P253"/>
    <mergeCell ref="P40"/>
    <mergeCell ref="P252"/>
    <mergeCell ref="P39"/>
    <mergeCell ref="P216"/>
    <mergeCell ref="P131"/>
    <mergeCell ref="P130"/>
    <mergeCell ref="P129"/>
    <mergeCell ref="P134"/>
    <mergeCell ref="P133"/>
    <mergeCell ref="P132"/>
    <mergeCell ref="P137"/>
    <mergeCell ref="P136"/>
    <mergeCell ref="P135"/>
    <mergeCell ref="P140"/>
    <mergeCell ref="P139"/>
    <mergeCell ref="P138"/>
    <mergeCell ref="P3"/>
    <mergeCell ref="P221"/>
    <mergeCell ref="P8"/>
    <mergeCell ref="P220"/>
    <mergeCell ref="P7"/>
    <mergeCell ref="P219"/>
    <mergeCell ref="P6"/>
    <mergeCell ref="P224"/>
    <mergeCell ref="P11"/>
    <mergeCell ref="P223"/>
    <mergeCell ref="P10"/>
    <mergeCell ref="P222"/>
    <mergeCell ref="P9"/>
    <mergeCell ref="P227"/>
    <mergeCell ref="P14"/>
    <mergeCell ref="P226"/>
    <mergeCell ref="P13"/>
    <mergeCell ref="P225"/>
    <mergeCell ref="P12"/>
    <mergeCell ref="P230"/>
    <mergeCell ref="P17"/>
    <mergeCell ref="P229"/>
    <mergeCell ref="P16"/>
    <mergeCell ref="P228"/>
    <mergeCell ref="P15"/>
    <mergeCell ref="P356"/>
    <mergeCell ref="P143"/>
    <mergeCell ref="P355"/>
    <mergeCell ref="P142"/>
    <mergeCell ref="P354"/>
    <mergeCell ref="P141"/>
    <mergeCell ref="P359"/>
    <mergeCell ref="P146"/>
    <mergeCell ref="P358"/>
    <mergeCell ref="P145"/>
    <mergeCell ref="P357"/>
    <mergeCell ref="P144"/>
    <mergeCell ref="P149"/>
    <mergeCell ref="P148"/>
    <mergeCell ref="P147"/>
    <mergeCell ref="P218"/>
    <mergeCell ref="P5"/>
    <mergeCell ref="P217"/>
    <mergeCell ref="P4"/>
    <mergeCell ref="P233"/>
    <mergeCell ref="P20"/>
    <mergeCell ref="P232"/>
    <mergeCell ref="P19"/>
    <mergeCell ref="P231"/>
    <mergeCell ref="P18"/>
    <mergeCell ref="P236"/>
    <mergeCell ref="P23"/>
    <mergeCell ref="P235"/>
    <mergeCell ref="P22"/>
    <mergeCell ref="P234"/>
    <mergeCell ref="P21"/>
    <mergeCell ref="P239"/>
    <mergeCell ref="P26"/>
    <mergeCell ref="P238"/>
    <mergeCell ref="P25"/>
    <mergeCell ref="P237"/>
    <mergeCell ref="P24"/>
    <mergeCell ref="P242"/>
    <mergeCell ref="P29"/>
    <mergeCell ref="P338"/>
    <mergeCell ref="P125"/>
    <mergeCell ref="P337"/>
    <mergeCell ref="P124"/>
    <mergeCell ref="P336"/>
    <mergeCell ref="P123"/>
    <mergeCell ref="P341"/>
    <mergeCell ref="P128"/>
    <mergeCell ref="P340"/>
    <mergeCell ref="P127"/>
    <mergeCell ref="P339"/>
    <mergeCell ref="P126"/>
    <mergeCell ref="P320"/>
    <mergeCell ref="P107"/>
    <mergeCell ref="P319"/>
    <mergeCell ref="P106"/>
    <mergeCell ref="P318"/>
    <mergeCell ref="P105"/>
    <mergeCell ref="P323"/>
    <mergeCell ref="P110"/>
    <mergeCell ref="P322"/>
    <mergeCell ref="P109"/>
    <mergeCell ref="P321"/>
    <mergeCell ref="P108"/>
    <mergeCell ref="P326"/>
    <mergeCell ref="P113"/>
    <mergeCell ref="P325"/>
    <mergeCell ref="P112"/>
    <mergeCell ref="P324"/>
    <mergeCell ref="P111"/>
    <mergeCell ref="P329"/>
    <mergeCell ref="P116"/>
    <mergeCell ref="P328"/>
    <mergeCell ref="P115"/>
    <mergeCell ref="P327"/>
    <mergeCell ref="P114"/>
    <mergeCell ref="P304"/>
    <mergeCell ref="P303"/>
    <mergeCell ref="P308"/>
    <mergeCell ref="P307"/>
    <mergeCell ref="P306"/>
    <mergeCell ref="P311"/>
    <mergeCell ref="P310"/>
    <mergeCell ref="P309"/>
    <mergeCell ref="P314"/>
    <mergeCell ref="P313"/>
    <mergeCell ref="P312"/>
    <mergeCell ref="P317"/>
    <mergeCell ref="P194"/>
    <mergeCell ref="P165"/>
    <mergeCell ref="P164"/>
    <mergeCell ref="P154"/>
    <mergeCell ref="P153"/>
    <mergeCell ref="P152"/>
    <mergeCell ref="P157"/>
    <mergeCell ref="P156"/>
    <mergeCell ref="P155"/>
    <mergeCell ref="P160"/>
    <mergeCell ref="P159"/>
    <mergeCell ref="P158"/>
    <mergeCell ref="P163"/>
    <mergeCell ref="P162"/>
    <mergeCell ref="P280"/>
    <mergeCell ref="P279"/>
    <mergeCell ref="P316"/>
    <mergeCell ref="P103"/>
    <mergeCell ref="P315"/>
    <mergeCell ref="P102"/>
    <mergeCell ref="P415"/>
    <mergeCell ref="P202"/>
    <mergeCell ref="P414"/>
    <mergeCell ref="P201"/>
    <mergeCell ref="P413"/>
    <mergeCell ref="P200"/>
    <mergeCell ref="P418"/>
    <mergeCell ref="P205"/>
    <mergeCell ref="P417"/>
    <mergeCell ref="P204"/>
    <mergeCell ref="P416"/>
    <mergeCell ref="P203"/>
    <mergeCell ref="P296"/>
    <mergeCell ref="P83"/>
    <mergeCell ref="P425"/>
    <mergeCell ref="P212"/>
    <mergeCell ref="P424"/>
    <mergeCell ref="P211"/>
    <mergeCell ref="P423"/>
    <mergeCell ref="P210"/>
    <mergeCell ref="P422"/>
    <mergeCell ref="P209"/>
    <mergeCell ref="P421"/>
    <mergeCell ref="P208"/>
    <mergeCell ref="P420"/>
    <mergeCell ref="P207"/>
    <mergeCell ref="P419"/>
    <mergeCell ref="P206"/>
    <mergeCell ref="P299"/>
    <mergeCell ref="P86"/>
    <mergeCell ref="P298"/>
    <mergeCell ref="P85"/>
    <mergeCell ref="P297"/>
    <mergeCell ref="P84"/>
    <mergeCell ref="P302"/>
    <mergeCell ref="P89"/>
    <mergeCell ref="P301"/>
    <mergeCell ref="P88"/>
    <mergeCell ref="P300"/>
    <mergeCell ref="P87"/>
    <mergeCell ref="P305"/>
    <mergeCell ref="P92"/>
    <mergeCell ref="P403"/>
    <mergeCell ref="P190"/>
    <mergeCell ref="P402"/>
    <mergeCell ref="P189"/>
    <mergeCell ref="P401"/>
    <mergeCell ref="P188"/>
    <mergeCell ref="P406"/>
    <mergeCell ref="P193"/>
    <mergeCell ref="P405"/>
    <mergeCell ref="P192"/>
    <mergeCell ref="P404"/>
    <mergeCell ref="P191"/>
    <mergeCell ref="P409"/>
    <mergeCell ref="P196"/>
    <mergeCell ref="P408"/>
    <mergeCell ref="P195"/>
    <mergeCell ref="P407"/>
    <mergeCell ref="P333"/>
    <mergeCell ref="P412"/>
    <mergeCell ref="P199"/>
    <mergeCell ref="P411"/>
    <mergeCell ref="P198"/>
    <mergeCell ref="P410"/>
    <mergeCell ref="P197"/>
    <mergeCell ref="P391"/>
    <mergeCell ref="P178"/>
    <mergeCell ref="P390"/>
    <mergeCell ref="P177"/>
    <mergeCell ref="P389"/>
    <mergeCell ref="P176"/>
    <mergeCell ref="P394"/>
    <mergeCell ref="P181"/>
    <mergeCell ref="P393"/>
    <mergeCell ref="P180"/>
    <mergeCell ref="P392"/>
    <mergeCell ref="P179"/>
    <mergeCell ref="P397"/>
    <mergeCell ref="P184"/>
    <mergeCell ref="P396"/>
    <mergeCell ref="P183"/>
    <mergeCell ref="P395"/>
    <mergeCell ref="P182"/>
    <mergeCell ref="P400"/>
    <mergeCell ref="P187"/>
    <mergeCell ref="P399"/>
    <mergeCell ref="P186"/>
    <mergeCell ref="P398"/>
    <mergeCell ref="P185"/>
    <mergeCell ref="P379"/>
    <mergeCell ref="P166"/>
    <mergeCell ref="P378"/>
    <mergeCell ref="P377"/>
    <mergeCell ref="P382"/>
    <mergeCell ref="P169"/>
    <mergeCell ref="P381"/>
    <mergeCell ref="P168"/>
    <mergeCell ref="P380"/>
    <mergeCell ref="P167"/>
    <mergeCell ref="P385"/>
    <mergeCell ref="P172"/>
    <mergeCell ref="P384"/>
    <mergeCell ref="P171"/>
    <mergeCell ref="P383"/>
    <mergeCell ref="P170"/>
    <mergeCell ref="P388"/>
    <mergeCell ref="P175"/>
    <mergeCell ref="P387"/>
    <mergeCell ref="P174"/>
    <mergeCell ref="P386"/>
    <mergeCell ref="P173"/>
    <mergeCell ref="P367"/>
    <mergeCell ref="P366"/>
    <mergeCell ref="P365"/>
    <mergeCell ref="P370"/>
    <mergeCell ref="P369"/>
    <mergeCell ref="P368"/>
    <mergeCell ref="P373"/>
    <mergeCell ref="P372"/>
    <mergeCell ref="P371"/>
    <mergeCell ref="P376"/>
    <mergeCell ref="P375"/>
    <mergeCell ref="P374"/>
    <mergeCell ref="P286"/>
    <mergeCell ref="Q47"/>
    <mergeCell ref="Q259"/>
    <mergeCell ref="Q46"/>
    <mergeCell ref="Q258"/>
    <mergeCell ref="Q45"/>
    <mergeCell ref="Q263"/>
    <mergeCell ref="Q50"/>
    <mergeCell ref="Q262"/>
    <mergeCell ref="Q49"/>
    <mergeCell ref="Q261"/>
    <mergeCell ref="Q48"/>
    <mergeCell ref="Q266"/>
    <mergeCell ref="Q53"/>
    <mergeCell ref="Q265"/>
    <mergeCell ref="Q52"/>
    <mergeCell ref="Q264"/>
    <mergeCell ref="Q51"/>
    <mergeCell ref="Q269"/>
    <mergeCell ref="Q56"/>
    <mergeCell ref="Q268"/>
    <mergeCell ref="Q55"/>
    <mergeCell ref="Q267"/>
    <mergeCell ref="Q54"/>
    <mergeCell ref="Q248"/>
    <mergeCell ref="Q35"/>
    <mergeCell ref="Q247"/>
    <mergeCell ref="Q34"/>
    <mergeCell ref="Q246"/>
    <mergeCell ref="Q33"/>
    <mergeCell ref="Q251"/>
    <mergeCell ref="Q38"/>
    <mergeCell ref="Q250"/>
    <mergeCell ref="Q37"/>
    <mergeCell ref="Q249"/>
    <mergeCell ref="Q36"/>
    <mergeCell ref="Q254"/>
    <mergeCell ref="Q41"/>
    <mergeCell ref="Q253"/>
    <mergeCell ref="Q40"/>
    <mergeCell ref="Q252"/>
    <mergeCell ref="Q39"/>
    <mergeCell ref="Q257"/>
    <mergeCell ref="Q44"/>
    <mergeCell ref="Q256"/>
    <mergeCell ref="Q43"/>
    <mergeCell ref="Q255"/>
    <mergeCell ref="Q42"/>
    <mergeCell ref="Q236"/>
    <mergeCell ref="Q118"/>
    <mergeCell ref="Q117"/>
    <mergeCell ref="Q284"/>
    <mergeCell ref="Q71"/>
    <mergeCell ref="Q283"/>
    <mergeCell ref="Q70"/>
    <mergeCell ref="Q282"/>
    <mergeCell ref="Q69"/>
    <mergeCell ref="Q74"/>
    <mergeCell ref="Q286"/>
    <mergeCell ref="Q73"/>
    <mergeCell ref="Q285"/>
    <mergeCell ref="Q72"/>
    <mergeCell ref="Q77"/>
    <mergeCell ref="Q76"/>
    <mergeCell ref="Q5"/>
    <mergeCell ref="Q217"/>
    <mergeCell ref="Q4"/>
    <mergeCell ref="Q216"/>
    <mergeCell ref="Q353"/>
    <mergeCell ref="Q352"/>
    <mergeCell ref="Q351"/>
    <mergeCell ref="Q356"/>
    <mergeCell ref="Q355"/>
    <mergeCell ref="Q354"/>
    <mergeCell ref="Q359"/>
    <mergeCell ref="Q358"/>
    <mergeCell ref="Q357"/>
    <mergeCell ref="Q347"/>
    <mergeCell ref="Q134"/>
    <mergeCell ref="Q346"/>
    <mergeCell ref="Q133"/>
    <mergeCell ref="Q345"/>
    <mergeCell ref="Q132"/>
    <mergeCell ref="Q326"/>
    <mergeCell ref="Q113"/>
    <mergeCell ref="Q325"/>
    <mergeCell ref="Q112"/>
    <mergeCell ref="Q324"/>
    <mergeCell ref="Q111"/>
    <mergeCell ref="Q329"/>
    <mergeCell ref="Q116"/>
    <mergeCell ref="Q328"/>
    <mergeCell ref="Q115"/>
    <mergeCell ref="Q327"/>
    <mergeCell ref="Q114"/>
    <mergeCell ref="Q332"/>
    <mergeCell ref="Q119"/>
    <mergeCell ref="Q331"/>
    <mergeCell ref="Q287"/>
    <mergeCell ref="Q290"/>
    <mergeCell ref="Q289"/>
    <mergeCell ref="Q288"/>
    <mergeCell ref="Q75"/>
    <mergeCell ref="Q293"/>
    <mergeCell ref="Q80"/>
    <mergeCell ref="Q292"/>
    <mergeCell ref="Q79"/>
    <mergeCell ref="Q291"/>
    <mergeCell ref="Q78"/>
    <mergeCell ref="Q272"/>
    <mergeCell ref="Q59"/>
    <mergeCell ref="Q271"/>
    <mergeCell ref="Q58"/>
    <mergeCell ref="Q270"/>
    <mergeCell ref="Q57"/>
    <mergeCell ref="Q275"/>
    <mergeCell ref="Q62"/>
    <mergeCell ref="Q274"/>
    <mergeCell ref="Q61"/>
    <mergeCell ref="Q273"/>
    <mergeCell ref="Q60"/>
    <mergeCell ref="Q278"/>
    <mergeCell ref="Q65"/>
    <mergeCell ref="Q277"/>
    <mergeCell ref="Q64"/>
    <mergeCell ref="Q276"/>
    <mergeCell ref="Q63"/>
    <mergeCell ref="Q281"/>
    <mergeCell ref="Q140"/>
    <mergeCell ref="Q139"/>
    <mergeCell ref="Q138"/>
    <mergeCell ref="Q143"/>
    <mergeCell ref="Q142"/>
    <mergeCell ref="Q141"/>
    <mergeCell ref="Q146"/>
    <mergeCell ref="Q145"/>
    <mergeCell ref="Q144"/>
    <mergeCell ref="Q338"/>
    <mergeCell ref="Q125"/>
    <mergeCell ref="Q337"/>
    <mergeCell ref="Q124"/>
    <mergeCell ref="Q336"/>
    <mergeCell ref="Q123"/>
    <mergeCell ref="Q341"/>
    <mergeCell ref="Q128"/>
    <mergeCell ref="Q340"/>
    <mergeCell ref="Q127"/>
    <mergeCell ref="Q339"/>
    <mergeCell ref="Q126"/>
    <mergeCell ref="Q344"/>
    <mergeCell ref="Q131"/>
    <mergeCell ref="Q343"/>
    <mergeCell ref="Q130"/>
    <mergeCell ref="Q342"/>
    <mergeCell ref="Q129"/>
    <mergeCell ref="Q23"/>
    <mergeCell ref="Q235"/>
    <mergeCell ref="Q22"/>
    <mergeCell ref="Q234"/>
    <mergeCell ref="Q21"/>
    <mergeCell ref="Q239"/>
    <mergeCell ref="Q26"/>
    <mergeCell ref="Q238"/>
    <mergeCell ref="Q25"/>
    <mergeCell ref="Q237"/>
    <mergeCell ref="Q24"/>
    <mergeCell ref="Q242"/>
    <mergeCell ref="Q29"/>
    <mergeCell ref="Q241"/>
    <mergeCell ref="Q28"/>
    <mergeCell ref="Q240"/>
    <mergeCell ref="Q27"/>
    <mergeCell ref="Q245"/>
    <mergeCell ref="Q32"/>
    <mergeCell ref="Q244"/>
    <mergeCell ref="Q31"/>
    <mergeCell ref="Q243"/>
    <mergeCell ref="Q30"/>
    <mergeCell ref="Q149"/>
    <mergeCell ref="Q148"/>
    <mergeCell ref="Q147"/>
    <mergeCell ref="Q218"/>
    <mergeCell ref="Q68"/>
    <mergeCell ref="Q280"/>
    <mergeCell ref="Q67"/>
    <mergeCell ref="Q279"/>
    <mergeCell ref="Q66"/>
    <mergeCell ref="Q260"/>
    <mergeCell ref="Q121"/>
    <mergeCell ref="Q333"/>
    <mergeCell ref="Q120"/>
    <mergeCell ref="Q97"/>
    <mergeCell ref="Q309"/>
    <mergeCell ref="Q96"/>
    <mergeCell ref="Q314"/>
    <mergeCell ref="Q101"/>
    <mergeCell ref="Q313"/>
    <mergeCell ref="Q100"/>
    <mergeCell ref="Q312"/>
    <mergeCell ref="Q99"/>
    <mergeCell ref="Q317"/>
    <mergeCell ref="Q104"/>
    <mergeCell ref="Q316"/>
    <mergeCell ref="Q103"/>
    <mergeCell ref="Q315"/>
    <mergeCell ref="Q102"/>
    <mergeCell ref="Q320"/>
    <mergeCell ref="Q107"/>
    <mergeCell ref="Q319"/>
    <mergeCell ref="Q106"/>
    <mergeCell ref="Q318"/>
    <mergeCell ref="Q105"/>
    <mergeCell ref="Q323"/>
    <mergeCell ref="Q110"/>
    <mergeCell ref="Q322"/>
    <mergeCell ref="Q109"/>
    <mergeCell ref="Q321"/>
    <mergeCell ref="Q108"/>
    <mergeCell ref="Q3"/>
    <mergeCell ref="Q221"/>
    <mergeCell ref="Q8"/>
    <mergeCell ref="Q220"/>
    <mergeCell ref="Q7"/>
    <mergeCell ref="Q219"/>
    <mergeCell ref="Q6"/>
    <mergeCell ref="Q224"/>
    <mergeCell ref="Q11"/>
    <mergeCell ref="Q223"/>
    <mergeCell ref="Q10"/>
    <mergeCell ref="Q222"/>
    <mergeCell ref="Q9"/>
    <mergeCell ref="Q227"/>
    <mergeCell ref="Q14"/>
    <mergeCell ref="Q226"/>
    <mergeCell ref="Q13"/>
    <mergeCell ref="Q225"/>
    <mergeCell ref="Q12"/>
    <mergeCell ref="Q230"/>
    <mergeCell ref="Q17"/>
    <mergeCell ref="Q229"/>
    <mergeCell ref="Q16"/>
    <mergeCell ref="Q228"/>
    <mergeCell ref="Q15"/>
    <mergeCell ref="Q233"/>
    <mergeCell ref="Q20"/>
    <mergeCell ref="Q232"/>
    <mergeCell ref="Q19"/>
    <mergeCell ref="Q231"/>
    <mergeCell ref="Q18"/>
    <mergeCell ref="Q137"/>
    <mergeCell ref="Q136"/>
    <mergeCell ref="Q135"/>
    <mergeCell ref="Q412"/>
    <mergeCell ref="Q199"/>
    <mergeCell ref="Q411"/>
    <mergeCell ref="Q198"/>
    <mergeCell ref="Q410"/>
    <mergeCell ref="Q197"/>
    <mergeCell ref="Q415"/>
    <mergeCell ref="Q202"/>
    <mergeCell ref="Q414"/>
    <mergeCell ref="Q201"/>
    <mergeCell ref="Q413"/>
    <mergeCell ref="Q200"/>
    <mergeCell ref="Q418"/>
    <mergeCell ref="Q205"/>
    <mergeCell ref="Q417"/>
    <mergeCell ref="Q204"/>
    <mergeCell ref="Q416"/>
    <mergeCell ref="Q203"/>
    <mergeCell ref="Q296"/>
    <mergeCell ref="Q83"/>
    <mergeCell ref="Q425"/>
    <mergeCell ref="Q212"/>
    <mergeCell ref="Q424"/>
    <mergeCell ref="Q211"/>
    <mergeCell ref="Q423"/>
    <mergeCell ref="Q210"/>
    <mergeCell ref="Q422"/>
    <mergeCell ref="Q209"/>
    <mergeCell ref="Q421"/>
    <mergeCell ref="Q208"/>
    <mergeCell ref="Q420"/>
    <mergeCell ref="Q207"/>
    <mergeCell ref="Q419"/>
    <mergeCell ref="Q206"/>
    <mergeCell ref="Q299"/>
    <mergeCell ref="Q86"/>
    <mergeCell ref="Q298"/>
    <mergeCell ref="Q85"/>
    <mergeCell ref="Q297"/>
    <mergeCell ref="Q84"/>
    <mergeCell ref="Q302"/>
    <mergeCell ref="Q89"/>
    <mergeCell ref="Q400"/>
    <mergeCell ref="Q187"/>
    <mergeCell ref="Q399"/>
    <mergeCell ref="Q186"/>
    <mergeCell ref="Q398"/>
    <mergeCell ref="Q185"/>
    <mergeCell ref="Q403"/>
    <mergeCell ref="Q190"/>
    <mergeCell ref="Q402"/>
    <mergeCell ref="Q189"/>
    <mergeCell ref="Q401"/>
    <mergeCell ref="Q188"/>
    <mergeCell ref="Q406"/>
    <mergeCell ref="Q193"/>
    <mergeCell ref="Q405"/>
    <mergeCell ref="Q192"/>
    <mergeCell ref="Q404"/>
    <mergeCell ref="Q191"/>
    <mergeCell ref="Q409"/>
    <mergeCell ref="Q196"/>
    <mergeCell ref="Q408"/>
    <mergeCell ref="Q195"/>
    <mergeCell ref="Q407"/>
    <mergeCell ref="Q194"/>
    <mergeCell ref="Q388"/>
    <mergeCell ref="Q175"/>
    <mergeCell ref="Q387"/>
    <mergeCell ref="Q174"/>
    <mergeCell ref="Q386"/>
    <mergeCell ref="Q173"/>
    <mergeCell ref="Q391"/>
    <mergeCell ref="Q178"/>
    <mergeCell ref="Q390"/>
    <mergeCell ref="Q177"/>
    <mergeCell ref="Q389"/>
    <mergeCell ref="Q176"/>
    <mergeCell ref="Q394"/>
    <mergeCell ref="Q181"/>
    <mergeCell ref="Q393"/>
    <mergeCell ref="Q180"/>
    <mergeCell ref="Q392"/>
    <mergeCell ref="Q179"/>
    <mergeCell ref="Q397"/>
    <mergeCell ref="Q184"/>
    <mergeCell ref="Q396"/>
    <mergeCell ref="Q183"/>
    <mergeCell ref="Q395"/>
    <mergeCell ref="Q182"/>
    <mergeCell ref="Q376"/>
    <mergeCell ref="Q163"/>
    <mergeCell ref="Q375"/>
    <mergeCell ref="Q162"/>
    <mergeCell ref="Q374"/>
    <mergeCell ref="Q161"/>
    <mergeCell ref="Q379"/>
    <mergeCell ref="Q166"/>
    <mergeCell ref="Q378"/>
    <mergeCell ref="Q165"/>
    <mergeCell ref="Q377"/>
    <mergeCell ref="Q164"/>
    <mergeCell ref="Q382"/>
    <mergeCell ref="Q169"/>
    <mergeCell ref="Q381"/>
    <mergeCell ref="Q168"/>
    <mergeCell ref="Q380"/>
    <mergeCell ref="Q167"/>
    <mergeCell ref="Q385"/>
    <mergeCell ref="Q172"/>
    <mergeCell ref="Q384"/>
    <mergeCell ref="Q171"/>
    <mergeCell ref="Q383"/>
    <mergeCell ref="Q170"/>
    <mergeCell ref="Q330"/>
    <mergeCell ref="Q335"/>
    <mergeCell ref="Q334"/>
    <mergeCell ref="Q350"/>
    <mergeCell ref="Q349"/>
    <mergeCell ref="Q348"/>
    <mergeCell ref="Q362"/>
    <mergeCell ref="Q361"/>
    <mergeCell ref="Q360"/>
    <mergeCell ref="R80"/>
    <mergeCell ref="R292"/>
    <mergeCell ref="R79"/>
    <mergeCell ref="R291"/>
    <mergeCell ref="R78"/>
    <mergeCell ref="Q367"/>
    <mergeCell ref="Q154"/>
    <mergeCell ref="Q366"/>
    <mergeCell ref="Q153"/>
    <mergeCell ref="Q365"/>
    <mergeCell ref="Q152"/>
    <mergeCell ref="Q370"/>
    <mergeCell ref="Q157"/>
    <mergeCell ref="Q369"/>
    <mergeCell ref="Q156"/>
    <mergeCell ref="Q368"/>
    <mergeCell ref="Q155"/>
    <mergeCell ref="Q373"/>
    <mergeCell ref="Q160"/>
    <mergeCell ref="Q372"/>
    <mergeCell ref="Q159"/>
    <mergeCell ref="Q371"/>
    <mergeCell ref="Q158"/>
    <mergeCell ref="Q301"/>
    <mergeCell ref="Q88"/>
    <mergeCell ref="Q300"/>
    <mergeCell ref="Q87"/>
    <mergeCell ref="Q305"/>
    <mergeCell ref="Q92"/>
    <mergeCell ref="Q304"/>
    <mergeCell ref="Q91"/>
    <mergeCell ref="Q303"/>
    <mergeCell ref="Q90"/>
    <mergeCell ref="Q308"/>
    <mergeCell ref="Q95"/>
    <mergeCell ref="Q307"/>
    <mergeCell ref="Q94"/>
    <mergeCell ref="Q306"/>
    <mergeCell ref="Q93"/>
    <mergeCell ref="Q311"/>
    <mergeCell ref="Q98"/>
    <mergeCell ref="Q310"/>
    <mergeCell ref="R281"/>
    <mergeCell ref="R362"/>
    <mergeCell ref="R361"/>
    <mergeCell ref="R360"/>
    <mergeCell ref="R344"/>
    <mergeCell ref="R343"/>
    <mergeCell ref="R342"/>
    <mergeCell ref="R347"/>
    <mergeCell ref="R346"/>
    <mergeCell ref="R345"/>
    <mergeCell ref="R350"/>
    <mergeCell ref="R349"/>
    <mergeCell ref="R348"/>
    <mergeCell ref="R353"/>
    <mergeCell ref="R352"/>
    <mergeCell ref="R351"/>
    <mergeCell ref="R332"/>
    <mergeCell ref="R331"/>
    <mergeCell ref="R330"/>
    <mergeCell ref="R335"/>
    <mergeCell ref="R334"/>
    <mergeCell ref="Q122"/>
    <mergeCell ref="R73"/>
    <mergeCell ref="R285"/>
    <mergeCell ref="R72"/>
    <mergeCell ref="R290"/>
    <mergeCell ref="R77"/>
    <mergeCell ref="R289"/>
    <mergeCell ref="R76"/>
    <mergeCell ref="R288"/>
    <mergeCell ref="R75"/>
    <mergeCell ref="R269"/>
    <mergeCell ref="R56"/>
    <mergeCell ref="R268"/>
    <mergeCell ref="R55"/>
    <mergeCell ref="R267"/>
    <mergeCell ref="R54"/>
    <mergeCell ref="R272"/>
    <mergeCell ref="R59"/>
    <mergeCell ref="R271"/>
    <mergeCell ref="R58"/>
    <mergeCell ref="R270"/>
    <mergeCell ref="R57"/>
    <mergeCell ref="R275"/>
    <mergeCell ref="R62"/>
    <mergeCell ref="R274"/>
    <mergeCell ref="R61"/>
    <mergeCell ref="R273"/>
    <mergeCell ref="R60"/>
    <mergeCell ref="R278"/>
    <mergeCell ref="R65"/>
    <mergeCell ref="R277"/>
    <mergeCell ref="R64"/>
    <mergeCell ref="R276"/>
    <mergeCell ref="R63"/>
    <mergeCell ref="R257"/>
    <mergeCell ref="R119"/>
    <mergeCell ref="R118"/>
    <mergeCell ref="R117"/>
    <mergeCell ref="R122"/>
    <mergeCell ref="R121"/>
    <mergeCell ref="R91"/>
    <mergeCell ref="R90"/>
    <mergeCell ref="R95"/>
    <mergeCell ref="R94"/>
    <mergeCell ref="R93"/>
    <mergeCell ref="R98"/>
    <mergeCell ref="R97"/>
    <mergeCell ref="R96"/>
    <mergeCell ref="R101"/>
    <mergeCell ref="R100"/>
    <mergeCell ref="R99"/>
    <mergeCell ref="R161"/>
    <mergeCell ref="R104"/>
    <mergeCell ref="R120"/>
    <mergeCell ref="R68"/>
    <mergeCell ref="R67"/>
    <mergeCell ref="R66"/>
    <mergeCell ref="R284"/>
    <mergeCell ref="R71"/>
    <mergeCell ref="R283"/>
    <mergeCell ref="R70"/>
    <mergeCell ref="R282"/>
    <mergeCell ref="R69"/>
    <mergeCell ref="R287"/>
    <mergeCell ref="R74"/>
    <mergeCell ref="R44"/>
    <mergeCell ref="R256"/>
    <mergeCell ref="R43"/>
    <mergeCell ref="R255"/>
    <mergeCell ref="R42"/>
    <mergeCell ref="R260"/>
    <mergeCell ref="R47"/>
    <mergeCell ref="R259"/>
    <mergeCell ref="R46"/>
    <mergeCell ref="R258"/>
    <mergeCell ref="R45"/>
    <mergeCell ref="R263"/>
    <mergeCell ref="R50"/>
    <mergeCell ref="R262"/>
    <mergeCell ref="R49"/>
    <mergeCell ref="R261"/>
    <mergeCell ref="R48"/>
    <mergeCell ref="R266"/>
    <mergeCell ref="R53"/>
    <mergeCell ref="R265"/>
    <mergeCell ref="R52"/>
    <mergeCell ref="R264"/>
    <mergeCell ref="R51"/>
    <mergeCell ref="R241"/>
    <mergeCell ref="R28"/>
    <mergeCell ref="R240"/>
    <mergeCell ref="R27"/>
    <mergeCell ref="R245"/>
    <mergeCell ref="R32"/>
    <mergeCell ref="R244"/>
    <mergeCell ref="R31"/>
    <mergeCell ref="R243"/>
    <mergeCell ref="R30"/>
    <mergeCell ref="R248"/>
    <mergeCell ref="R35"/>
    <mergeCell ref="R247"/>
    <mergeCell ref="R34"/>
    <mergeCell ref="R246"/>
    <mergeCell ref="R33"/>
    <mergeCell ref="R251"/>
    <mergeCell ref="R38"/>
    <mergeCell ref="R250"/>
    <mergeCell ref="R37"/>
    <mergeCell ref="R249"/>
    <mergeCell ref="R36"/>
    <mergeCell ref="R254"/>
    <mergeCell ref="R41"/>
    <mergeCell ref="R253"/>
    <mergeCell ref="R40"/>
    <mergeCell ref="R252"/>
    <mergeCell ref="R39"/>
    <mergeCell ref="R216"/>
    <mergeCell ref="R131"/>
    <mergeCell ref="R130"/>
    <mergeCell ref="R129"/>
    <mergeCell ref="R134"/>
    <mergeCell ref="R133"/>
    <mergeCell ref="R132"/>
    <mergeCell ref="R137"/>
    <mergeCell ref="R136"/>
    <mergeCell ref="R135"/>
    <mergeCell ref="R140"/>
    <mergeCell ref="R139"/>
    <mergeCell ref="R138"/>
    <mergeCell ref="R3"/>
    <mergeCell ref="R221"/>
    <mergeCell ref="R8"/>
    <mergeCell ref="R220"/>
    <mergeCell ref="R7"/>
    <mergeCell ref="R219"/>
    <mergeCell ref="R6"/>
    <mergeCell ref="R224"/>
    <mergeCell ref="R11"/>
    <mergeCell ref="R223"/>
    <mergeCell ref="R10"/>
    <mergeCell ref="R222"/>
    <mergeCell ref="R9"/>
    <mergeCell ref="R227"/>
    <mergeCell ref="R14"/>
    <mergeCell ref="R226"/>
    <mergeCell ref="R13"/>
    <mergeCell ref="R225"/>
    <mergeCell ref="R12"/>
    <mergeCell ref="R230"/>
    <mergeCell ref="R17"/>
    <mergeCell ref="R229"/>
    <mergeCell ref="R16"/>
    <mergeCell ref="R228"/>
    <mergeCell ref="R15"/>
    <mergeCell ref="R356"/>
    <mergeCell ref="R143"/>
    <mergeCell ref="R355"/>
    <mergeCell ref="R142"/>
    <mergeCell ref="R354"/>
    <mergeCell ref="R141"/>
    <mergeCell ref="R359"/>
    <mergeCell ref="R146"/>
    <mergeCell ref="R358"/>
    <mergeCell ref="R145"/>
    <mergeCell ref="R357"/>
    <mergeCell ref="R144"/>
    <mergeCell ref="R149"/>
    <mergeCell ref="R148"/>
    <mergeCell ref="R147"/>
    <mergeCell ref="R218"/>
    <mergeCell ref="R5"/>
    <mergeCell ref="R217"/>
    <mergeCell ref="R4"/>
    <mergeCell ref="R233"/>
    <mergeCell ref="R20"/>
    <mergeCell ref="R232"/>
    <mergeCell ref="R19"/>
    <mergeCell ref="R231"/>
    <mergeCell ref="R18"/>
    <mergeCell ref="R236"/>
    <mergeCell ref="R23"/>
    <mergeCell ref="R235"/>
    <mergeCell ref="R22"/>
    <mergeCell ref="R234"/>
    <mergeCell ref="R21"/>
    <mergeCell ref="R239"/>
    <mergeCell ref="R26"/>
    <mergeCell ref="R238"/>
    <mergeCell ref="R25"/>
    <mergeCell ref="R237"/>
    <mergeCell ref="R24"/>
    <mergeCell ref="R242"/>
    <mergeCell ref="R29"/>
    <mergeCell ref="R125"/>
    <mergeCell ref="R337"/>
    <mergeCell ref="R124"/>
    <mergeCell ref="R336"/>
    <mergeCell ref="R123"/>
    <mergeCell ref="R341"/>
    <mergeCell ref="R128"/>
    <mergeCell ref="R340"/>
    <mergeCell ref="R127"/>
    <mergeCell ref="R339"/>
    <mergeCell ref="R126"/>
    <mergeCell ref="R320"/>
    <mergeCell ref="R107"/>
    <mergeCell ref="R319"/>
    <mergeCell ref="R106"/>
    <mergeCell ref="R318"/>
    <mergeCell ref="R105"/>
    <mergeCell ref="R323"/>
    <mergeCell ref="R110"/>
    <mergeCell ref="R322"/>
    <mergeCell ref="R109"/>
    <mergeCell ref="R321"/>
    <mergeCell ref="R108"/>
    <mergeCell ref="R326"/>
    <mergeCell ref="R113"/>
    <mergeCell ref="R325"/>
    <mergeCell ref="R112"/>
    <mergeCell ref="R324"/>
    <mergeCell ref="R111"/>
    <mergeCell ref="R329"/>
    <mergeCell ref="R116"/>
    <mergeCell ref="R328"/>
    <mergeCell ref="R115"/>
    <mergeCell ref="R327"/>
    <mergeCell ref="R114"/>
    <mergeCell ref="R304"/>
    <mergeCell ref="R303"/>
    <mergeCell ref="R308"/>
    <mergeCell ref="R307"/>
    <mergeCell ref="R306"/>
    <mergeCell ref="R311"/>
    <mergeCell ref="R310"/>
    <mergeCell ref="R309"/>
    <mergeCell ref="R314"/>
    <mergeCell ref="R313"/>
    <mergeCell ref="R312"/>
    <mergeCell ref="R317"/>
    <mergeCell ref="R194"/>
    <mergeCell ref="R165"/>
    <mergeCell ref="R164"/>
    <mergeCell ref="R154"/>
    <mergeCell ref="R153"/>
    <mergeCell ref="R152"/>
    <mergeCell ref="R157"/>
    <mergeCell ref="R156"/>
    <mergeCell ref="R155"/>
    <mergeCell ref="R160"/>
    <mergeCell ref="R159"/>
    <mergeCell ref="R158"/>
    <mergeCell ref="R163"/>
    <mergeCell ref="R162"/>
    <mergeCell ref="R280"/>
    <mergeCell ref="R279"/>
    <mergeCell ref="R293"/>
    <mergeCell ref="R103"/>
    <mergeCell ref="R315"/>
    <mergeCell ref="R102"/>
    <mergeCell ref="R415"/>
    <mergeCell ref="R202"/>
    <mergeCell ref="R414"/>
    <mergeCell ref="R201"/>
    <mergeCell ref="R413"/>
    <mergeCell ref="R200"/>
    <mergeCell ref="R418"/>
    <mergeCell ref="R205"/>
    <mergeCell ref="R417"/>
    <mergeCell ref="R204"/>
    <mergeCell ref="R416"/>
    <mergeCell ref="R203"/>
    <mergeCell ref="R296"/>
    <mergeCell ref="R83"/>
    <mergeCell ref="R425"/>
    <mergeCell ref="R212"/>
    <mergeCell ref="R424"/>
    <mergeCell ref="R211"/>
    <mergeCell ref="R423"/>
    <mergeCell ref="R210"/>
    <mergeCell ref="R422"/>
    <mergeCell ref="R209"/>
    <mergeCell ref="R421"/>
    <mergeCell ref="R208"/>
    <mergeCell ref="R420"/>
    <mergeCell ref="R207"/>
    <mergeCell ref="R419"/>
    <mergeCell ref="R206"/>
    <mergeCell ref="R299"/>
    <mergeCell ref="R86"/>
    <mergeCell ref="R298"/>
    <mergeCell ref="R85"/>
    <mergeCell ref="R297"/>
    <mergeCell ref="R84"/>
    <mergeCell ref="R302"/>
    <mergeCell ref="R89"/>
    <mergeCell ref="R301"/>
    <mergeCell ref="R88"/>
    <mergeCell ref="R300"/>
    <mergeCell ref="R87"/>
    <mergeCell ref="R305"/>
    <mergeCell ref="R92"/>
    <mergeCell ref="R403"/>
    <mergeCell ref="R190"/>
    <mergeCell ref="R402"/>
    <mergeCell ref="R189"/>
    <mergeCell ref="R401"/>
    <mergeCell ref="R188"/>
    <mergeCell ref="R406"/>
    <mergeCell ref="R193"/>
    <mergeCell ref="R405"/>
    <mergeCell ref="R192"/>
    <mergeCell ref="R404"/>
    <mergeCell ref="R191"/>
    <mergeCell ref="R409"/>
    <mergeCell ref="R196"/>
    <mergeCell ref="R408"/>
    <mergeCell ref="R195"/>
    <mergeCell ref="R407"/>
    <mergeCell ref="R333"/>
    <mergeCell ref="R338"/>
    <mergeCell ref="R378"/>
    <mergeCell ref="R377"/>
    <mergeCell ref="R382"/>
    <mergeCell ref="R169"/>
    <mergeCell ref="R381"/>
    <mergeCell ref="R168"/>
    <mergeCell ref="R380"/>
    <mergeCell ref="R167"/>
    <mergeCell ref="R385"/>
    <mergeCell ref="R172"/>
    <mergeCell ref="R384"/>
    <mergeCell ref="R171"/>
    <mergeCell ref="R383"/>
    <mergeCell ref="R170"/>
    <mergeCell ref="R388"/>
    <mergeCell ref="R175"/>
    <mergeCell ref="R387"/>
    <mergeCell ref="R174"/>
    <mergeCell ref="R386"/>
    <mergeCell ref="R173"/>
    <mergeCell ref="R367"/>
    <mergeCell ref="R366"/>
    <mergeCell ref="R365"/>
    <mergeCell ref="R370"/>
    <mergeCell ref="R369"/>
    <mergeCell ref="R368"/>
    <mergeCell ref="R373"/>
    <mergeCell ref="R372"/>
    <mergeCell ref="R371"/>
    <mergeCell ref="R376"/>
    <mergeCell ref="R375"/>
    <mergeCell ref="R374"/>
    <mergeCell ref="R316"/>
    <mergeCell ref="S75"/>
    <mergeCell ref="S293"/>
    <mergeCell ref="S80"/>
    <mergeCell ref="S292"/>
    <mergeCell ref="S79"/>
    <mergeCell ref="S291"/>
    <mergeCell ref="S78"/>
    <mergeCell ref="S272"/>
    <mergeCell ref="S59"/>
    <mergeCell ref="S271"/>
    <mergeCell ref="S58"/>
    <mergeCell ref="S270"/>
    <mergeCell ref="S57"/>
    <mergeCell ref="S275"/>
    <mergeCell ref="S62"/>
    <mergeCell ref="S274"/>
    <mergeCell ref="S61"/>
    <mergeCell ref="S273"/>
    <mergeCell ref="S60"/>
    <mergeCell ref="S278"/>
    <mergeCell ref="S65"/>
    <mergeCell ref="S277"/>
    <mergeCell ref="S64"/>
    <mergeCell ref="S276"/>
    <mergeCell ref="S63"/>
    <mergeCell ref="S281"/>
    <mergeCell ref="S68"/>
    <mergeCell ref="S280"/>
    <mergeCell ref="S67"/>
    <mergeCell ref="S279"/>
    <mergeCell ref="S66"/>
    <mergeCell ref="S260"/>
    <mergeCell ref="R412"/>
    <mergeCell ref="R199"/>
    <mergeCell ref="R411"/>
    <mergeCell ref="R198"/>
    <mergeCell ref="R410"/>
    <mergeCell ref="R197"/>
    <mergeCell ref="R391"/>
    <mergeCell ref="R178"/>
    <mergeCell ref="R390"/>
    <mergeCell ref="R177"/>
    <mergeCell ref="R389"/>
    <mergeCell ref="R176"/>
    <mergeCell ref="R394"/>
    <mergeCell ref="R181"/>
    <mergeCell ref="R393"/>
    <mergeCell ref="R180"/>
    <mergeCell ref="R392"/>
    <mergeCell ref="R179"/>
    <mergeCell ref="R397"/>
    <mergeCell ref="R184"/>
    <mergeCell ref="R396"/>
    <mergeCell ref="R183"/>
    <mergeCell ref="R395"/>
    <mergeCell ref="R182"/>
    <mergeCell ref="R400"/>
    <mergeCell ref="R187"/>
    <mergeCell ref="R399"/>
    <mergeCell ref="R186"/>
    <mergeCell ref="R398"/>
    <mergeCell ref="R185"/>
    <mergeCell ref="R379"/>
    <mergeCell ref="R166"/>
    <mergeCell ref="R286"/>
    <mergeCell ref="S47"/>
    <mergeCell ref="S259"/>
    <mergeCell ref="S46"/>
    <mergeCell ref="S258"/>
    <mergeCell ref="S45"/>
    <mergeCell ref="S263"/>
    <mergeCell ref="S50"/>
    <mergeCell ref="S262"/>
    <mergeCell ref="S49"/>
    <mergeCell ref="S261"/>
    <mergeCell ref="S48"/>
    <mergeCell ref="S266"/>
    <mergeCell ref="S53"/>
    <mergeCell ref="S265"/>
    <mergeCell ref="S52"/>
    <mergeCell ref="S264"/>
    <mergeCell ref="S51"/>
    <mergeCell ref="S269"/>
    <mergeCell ref="S56"/>
    <mergeCell ref="S268"/>
    <mergeCell ref="S55"/>
    <mergeCell ref="S267"/>
    <mergeCell ref="S54"/>
    <mergeCell ref="S248"/>
    <mergeCell ref="S35"/>
    <mergeCell ref="S247"/>
    <mergeCell ref="S34"/>
    <mergeCell ref="S246"/>
    <mergeCell ref="S33"/>
    <mergeCell ref="S251"/>
    <mergeCell ref="S38"/>
    <mergeCell ref="S250"/>
    <mergeCell ref="S37"/>
    <mergeCell ref="S249"/>
    <mergeCell ref="S36"/>
    <mergeCell ref="S254"/>
    <mergeCell ref="S41"/>
    <mergeCell ref="S253"/>
    <mergeCell ref="S40"/>
    <mergeCell ref="S252"/>
    <mergeCell ref="S39"/>
    <mergeCell ref="S257"/>
    <mergeCell ref="S44"/>
    <mergeCell ref="S256"/>
    <mergeCell ref="S43"/>
    <mergeCell ref="S255"/>
    <mergeCell ref="S42"/>
    <mergeCell ref="S236"/>
    <mergeCell ref="S118"/>
    <mergeCell ref="S117"/>
    <mergeCell ref="S284"/>
    <mergeCell ref="S71"/>
    <mergeCell ref="S283"/>
    <mergeCell ref="S70"/>
    <mergeCell ref="S282"/>
    <mergeCell ref="S69"/>
    <mergeCell ref="S74"/>
    <mergeCell ref="S286"/>
    <mergeCell ref="S73"/>
    <mergeCell ref="S285"/>
    <mergeCell ref="S72"/>
    <mergeCell ref="S77"/>
    <mergeCell ref="S76"/>
    <mergeCell ref="S23"/>
    <mergeCell ref="S235"/>
    <mergeCell ref="S22"/>
    <mergeCell ref="S234"/>
    <mergeCell ref="S21"/>
    <mergeCell ref="S239"/>
    <mergeCell ref="S26"/>
    <mergeCell ref="S238"/>
    <mergeCell ref="S25"/>
    <mergeCell ref="S237"/>
    <mergeCell ref="S24"/>
    <mergeCell ref="S242"/>
    <mergeCell ref="S29"/>
    <mergeCell ref="S241"/>
    <mergeCell ref="S28"/>
    <mergeCell ref="S240"/>
    <mergeCell ref="S27"/>
    <mergeCell ref="S245"/>
    <mergeCell ref="S32"/>
    <mergeCell ref="S244"/>
    <mergeCell ref="S31"/>
    <mergeCell ref="S243"/>
    <mergeCell ref="S30"/>
    <mergeCell ref="S362"/>
    <mergeCell ref="S149"/>
    <mergeCell ref="S361"/>
    <mergeCell ref="S148"/>
    <mergeCell ref="S360"/>
    <mergeCell ref="S147"/>
    <mergeCell ref="S218"/>
    <mergeCell ref="S5"/>
    <mergeCell ref="S217"/>
    <mergeCell ref="S4"/>
    <mergeCell ref="S216"/>
    <mergeCell ref="S353"/>
    <mergeCell ref="S352"/>
    <mergeCell ref="S351"/>
    <mergeCell ref="S356"/>
    <mergeCell ref="S355"/>
    <mergeCell ref="S354"/>
    <mergeCell ref="S359"/>
    <mergeCell ref="S358"/>
    <mergeCell ref="S357"/>
    <mergeCell ref="S347"/>
    <mergeCell ref="S134"/>
    <mergeCell ref="S346"/>
    <mergeCell ref="S133"/>
    <mergeCell ref="S345"/>
    <mergeCell ref="S132"/>
    <mergeCell ref="S326"/>
    <mergeCell ref="S113"/>
    <mergeCell ref="S325"/>
    <mergeCell ref="S112"/>
    <mergeCell ref="S324"/>
    <mergeCell ref="S111"/>
    <mergeCell ref="S329"/>
    <mergeCell ref="S116"/>
    <mergeCell ref="S328"/>
    <mergeCell ref="S115"/>
    <mergeCell ref="S327"/>
    <mergeCell ref="S114"/>
    <mergeCell ref="S332"/>
    <mergeCell ref="S119"/>
    <mergeCell ref="S331"/>
    <mergeCell ref="S3"/>
    <mergeCell ref="S221"/>
    <mergeCell ref="S8"/>
    <mergeCell ref="S220"/>
    <mergeCell ref="S7"/>
    <mergeCell ref="S219"/>
    <mergeCell ref="S6"/>
    <mergeCell ref="S224"/>
    <mergeCell ref="S11"/>
    <mergeCell ref="S223"/>
    <mergeCell ref="S10"/>
    <mergeCell ref="S222"/>
    <mergeCell ref="S9"/>
    <mergeCell ref="S227"/>
    <mergeCell ref="S14"/>
    <mergeCell ref="S226"/>
    <mergeCell ref="S13"/>
    <mergeCell ref="S225"/>
    <mergeCell ref="S12"/>
    <mergeCell ref="S230"/>
    <mergeCell ref="S17"/>
    <mergeCell ref="S229"/>
    <mergeCell ref="S16"/>
    <mergeCell ref="S228"/>
    <mergeCell ref="S15"/>
    <mergeCell ref="S233"/>
    <mergeCell ref="S20"/>
    <mergeCell ref="S232"/>
    <mergeCell ref="S19"/>
    <mergeCell ref="S231"/>
    <mergeCell ref="S18"/>
    <mergeCell ref="S350"/>
    <mergeCell ref="S137"/>
    <mergeCell ref="S349"/>
    <mergeCell ref="S136"/>
    <mergeCell ref="S348"/>
    <mergeCell ref="S135"/>
    <mergeCell ref="S140"/>
    <mergeCell ref="S139"/>
    <mergeCell ref="S138"/>
    <mergeCell ref="S143"/>
    <mergeCell ref="S142"/>
    <mergeCell ref="S141"/>
    <mergeCell ref="S146"/>
    <mergeCell ref="S145"/>
    <mergeCell ref="S144"/>
    <mergeCell ref="S338"/>
    <mergeCell ref="S125"/>
    <mergeCell ref="S337"/>
    <mergeCell ref="S124"/>
    <mergeCell ref="S336"/>
    <mergeCell ref="S123"/>
    <mergeCell ref="S341"/>
    <mergeCell ref="S128"/>
    <mergeCell ref="S340"/>
    <mergeCell ref="S127"/>
    <mergeCell ref="S339"/>
    <mergeCell ref="S126"/>
    <mergeCell ref="S344"/>
    <mergeCell ref="S131"/>
    <mergeCell ref="S343"/>
    <mergeCell ref="S130"/>
    <mergeCell ref="S342"/>
    <mergeCell ref="S129"/>
    <mergeCell ref="S122"/>
    <mergeCell ref="S334"/>
    <mergeCell ref="S121"/>
    <mergeCell ref="S333"/>
    <mergeCell ref="S120"/>
    <mergeCell ref="S310"/>
    <mergeCell ref="S97"/>
    <mergeCell ref="S309"/>
    <mergeCell ref="S96"/>
    <mergeCell ref="S314"/>
    <mergeCell ref="S101"/>
    <mergeCell ref="S313"/>
    <mergeCell ref="S100"/>
    <mergeCell ref="S312"/>
    <mergeCell ref="S99"/>
    <mergeCell ref="S317"/>
    <mergeCell ref="S104"/>
    <mergeCell ref="S316"/>
    <mergeCell ref="S103"/>
    <mergeCell ref="S315"/>
    <mergeCell ref="S102"/>
    <mergeCell ref="S320"/>
    <mergeCell ref="S107"/>
    <mergeCell ref="S319"/>
    <mergeCell ref="S106"/>
    <mergeCell ref="S318"/>
    <mergeCell ref="S105"/>
    <mergeCell ref="S323"/>
    <mergeCell ref="S110"/>
    <mergeCell ref="S322"/>
    <mergeCell ref="S109"/>
    <mergeCell ref="S321"/>
    <mergeCell ref="S108"/>
    <mergeCell ref="S287"/>
    <mergeCell ref="S290"/>
    <mergeCell ref="S289"/>
    <mergeCell ref="S288"/>
    <mergeCell ref="S412"/>
    <mergeCell ref="S199"/>
    <mergeCell ref="S411"/>
    <mergeCell ref="S198"/>
    <mergeCell ref="S410"/>
    <mergeCell ref="S197"/>
    <mergeCell ref="S415"/>
    <mergeCell ref="S202"/>
    <mergeCell ref="S414"/>
    <mergeCell ref="S201"/>
    <mergeCell ref="S413"/>
    <mergeCell ref="S200"/>
    <mergeCell ref="S418"/>
    <mergeCell ref="S205"/>
    <mergeCell ref="S417"/>
    <mergeCell ref="S204"/>
    <mergeCell ref="S416"/>
    <mergeCell ref="S203"/>
    <mergeCell ref="S296"/>
    <mergeCell ref="S83"/>
    <mergeCell ref="S425"/>
    <mergeCell ref="S212"/>
    <mergeCell ref="S424"/>
    <mergeCell ref="S211"/>
    <mergeCell ref="S423"/>
    <mergeCell ref="S210"/>
    <mergeCell ref="S422"/>
    <mergeCell ref="S209"/>
    <mergeCell ref="S421"/>
    <mergeCell ref="S208"/>
    <mergeCell ref="S420"/>
    <mergeCell ref="S207"/>
    <mergeCell ref="S419"/>
    <mergeCell ref="S206"/>
    <mergeCell ref="S299"/>
    <mergeCell ref="S86"/>
    <mergeCell ref="S298"/>
    <mergeCell ref="S85"/>
    <mergeCell ref="S297"/>
    <mergeCell ref="S84"/>
    <mergeCell ref="S302"/>
    <mergeCell ref="S89"/>
    <mergeCell ref="S400"/>
    <mergeCell ref="S187"/>
    <mergeCell ref="S399"/>
    <mergeCell ref="S186"/>
    <mergeCell ref="S398"/>
    <mergeCell ref="S185"/>
    <mergeCell ref="S403"/>
    <mergeCell ref="S190"/>
    <mergeCell ref="S402"/>
    <mergeCell ref="S189"/>
    <mergeCell ref="S401"/>
    <mergeCell ref="S188"/>
    <mergeCell ref="S406"/>
    <mergeCell ref="S193"/>
    <mergeCell ref="S405"/>
    <mergeCell ref="S192"/>
    <mergeCell ref="S404"/>
    <mergeCell ref="S191"/>
    <mergeCell ref="S409"/>
    <mergeCell ref="S196"/>
    <mergeCell ref="S408"/>
    <mergeCell ref="S195"/>
    <mergeCell ref="S407"/>
    <mergeCell ref="S194"/>
    <mergeCell ref="S388"/>
    <mergeCell ref="S175"/>
    <mergeCell ref="S387"/>
    <mergeCell ref="S174"/>
    <mergeCell ref="S386"/>
    <mergeCell ref="S173"/>
    <mergeCell ref="S391"/>
    <mergeCell ref="S178"/>
    <mergeCell ref="S390"/>
    <mergeCell ref="S177"/>
    <mergeCell ref="S389"/>
    <mergeCell ref="S176"/>
    <mergeCell ref="S394"/>
    <mergeCell ref="S181"/>
    <mergeCell ref="S393"/>
    <mergeCell ref="S180"/>
    <mergeCell ref="S392"/>
    <mergeCell ref="S179"/>
    <mergeCell ref="S397"/>
    <mergeCell ref="S184"/>
    <mergeCell ref="S396"/>
    <mergeCell ref="S183"/>
    <mergeCell ref="S395"/>
    <mergeCell ref="S182"/>
    <mergeCell ref="S376"/>
    <mergeCell ref="S163"/>
    <mergeCell ref="S375"/>
    <mergeCell ref="S162"/>
    <mergeCell ref="S374"/>
    <mergeCell ref="S161"/>
    <mergeCell ref="S379"/>
    <mergeCell ref="S166"/>
    <mergeCell ref="S378"/>
    <mergeCell ref="S165"/>
    <mergeCell ref="S377"/>
    <mergeCell ref="S164"/>
    <mergeCell ref="S382"/>
    <mergeCell ref="S169"/>
    <mergeCell ref="S381"/>
    <mergeCell ref="S168"/>
    <mergeCell ref="S380"/>
    <mergeCell ref="S167"/>
    <mergeCell ref="S385"/>
    <mergeCell ref="S172"/>
    <mergeCell ref="S384"/>
    <mergeCell ref="S171"/>
    <mergeCell ref="S383"/>
    <mergeCell ref="S170"/>
    <mergeCell ref="S330"/>
    <mergeCell ref="S335"/>
    <mergeCell ref="T72"/>
    <mergeCell ref="T286"/>
    <mergeCell ref="T73"/>
    <mergeCell ref="T283"/>
    <mergeCell ref="T70"/>
    <mergeCell ref="T284"/>
    <mergeCell ref="T71"/>
    <mergeCell ref="T257"/>
    <mergeCell ref="T293"/>
    <mergeCell ref="T80"/>
    <mergeCell ref="T291"/>
    <mergeCell ref="T78"/>
    <mergeCell ref="T292"/>
    <mergeCell ref="T79"/>
    <mergeCell ref="T289"/>
    <mergeCell ref="T76"/>
    <mergeCell ref="T290"/>
    <mergeCell ref="T77"/>
    <mergeCell ref="S367"/>
    <mergeCell ref="S154"/>
    <mergeCell ref="S366"/>
    <mergeCell ref="S153"/>
    <mergeCell ref="S365"/>
    <mergeCell ref="S152"/>
    <mergeCell ref="S370"/>
    <mergeCell ref="S157"/>
    <mergeCell ref="S369"/>
    <mergeCell ref="S156"/>
    <mergeCell ref="S368"/>
    <mergeCell ref="S155"/>
    <mergeCell ref="S373"/>
    <mergeCell ref="S160"/>
    <mergeCell ref="S372"/>
    <mergeCell ref="S159"/>
    <mergeCell ref="S371"/>
    <mergeCell ref="S158"/>
    <mergeCell ref="S301"/>
    <mergeCell ref="S88"/>
    <mergeCell ref="S300"/>
    <mergeCell ref="S87"/>
    <mergeCell ref="S305"/>
    <mergeCell ref="S92"/>
    <mergeCell ref="S304"/>
    <mergeCell ref="S91"/>
    <mergeCell ref="S303"/>
    <mergeCell ref="S90"/>
    <mergeCell ref="S308"/>
    <mergeCell ref="S95"/>
    <mergeCell ref="S307"/>
    <mergeCell ref="S94"/>
    <mergeCell ref="S306"/>
    <mergeCell ref="S93"/>
    <mergeCell ref="S311"/>
    <mergeCell ref="S98"/>
    <mergeCell ref="T275"/>
    <mergeCell ref="T352"/>
    <mergeCell ref="T349"/>
    <mergeCell ref="T350"/>
    <mergeCell ref="T347"/>
    <mergeCell ref="T348"/>
    <mergeCell ref="T339"/>
    <mergeCell ref="T340"/>
    <mergeCell ref="T337"/>
    <mergeCell ref="T338"/>
    <mergeCell ref="T44"/>
    <mergeCell ref="T258"/>
    <mergeCell ref="T45"/>
    <mergeCell ref="T255"/>
    <mergeCell ref="T42"/>
    <mergeCell ref="T256"/>
    <mergeCell ref="T43"/>
    <mergeCell ref="T253"/>
    <mergeCell ref="T40"/>
    <mergeCell ref="T254"/>
    <mergeCell ref="T41"/>
    <mergeCell ref="T263"/>
    <mergeCell ref="T50"/>
    <mergeCell ref="T264"/>
    <mergeCell ref="T51"/>
    <mergeCell ref="T261"/>
    <mergeCell ref="T48"/>
    <mergeCell ref="T262"/>
    <mergeCell ref="T49"/>
    <mergeCell ref="T259"/>
    <mergeCell ref="T46"/>
    <mergeCell ref="T260"/>
    <mergeCell ref="T47"/>
    <mergeCell ref="T269"/>
    <mergeCell ref="T56"/>
    <mergeCell ref="T270"/>
    <mergeCell ref="T57"/>
    <mergeCell ref="T267"/>
    <mergeCell ref="T54"/>
    <mergeCell ref="T268"/>
    <mergeCell ref="T55"/>
    <mergeCell ref="T265"/>
    <mergeCell ref="T52"/>
    <mergeCell ref="T266"/>
    <mergeCell ref="T53"/>
    <mergeCell ref="T232"/>
    <mergeCell ref="T163"/>
    <mergeCell ref="T164"/>
    <mergeCell ref="T173"/>
    <mergeCell ref="T174"/>
    <mergeCell ref="T171"/>
    <mergeCell ref="T172"/>
    <mergeCell ref="T169"/>
    <mergeCell ref="T170"/>
    <mergeCell ref="T179"/>
    <mergeCell ref="T180"/>
    <mergeCell ref="T177"/>
    <mergeCell ref="T178"/>
    <mergeCell ref="T175"/>
    <mergeCell ref="T176"/>
    <mergeCell ref="T62"/>
    <mergeCell ref="T63"/>
    <mergeCell ref="T60"/>
    <mergeCell ref="T61"/>
    <mergeCell ref="T58"/>
    <mergeCell ref="T59"/>
    <mergeCell ref="T68"/>
    <mergeCell ref="T69"/>
    <mergeCell ref="T66"/>
    <mergeCell ref="T67"/>
    <mergeCell ref="T64"/>
    <mergeCell ref="T65"/>
    <mergeCell ref="T74"/>
    <mergeCell ref="T75"/>
    <mergeCell ref="T19"/>
    <mergeCell ref="T229"/>
    <mergeCell ref="T16"/>
    <mergeCell ref="T230"/>
    <mergeCell ref="T17"/>
    <mergeCell ref="T239"/>
    <mergeCell ref="T26"/>
    <mergeCell ref="T240"/>
    <mergeCell ref="T27"/>
    <mergeCell ref="T237"/>
    <mergeCell ref="T24"/>
    <mergeCell ref="T238"/>
    <mergeCell ref="T25"/>
    <mergeCell ref="T235"/>
    <mergeCell ref="T22"/>
    <mergeCell ref="T236"/>
    <mergeCell ref="T23"/>
    <mergeCell ref="T245"/>
    <mergeCell ref="T32"/>
    <mergeCell ref="T246"/>
    <mergeCell ref="T33"/>
    <mergeCell ref="T243"/>
    <mergeCell ref="T30"/>
    <mergeCell ref="T244"/>
    <mergeCell ref="T31"/>
    <mergeCell ref="T241"/>
    <mergeCell ref="T28"/>
    <mergeCell ref="T242"/>
    <mergeCell ref="T29"/>
    <mergeCell ref="T251"/>
    <mergeCell ref="T38"/>
    <mergeCell ref="T252"/>
    <mergeCell ref="T39"/>
    <mergeCell ref="T249"/>
    <mergeCell ref="T36"/>
    <mergeCell ref="T250"/>
    <mergeCell ref="T37"/>
    <mergeCell ref="T247"/>
    <mergeCell ref="T34"/>
    <mergeCell ref="T248"/>
    <mergeCell ref="T35"/>
    <mergeCell ref="T139"/>
    <mergeCell ref="T136"/>
    <mergeCell ref="T137"/>
    <mergeCell ref="T134"/>
    <mergeCell ref="T135"/>
    <mergeCell ref="T216"/>
    <mergeCell ref="T117"/>
    <mergeCell ref="T126"/>
    <mergeCell ref="T127"/>
    <mergeCell ref="T124"/>
    <mergeCell ref="T125"/>
    <mergeCell ref="T122"/>
    <mergeCell ref="T123"/>
    <mergeCell ref="T132"/>
    <mergeCell ref="T133"/>
    <mergeCell ref="T130"/>
    <mergeCell ref="T131"/>
    <mergeCell ref="T128"/>
    <mergeCell ref="T129"/>
    <mergeCell ref="T167"/>
    <mergeCell ref="T168"/>
    <mergeCell ref="T165"/>
    <mergeCell ref="T166"/>
    <mergeCell ref="T3"/>
    <mergeCell ref="T361"/>
    <mergeCell ref="T148"/>
    <mergeCell ref="T362"/>
    <mergeCell ref="T149"/>
    <mergeCell ref="T359"/>
    <mergeCell ref="T146"/>
    <mergeCell ref="T360"/>
    <mergeCell ref="T147"/>
    <mergeCell ref="T357"/>
    <mergeCell ref="T144"/>
    <mergeCell ref="T358"/>
    <mergeCell ref="T145"/>
    <mergeCell ref="T355"/>
    <mergeCell ref="T142"/>
    <mergeCell ref="T356"/>
    <mergeCell ref="T143"/>
    <mergeCell ref="T353"/>
    <mergeCell ref="T140"/>
    <mergeCell ref="T354"/>
    <mergeCell ref="T141"/>
    <mergeCell ref="T351"/>
    <mergeCell ref="T138"/>
    <mergeCell ref="T221"/>
    <mergeCell ref="T8"/>
    <mergeCell ref="T222"/>
    <mergeCell ref="T9"/>
    <mergeCell ref="T219"/>
    <mergeCell ref="T6"/>
    <mergeCell ref="T220"/>
    <mergeCell ref="T7"/>
    <mergeCell ref="T217"/>
    <mergeCell ref="T4"/>
    <mergeCell ref="T218"/>
    <mergeCell ref="T5"/>
    <mergeCell ref="T227"/>
    <mergeCell ref="T14"/>
    <mergeCell ref="T228"/>
    <mergeCell ref="T15"/>
    <mergeCell ref="T225"/>
    <mergeCell ref="T12"/>
    <mergeCell ref="T226"/>
    <mergeCell ref="T13"/>
    <mergeCell ref="T223"/>
    <mergeCell ref="T10"/>
    <mergeCell ref="T224"/>
    <mergeCell ref="T11"/>
    <mergeCell ref="T233"/>
    <mergeCell ref="T20"/>
    <mergeCell ref="T234"/>
    <mergeCell ref="T21"/>
    <mergeCell ref="T231"/>
    <mergeCell ref="T18"/>
    <mergeCell ref="T333"/>
    <mergeCell ref="T120"/>
    <mergeCell ref="T334"/>
    <mergeCell ref="T121"/>
    <mergeCell ref="T331"/>
    <mergeCell ref="T118"/>
    <mergeCell ref="T332"/>
    <mergeCell ref="T119"/>
    <mergeCell ref="T329"/>
    <mergeCell ref="T116"/>
    <mergeCell ref="T330"/>
    <mergeCell ref="T417"/>
    <mergeCell ref="T204"/>
    <mergeCell ref="T414"/>
    <mergeCell ref="T201"/>
    <mergeCell ref="T415"/>
    <mergeCell ref="T202"/>
    <mergeCell ref="T412"/>
    <mergeCell ref="T199"/>
    <mergeCell ref="T413"/>
    <mergeCell ref="T200"/>
    <mergeCell ref="T297"/>
    <mergeCell ref="T84"/>
    <mergeCell ref="T298"/>
    <mergeCell ref="T85"/>
    <mergeCell ref="T296"/>
    <mergeCell ref="T83"/>
    <mergeCell ref="T424"/>
    <mergeCell ref="T211"/>
    <mergeCell ref="T425"/>
    <mergeCell ref="T212"/>
    <mergeCell ref="T422"/>
    <mergeCell ref="T209"/>
    <mergeCell ref="T423"/>
    <mergeCell ref="T210"/>
    <mergeCell ref="T420"/>
    <mergeCell ref="T207"/>
    <mergeCell ref="T421"/>
    <mergeCell ref="T208"/>
    <mergeCell ref="T418"/>
    <mergeCell ref="T205"/>
    <mergeCell ref="T419"/>
    <mergeCell ref="T206"/>
    <mergeCell ref="T416"/>
    <mergeCell ref="T203"/>
    <mergeCell ref="T303"/>
    <mergeCell ref="T90"/>
    <mergeCell ref="T304"/>
    <mergeCell ref="T91"/>
    <mergeCell ref="T301"/>
    <mergeCell ref="T88"/>
    <mergeCell ref="T302"/>
    <mergeCell ref="T89"/>
    <mergeCell ref="T299"/>
    <mergeCell ref="T86"/>
    <mergeCell ref="T300"/>
    <mergeCell ref="T87"/>
    <mergeCell ref="T309"/>
    <mergeCell ref="T96"/>
    <mergeCell ref="T310"/>
    <mergeCell ref="T97"/>
    <mergeCell ref="T307"/>
    <mergeCell ref="T94"/>
    <mergeCell ref="T308"/>
    <mergeCell ref="T95"/>
    <mergeCell ref="T305"/>
    <mergeCell ref="T92"/>
    <mergeCell ref="T306"/>
    <mergeCell ref="T93"/>
    <mergeCell ref="T315"/>
    <mergeCell ref="T102"/>
    <mergeCell ref="T316"/>
    <mergeCell ref="T103"/>
    <mergeCell ref="T313"/>
    <mergeCell ref="T100"/>
    <mergeCell ref="T398"/>
    <mergeCell ref="T185"/>
    <mergeCell ref="T399"/>
    <mergeCell ref="T186"/>
    <mergeCell ref="T396"/>
    <mergeCell ref="T183"/>
    <mergeCell ref="T397"/>
    <mergeCell ref="T184"/>
    <mergeCell ref="T394"/>
    <mergeCell ref="T181"/>
    <mergeCell ref="T395"/>
    <mergeCell ref="T182"/>
    <mergeCell ref="T404"/>
    <mergeCell ref="T191"/>
    <mergeCell ref="T405"/>
    <mergeCell ref="T192"/>
    <mergeCell ref="T402"/>
    <mergeCell ref="T189"/>
    <mergeCell ref="T403"/>
    <mergeCell ref="T190"/>
    <mergeCell ref="T400"/>
    <mergeCell ref="T187"/>
    <mergeCell ref="T401"/>
    <mergeCell ref="T188"/>
    <mergeCell ref="T410"/>
    <mergeCell ref="T197"/>
    <mergeCell ref="T411"/>
    <mergeCell ref="T198"/>
    <mergeCell ref="T408"/>
    <mergeCell ref="T195"/>
    <mergeCell ref="T409"/>
    <mergeCell ref="T196"/>
    <mergeCell ref="T406"/>
    <mergeCell ref="T193"/>
    <mergeCell ref="T407"/>
    <mergeCell ref="T194"/>
    <mergeCell ref="T380"/>
    <mergeCell ref="T381"/>
    <mergeCell ref="T378"/>
    <mergeCell ref="T379"/>
    <mergeCell ref="T376"/>
    <mergeCell ref="T377"/>
    <mergeCell ref="T386"/>
    <mergeCell ref="T387"/>
    <mergeCell ref="T384"/>
    <mergeCell ref="T385"/>
    <mergeCell ref="T382"/>
    <mergeCell ref="T383"/>
    <mergeCell ref="T392"/>
    <mergeCell ref="T393"/>
    <mergeCell ref="T390"/>
    <mergeCell ref="T391"/>
    <mergeCell ref="T388"/>
    <mergeCell ref="T389"/>
    <mergeCell ref="T276"/>
    <mergeCell ref="T273"/>
    <mergeCell ref="T274"/>
    <mergeCell ref="T271"/>
    <mergeCell ref="T272"/>
    <mergeCell ref="T281"/>
    <mergeCell ref="T282"/>
    <mergeCell ref="T279"/>
    <mergeCell ref="T280"/>
    <mergeCell ref="T277"/>
    <mergeCell ref="T368"/>
    <mergeCell ref="T155"/>
    <mergeCell ref="T369"/>
    <mergeCell ref="T156"/>
    <mergeCell ref="T366"/>
    <mergeCell ref="T153"/>
    <mergeCell ref="T367"/>
    <mergeCell ref="T154"/>
    <mergeCell ref="T365"/>
    <mergeCell ref="T152"/>
    <mergeCell ref="T374"/>
    <mergeCell ref="T161"/>
    <mergeCell ref="T375"/>
    <mergeCell ref="T162"/>
    <mergeCell ref="T372"/>
    <mergeCell ref="T159"/>
    <mergeCell ref="T373"/>
    <mergeCell ref="T160"/>
    <mergeCell ref="T370"/>
    <mergeCell ref="T157"/>
    <mergeCell ref="T371"/>
    <mergeCell ref="T158"/>
    <mergeCell ref="T314"/>
    <mergeCell ref="T101"/>
    <mergeCell ref="T311"/>
    <mergeCell ref="T98"/>
    <mergeCell ref="T312"/>
    <mergeCell ref="T99"/>
    <mergeCell ref="T321"/>
    <mergeCell ref="T108"/>
    <mergeCell ref="T322"/>
    <mergeCell ref="T109"/>
    <mergeCell ref="T319"/>
    <mergeCell ref="T106"/>
    <mergeCell ref="T320"/>
    <mergeCell ref="T107"/>
    <mergeCell ref="T317"/>
    <mergeCell ref="T104"/>
    <mergeCell ref="T318"/>
    <mergeCell ref="T105"/>
    <mergeCell ref="T327"/>
    <mergeCell ref="T114"/>
    <mergeCell ref="T328"/>
    <mergeCell ref="T115"/>
    <mergeCell ref="T325"/>
    <mergeCell ref="T112"/>
    <mergeCell ref="T326"/>
    <mergeCell ref="T113"/>
    <mergeCell ref="T323"/>
    <mergeCell ref="T110"/>
    <mergeCell ref="T324"/>
    <mergeCell ref="T111"/>
    <mergeCell ref="T278"/>
    <mergeCell ref="T287"/>
    <mergeCell ref="T288"/>
    <mergeCell ref="T285"/>
    <mergeCell ref="T335"/>
    <mergeCell ref="T336"/>
    <mergeCell ref="T345"/>
    <mergeCell ref="T346"/>
    <mergeCell ref="T343"/>
    <mergeCell ref="T344"/>
    <mergeCell ref="T341"/>
    <mergeCell ref="T342"/>
    <mergeCell ref="U65"/>
    <mergeCell ref="U279"/>
    <mergeCell ref="U66"/>
    <mergeCell ref="U284"/>
    <mergeCell ref="U71"/>
    <mergeCell ref="U285"/>
    <mergeCell ref="U72"/>
    <mergeCell ref="U282"/>
    <mergeCell ref="U69"/>
    <mergeCell ref="U283"/>
    <mergeCell ref="U70"/>
    <mergeCell ref="U288"/>
    <mergeCell ref="U75"/>
    <mergeCell ref="U289"/>
    <mergeCell ref="U76"/>
    <mergeCell ref="U286"/>
    <mergeCell ref="U73"/>
    <mergeCell ref="U287"/>
    <mergeCell ref="U74"/>
    <mergeCell ref="U268"/>
    <mergeCell ref="U55"/>
    <mergeCell ref="U269"/>
    <mergeCell ref="U56"/>
    <mergeCell ref="U266"/>
    <mergeCell ref="U53"/>
    <mergeCell ref="U267"/>
    <mergeCell ref="U54"/>
    <mergeCell ref="U272"/>
    <mergeCell ref="U59"/>
    <mergeCell ref="U273"/>
    <mergeCell ref="U60"/>
    <mergeCell ref="U270"/>
    <mergeCell ref="U57"/>
    <mergeCell ref="U271"/>
    <mergeCell ref="U58"/>
    <mergeCell ref="U276"/>
    <mergeCell ref="U63"/>
    <mergeCell ref="U277"/>
    <mergeCell ref="U64"/>
    <mergeCell ref="U274"/>
    <mergeCell ref="U61"/>
    <mergeCell ref="U275"/>
    <mergeCell ref="U62"/>
    <mergeCell ref="U256"/>
    <mergeCell ref="U79"/>
    <mergeCell ref="U80"/>
    <mergeCell ref="U77"/>
    <mergeCell ref="U78"/>
    <mergeCell ref="U280"/>
    <mergeCell ref="U43"/>
    <mergeCell ref="U257"/>
    <mergeCell ref="U44"/>
    <mergeCell ref="U254"/>
    <mergeCell ref="U41"/>
    <mergeCell ref="U255"/>
    <mergeCell ref="U42"/>
    <mergeCell ref="U260"/>
    <mergeCell ref="U47"/>
    <mergeCell ref="U261"/>
    <mergeCell ref="U48"/>
    <mergeCell ref="U258"/>
    <mergeCell ref="U45"/>
    <mergeCell ref="U259"/>
    <mergeCell ref="U46"/>
    <mergeCell ref="U264"/>
    <mergeCell ref="U51"/>
    <mergeCell ref="U265"/>
    <mergeCell ref="U52"/>
    <mergeCell ref="U262"/>
    <mergeCell ref="U49"/>
    <mergeCell ref="U263"/>
    <mergeCell ref="U50"/>
    <mergeCell ref="U245"/>
    <mergeCell ref="U32"/>
    <mergeCell ref="U242"/>
    <mergeCell ref="U29"/>
    <mergeCell ref="U243"/>
    <mergeCell ref="U30"/>
    <mergeCell ref="U248"/>
    <mergeCell ref="U35"/>
    <mergeCell ref="U249"/>
    <mergeCell ref="U36"/>
    <mergeCell ref="U246"/>
    <mergeCell ref="U33"/>
    <mergeCell ref="U247"/>
    <mergeCell ref="U34"/>
    <mergeCell ref="U252"/>
    <mergeCell ref="U39"/>
    <mergeCell ref="U253"/>
    <mergeCell ref="U40"/>
    <mergeCell ref="U250"/>
    <mergeCell ref="U37"/>
    <mergeCell ref="U251"/>
    <mergeCell ref="U38"/>
    <mergeCell ref="U233"/>
    <mergeCell ref="U114"/>
    <mergeCell ref="U119"/>
    <mergeCell ref="U120"/>
    <mergeCell ref="U117"/>
    <mergeCell ref="U162"/>
    <mergeCell ref="U163"/>
    <mergeCell ref="U160"/>
    <mergeCell ref="U161"/>
    <mergeCell ref="U166"/>
    <mergeCell ref="U167"/>
    <mergeCell ref="U164"/>
    <mergeCell ref="U165"/>
    <mergeCell ref="U170"/>
    <mergeCell ref="U171"/>
    <mergeCell ref="U168"/>
    <mergeCell ref="U169"/>
    <mergeCell ref="U67"/>
    <mergeCell ref="U68"/>
    <mergeCell ref="U20"/>
    <mergeCell ref="U230"/>
    <mergeCell ref="U17"/>
    <mergeCell ref="U231"/>
    <mergeCell ref="U18"/>
    <mergeCell ref="U236"/>
    <mergeCell ref="U23"/>
    <mergeCell ref="U237"/>
    <mergeCell ref="U24"/>
    <mergeCell ref="U234"/>
    <mergeCell ref="U21"/>
    <mergeCell ref="U235"/>
    <mergeCell ref="U22"/>
    <mergeCell ref="U240"/>
    <mergeCell ref="U27"/>
    <mergeCell ref="U241"/>
    <mergeCell ref="U28"/>
    <mergeCell ref="U238"/>
    <mergeCell ref="U25"/>
    <mergeCell ref="U239"/>
    <mergeCell ref="U26"/>
    <mergeCell ref="U244"/>
    <mergeCell ref="U31"/>
    <mergeCell ref="U216"/>
    <mergeCell ref="U3"/>
    <mergeCell ref="U217"/>
    <mergeCell ref="U4"/>
    <mergeCell ref="U362"/>
    <mergeCell ref="U149"/>
    <mergeCell ref="U360"/>
    <mergeCell ref="U147"/>
    <mergeCell ref="U361"/>
    <mergeCell ref="U148"/>
    <mergeCell ref="U358"/>
    <mergeCell ref="U145"/>
    <mergeCell ref="U359"/>
    <mergeCell ref="U146"/>
    <mergeCell ref="U356"/>
    <mergeCell ref="U143"/>
    <mergeCell ref="U220"/>
    <mergeCell ref="U7"/>
    <mergeCell ref="U221"/>
    <mergeCell ref="U8"/>
    <mergeCell ref="U218"/>
    <mergeCell ref="U5"/>
    <mergeCell ref="U219"/>
    <mergeCell ref="U6"/>
    <mergeCell ref="U224"/>
    <mergeCell ref="U11"/>
    <mergeCell ref="U225"/>
    <mergeCell ref="U12"/>
    <mergeCell ref="U222"/>
    <mergeCell ref="U9"/>
    <mergeCell ref="U223"/>
    <mergeCell ref="U10"/>
    <mergeCell ref="U228"/>
    <mergeCell ref="U15"/>
    <mergeCell ref="U229"/>
    <mergeCell ref="U16"/>
    <mergeCell ref="U226"/>
    <mergeCell ref="U13"/>
    <mergeCell ref="U227"/>
    <mergeCell ref="U14"/>
    <mergeCell ref="U232"/>
    <mergeCell ref="U19"/>
    <mergeCell ref="U348"/>
    <mergeCell ref="U135"/>
    <mergeCell ref="U349"/>
    <mergeCell ref="U136"/>
    <mergeCell ref="U346"/>
    <mergeCell ref="U133"/>
    <mergeCell ref="U347"/>
    <mergeCell ref="U134"/>
    <mergeCell ref="U352"/>
    <mergeCell ref="U139"/>
    <mergeCell ref="U353"/>
    <mergeCell ref="U140"/>
    <mergeCell ref="U350"/>
    <mergeCell ref="U137"/>
    <mergeCell ref="U351"/>
    <mergeCell ref="U138"/>
    <mergeCell ref="U357"/>
    <mergeCell ref="U144"/>
    <mergeCell ref="U354"/>
    <mergeCell ref="U141"/>
    <mergeCell ref="U355"/>
    <mergeCell ref="U142"/>
    <mergeCell ref="U336"/>
    <mergeCell ref="U123"/>
    <mergeCell ref="U337"/>
    <mergeCell ref="U124"/>
    <mergeCell ref="U334"/>
    <mergeCell ref="U121"/>
    <mergeCell ref="U335"/>
    <mergeCell ref="U122"/>
    <mergeCell ref="U340"/>
    <mergeCell ref="U127"/>
    <mergeCell ref="U341"/>
    <mergeCell ref="U128"/>
    <mergeCell ref="U338"/>
    <mergeCell ref="U125"/>
    <mergeCell ref="U339"/>
    <mergeCell ref="U126"/>
    <mergeCell ref="U344"/>
    <mergeCell ref="U131"/>
    <mergeCell ref="U345"/>
    <mergeCell ref="U132"/>
    <mergeCell ref="U342"/>
    <mergeCell ref="U129"/>
    <mergeCell ref="U343"/>
    <mergeCell ref="U130"/>
    <mergeCell ref="U319"/>
    <mergeCell ref="U106"/>
    <mergeCell ref="U324"/>
    <mergeCell ref="U111"/>
    <mergeCell ref="U325"/>
    <mergeCell ref="U112"/>
    <mergeCell ref="U322"/>
    <mergeCell ref="U109"/>
    <mergeCell ref="U323"/>
    <mergeCell ref="U110"/>
    <mergeCell ref="U328"/>
    <mergeCell ref="U115"/>
    <mergeCell ref="U329"/>
    <mergeCell ref="U116"/>
    <mergeCell ref="U326"/>
    <mergeCell ref="U113"/>
    <mergeCell ref="U327"/>
    <mergeCell ref="U425"/>
    <mergeCell ref="U212"/>
    <mergeCell ref="U423"/>
    <mergeCell ref="U210"/>
    <mergeCell ref="U424"/>
    <mergeCell ref="U211"/>
    <mergeCell ref="U421"/>
    <mergeCell ref="U208"/>
    <mergeCell ref="U422"/>
    <mergeCell ref="U209"/>
    <mergeCell ref="U419"/>
    <mergeCell ref="U206"/>
    <mergeCell ref="U300"/>
    <mergeCell ref="U87"/>
    <mergeCell ref="U301"/>
    <mergeCell ref="U88"/>
    <mergeCell ref="U298"/>
    <mergeCell ref="U85"/>
    <mergeCell ref="U299"/>
    <mergeCell ref="U86"/>
    <mergeCell ref="U304"/>
    <mergeCell ref="U91"/>
    <mergeCell ref="U305"/>
    <mergeCell ref="U92"/>
    <mergeCell ref="U302"/>
    <mergeCell ref="U89"/>
    <mergeCell ref="U303"/>
    <mergeCell ref="U90"/>
    <mergeCell ref="U308"/>
    <mergeCell ref="U95"/>
    <mergeCell ref="U309"/>
    <mergeCell ref="U96"/>
    <mergeCell ref="U306"/>
    <mergeCell ref="U93"/>
    <mergeCell ref="U307"/>
    <mergeCell ref="U94"/>
    <mergeCell ref="U312"/>
    <mergeCell ref="U99"/>
    <mergeCell ref="U313"/>
    <mergeCell ref="U100"/>
    <mergeCell ref="U310"/>
    <mergeCell ref="U97"/>
    <mergeCell ref="U411"/>
    <mergeCell ref="U198"/>
    <mergeCell ref="U412"/>
    <mergeCell ref="U199"/>
    <mergeCell ref="U409"/>
    <mergeCell ref="U196"/>
    <mergeCell ref="U410"/>
    <mergeCell ref="U197"/>
    <mergeCell ref="U415"/>
    <mergeCell ref="U202"/>
    <mergeCell ref="U416"/>
    <mergeCell ref="U203"/>
    <mergeCell ref="U413"/>
    <mergeCell ref="U200"/>
    <mergeCell ref="U414"/>
    <mergeCell ref="U201"/>
    <mergeCell ref="U420"/>
    <mergeCell ref="U207"/>
    <mergeCell ref="U417"/>
    <mergeCell ref="U204"/>
    <mergeCell ref="U281"/>
    <mergeCell ref="U278"/>
    <mergeCell ref="U418"/>
    <mergeCell ref="U205"/>
    <mergeCell ref="U399"/>
    <mergeCell ref="U186"/>
    <mergeCell ref="U400"/>
    <mergeCell ref="U187"/>
    <mergeCell ref="U397"/>
    <mergeCell ref="U184"/>
    <mergeCell ref="U398"/>
    <mergeCell ref="U185"/>
    <mergeCell ref="U403"/>
    <mergeCell ref="U190"/>
    <mergeCell ref="U404"/>
    <mergeCell ref="U191"/>
    <mergeCell ref="U401"/>
    <mergeCell ref="U188"/>
    <mergeCell ref="U402"/>
    <mergeCell ref="U189"/>
    <mergeCell ref="U407"/>
    <mergeCell ref="U194"/>
    <mergeCell ref="U408"/>
    <mergeCell ref="U195"/>
    <mergeCell ref="U405"/>
    <mergeCell ref="U192"/>
    <mergeCell ref="U406"/>
    <mergeCell ref="U193"/>
    <mergeCell ref="U387"/>
    <mergeCell ref="U174"/>
    <mergeCell ref="U388"/>
    <mergeCell ref="U175"/>
    <mergeCell ref="U385"/>
    <mergeCell ref="U172"/>
    <mergeCell ref="U386"/>
    <mergeCell ref="U173"/>
    <mergeCell ref="U391"/>
    <mergeCell ref="U178"/>
    <mergeCell ref="U392"/>
    <mergeCell ref="U179"/>
    <mergeCell ref="U389"/>
    <mergeCell ref="U176"/>
    <mergeCell ref="U390"/>
    <mergeCell ref="U177"/>
    <mergeCell ref="U395"/>
    <mergeCell ref="U182"/>
    <mergeCell ref="U396"/>
    <mergeCell ref="U183"/>
    <mergeCell ref="U393"/>
    <mergeCell ref="U180"/>
    <mergeCell ref="U394"/>
    <mergeCell ref="U181"/>
    <mergeCell ref="U375"/>
    <mergeCell ref="U376"/>
    <mergeCell ref="U373"/>
    <mergeCell ref="U374"/>
    <mergeCell ref="U379"/>
    <mergeCell ref="U380"/>
    <mergeCell ref="U377"/>
    <mergeCell ref="U378"/>
    <mergeCell ref="U383"/>
    <mergeCell ref="U384"/>
    <mergeCell ref="U381"/>
    <mergeCell ref="U382"/>
    <mergeCell ref="U331"/>
    <mergeCell ref="U292"/>
    <mergeCell ref="U367"/>
    <mergeCell ref="U154"/>
    <mergeCell ref="U368"/>
    <mergeCell ref="U155"/>
    <mergeCell ref="U365"/>
    <mergeCell ref="U152"/>
    <mergeCell ref="U366"/>
    <mergeCell ref="U153"/>
    <mergeCell ref="U371"/>
    <mergeCell ref="U158"/>
    <mergeCell ref="U372"/>
    <mergeCell ref="U159"/>
    <mergeCell ref="U369"/>
    <mergeCell ref="U156"/>
    <mergeCell ref="U370"/>
    <mergeCell ref="U157"/>
    <mergeCell ref="U296"/>
    <mergeCell ref="U83"/>
    <mergeCell ref="U297"/>
    <mergeCell ref="U84"/>
    <mergeCell ref="U311"/>
    <mergeCell ref="U98"/>
    <mergeCell ref="U316"/>
    <mergeCell ref="U103"/>
    <mergeCell ref="U317"/>
    <mergeCell ref="U104"/>
    <mergeCell ref="U314"/>
    <mergeCell ref="U101"/>
    <mergeCell ref="U315"/>
    <mergeCell ref="U102"/>
    <mergeCell ref="U320"/>
    <mergeCell ref="U107"/>
    <mergeCell ref="U321"/>
    <mergeCell ref="U108"/>
    <mergeCell ref="U318"/>
    <mergeCell ref="U105"/>
    <mergeCell ref="U118"/>
    <mergeCell ref="U293"/>
    <mergeCell ref="U290"/>
    <mergeCell ref="U291"/>
    <mergeCell ref="U332"/>
    <mergeCell ref="U333"/>
    <mergeCell ref="U330"/>
    <mergeCell ref="V44"/>
    <mergeCell ref="V258"/>
    <mergeCell ref="V45"/>
    <mergeCell ref="V255"/>
    <mergeCell ref="V42"/>
    <mergeCell ref="V256"/>
    <mergeCell ref="V43"/>
    <mergeCell ref="V253"/>
    <mergeCell ref="V40"/>
    <mergeCell ref="V254"/>
    <mergeCell ref="V41"/>
    <mergeCell ref="V263"/>
    <mergeCell ref="V50"/>
    <mergeCell ref="V264"/>
    <mergeCell ref="V51"/>
    <mergeCell ref="V261"/>
    <mergeCell ref="V48"/>
    <mergeCell ref="V262"/>
    <mergeCell ref="V49"/>
    <mergeCell ref="V259"/>
    <mergeCell ref="V46"/>
    <mergeCell ref="V260"/>
    <mergeCell ref="V47"/>
    <mergeCell ref="V269"/>
    <mergeCell ref="V56"/>
    <mergeCell ref="V270"/>
    <mergeCell ref="V57"/>
    <mergeCell ref="V267"/>
    <mergeCell ref="V54"/>
    <mergeCell ref="V268"/>
    <mergeCell ref="V55"/>
    <mergeCell ref="V265"/>
    <mergeCell ref="V52"/>
    <mergeCell ref="V266"/>
    <mergeCell ref="V53"/>
    <mergeCell ref="V232"/>
    <mergeCell ref="V164"/>
    <mergeCell ref="V173"/>
    <mergeCell ref="V174"/>
    <mergeCell ref="V171"/>
    <mergeCell ref="V172"/>
    <mergeCell ref="V169"/>
    <mergeCell ref="V170"/>
    <mergeCell ref="V179"/>
    <mergeCell ref="V180"/>
    <mergeCell ref="V177"/>
    <mergeCell ref="V178"/>
    <mergeCell ref="V175"/>
    <mergeCell ref="V176"/>
    <mergeCell ref="V62"/>
    <mergeCell ref="V63"/>
    <mergeCell ref="V60"/>
    <mergeCell ref="V61"/>
    <mergeCell ref="V58"/>
    <mergeCell ref="V59"/>
    <mergeCell ref="V68"/>
    <mergeCell ref="V69"/>
    <mergeCell ref="V66"/>
    <mergeCell ref="V67"/>
    <mergeCell ref="V64"/>
    <mergeCell ref="V65"/>
    <mergeCell ref="V74"/>
    <mergeCell ref="V75"/>
    <mergeCell ref="V72"/>
    <mergeCell ref="V19"/>
    <mergeCell ref="V229"/>
    <mergeCell ref="V16"/>
    <mergeCell ref="V230"/>
    <mergeCell ref="V17"/>
    <mergeCell ref="V239"/>
    <mergeCell ref="V26"/>
    <mergeCell ref="V240"/>
    <mergeCell ref="V27"/>
    <mergeCell ref="V237"/>
    <mergeCell ref="V24"/>
    <mergeCell ref="V238"/>
    <mergeCell ref="V25"/>
    <mergeCell ref="V235"/>
    <mergeCell ref="V22"/>
    <mergeCell ref="V236"/>
    <mergeCell ref="V23"/>
    <mergeCell ref="V245"/>
    <mergeCell ref="V32"/>
    <mergeCell ref="V246"/>
    <mergeCell ref="V33"/>
    <mergeCell ref="V243"/>
    <mergeCell ref="V30"/>
    <mergeCell ref="V244"/>
    <mergeCell ref="V31"/>
    <mergeCell ref="V241"/>
    <mergeCell ref="V28"/>
    <mergeCell ref="V242"/>
    <mergeCell ref="V29"/>
    <mergeCell ref="V251"/>
    <mergeCell ref="V38"/>
    <mergeCell ref="V252"/>
    <mergeCell ref="V39"/>
    <mergeCell ref="V249"/>
    <mergeCell ref="V36"/>
    <mergeCell ref="V250"/>
    <mergeCell ref="V37"/>
    <mergeCell ref="V247"/>
    <mergeCell ref="V34"/>
    <mergeCell ref="V248"/>
    <mergeCell ref="V35"/>
    <mergeCell ref="V139"/>
    <mergeCell ref="V136"/>
    <mergeCell ref="V137"/>
    <mergeCell ref="V134"/>
    <mergeCell ref="V135"/>
    <mergeCell ref="V216"/>
    <mergeCell ref="V117"/>
    <mergeCell ref="V126"/>
    <mergeCell ref="V127"/>
    <mergeCell ref="V124"/>
    <mergeCell ref="V125"/>
    <mergeCell ref="V122"/>
    <mergeCell ref="V123"/>
    <mergeCell ref="V132"/>
    <mergeCell ref="V133"/>
    <mergeCell ref="V130"/>
    <mergeCell ref="V131"/>
    <mergeCell ref="V128"/>
    <mergeCell ref="V129"/>
    <mergeCell ref="V168"/>
    <mergeCell ref="V165"/>
    <mergeCell ref="V166"/>
    <mergeCell ref="V163"/>
    <mergeCell ref="V3"/>
    <mergeCell ref="V361"/>
    <mergeCell ref="V148"/>
    <mergeCell ref="V362"/>
    <mergeCell ref="V149"/>
    <mergeCell ref="V359"/>
    <mergeCell ref="V146"/>
    <mergeCell ref="V360"/>
    <mergeCell ref="V147"/>
    <mergeCell ref="V357"/>
    <mergeCell ref="V144"/>
    <mergeCell ref="V358"/>
    <mergeCell ref="V145"/>
    <mergeCell ref="V355"/>
    <mergeCell ref="V142"/>
    <mergeCell ref="V356"/>
    <mergeCell ref="V143"/>
    <mergeCell ref="V353"/>
    <mergeCell ref="V140"/>
    <mergeCell ref="V354"/>
    <mergeCell ref="V141"/>
    <mergeCell ref="V351"/>
    <mergeCell ref="V138"/>
    <mergeCell ref="V221"/>
    <mergeCell ref="V8"/>
    <mergeCell ref="V222"/>
    <mergeCell ref="V9"/>
    <mergeCell ref="V219"/>
    <mergeCell ref="V6"/>
    <mergeCell ref="V220"/>
    <mergeCell ref="V7"/>
    <mergeCell ref="V217"/>
    <mergeCell ref="V4"/>
    <mergeCell ref="V218"/>
    <mergeCell ref="V5"/>
    <mergeCell ref="V227"/>
    <mergeCell ref="V14"/>
    <mergeCell ref="V228"/>
    <mergeCell ref="V15"/>
    <mergeCell ref="V225"/>
    <mergeCell ref="V12"/>
    <mergeCell ref="V226"/>
    <mergeCell ref="V13"/>
    <mergeCell ref="V223"/>
    <mergeCell ref="V10"/>
    <mergeCell ref="V224"/>
    <mergeCell ref="V11"/>
    <mergeCell ref="V233"/>
    <mergeCell ref="V20"/>
    <mergeCell ref="V234"/>
    <mergeCell ref="V21"/>
    <mergeCell ref="V231"/>
    <mergeCell ref="V18"/>
    <mergeCell ref="V333"/>
    <mergeCell ref="V120"/>
    <mergeCell ref="V334"/>
    <mergeCell ref="V121"/>
    <mergeCell ref="V331"/>
    <mergeCell ref="V118"/>
    <mergeCell ref="V332"/>
    <mergeCell ref="V119"/>
    <mergeCell ref="V329"/>
    <mergeCell ref="V116"/>
    <mergeCell ref="V330"/>
    <mergeCell ref="V417"/>
    <mergeCell ref="V204"/>
    <mergeCell ref="V414"/>
    <mergeCell ref="V201"/>
    <mergeCell ref="V415"/>
    <mergeCell ref="V202"/>
    <mergeCell ref="V412"/>
    <mergeCell ref="V199"/>
    <mergeCell ref="V413"/>
    <mergeCell ref="V200"/>
    <mergeCell ref="V297"/>
    <mergeCell ref="V84"/>
    <mergeCell ref="V298"/>
    <mergeCell ref="V85"/>
    <mergeCell ref="V296"/>
    <mergeCell ref="V83"/>
    <mergeCell ref="V424"/>
    <mergeCell ref="V211"/>
    <mergeCell ref="V425"/>
    <mergeCell ref="V212"/>
    <mergeCell ref="V422"/>
    <mergeCell ref="V209"/>
    <mergeCell ref="V423"/>
    <mergeCell ref="V210"/>
    <mergeCell ref="V420"/>
    <mergeCell ref="V207"/>
    <mergeCell ref="V421"/>
    <mergeCell ref="V208"/>
    <mergeCell ref="V418"/>
    <mergeCell ref="V205"/>
    <mergeCell ref="V419"/>
    <mergeCell ref="V206"/>
    <mergeCell ref="V416"/>
    <mergeCell ref="V203"/>
    <mergeCell ref="V303"/>
    <mergeCell ref="V90"/>
    <mergeCell ref="V304"/>
    <mergeCell ref="V91"/>
    <mergeCell ref="V301"/>
    <mergeCell ref="V88"/>
    <mergeCell ref="V302"/>
    <mergeCell ref="V89"/>
    <mergeCell ref="V299"/>
    <mergeCell ref="V86"/>
    <mergeCell ref="V300"/>
    <mergeCell ref="V87"/>
    <mergeCell ref="V309"/>
    <mergeCell ref="V96"/>
    <mergeCell ref="V310"/>
    <mergeCell ref="V97"/>
    <mergeCell ref="V307"/>
    <mergeCell ref="V94"/>
    <mergeCell ref="V308"/>
    <mergeCell ref="V95"/>
    <mergeCell ref="V305"/>
    <mergeCell ref="V92"/>
    <mergeCell ref="V306"/>
    <mergeCell ref="V93"/>
    <mergeCell ref="V315"/>
    <mergeCell ref="V102"/>
    <mergeCell ref="V316"/>
    <mergeCell ref="V103"/>
    <mergeCell ref="V313"/>
    <mergeCell ref="V100"/>
    <mergeCell ref="V399"/>
    <mergeCell ref="V186"/>
    <mergeCell ref="V396"/>
    <mergeCell ref="V183"/>
    <mergeCell ref="V397"/>
    <mergeCell ref="V184"/>
    <mergeCell ref="V394"/>
    <mergeCell ref="V181"/>
    <mergeCell ref="V395"/>
    <mergeCell ref="V182"/>
    <mergeCell ref="V404"/>
    <mergeCell ref="V191"/>
    <mergeCell ref="V405"/>
    <mergeCell ref="V192"/>
    <mergeCell ref="V402"/>
    <mergeCell ref="V189"/>
    <mergeCell ref="V403"/>
    <mergeCell ref="V190"/>
    <mergeCell ref="V400"/>
    <mergeCell ref="V187"/>
    <mergeCell ref="V401"/>
    <mergeCell ref="V188"/>
    <mergeCell ref="V410"/>
    <mergeCell ref="V197"/>
    <mergeCell ref="V411"/>
    <mergeCell ref="V198"/>
    <mergeCell ref="V408"/>
    <mergeCell ref="V195"/>
    <mergeCell ref="V409"/>
    <mergeCell ref="V196"/>
    <mergeCell ref="V406"/>
    <mergeCell ref="V193"/>
    <mergeCell ref="V407"/>
    <mergeCell ref="V194"/>
    <mergeCell ref="V381"/>
    <mergeCell ref="V378"/>
    <mergeCell ref="V379"/>
    <mergeCell ref="V376"/>
    <mergeCell ref="V377"/>
    <mergeCell ref="V386"/>
    <mergeCell ref="V387"/>
    <mergeCell ref="V384"/>
    <mergeCell ref="V385"/>
    <mergeCell ref="V382"/>
    <mergeCell ref="V383"/>
    <mergeCell ref="V392"/>
    <mergeCell ref="V393"/>
    <mergeCell ref="V390"/>
    <mergeCell ref="V391"/>
    <mergeCell ref="V388"/>
    <mergeCell ref="V389"/>
    <mergeCell ref="V276"/>
    <mergeCell ref="V273"/>
    <mergeCell ref="V274"/>
    <mergeCell ref="V271"/>
    <mergeCell ref="V272"/>
    <mergeCell ref="V281"/>
    <mergeCell ref="V282"/>
    <mergeCell ref="V279"/>
    <mergeCell ref="V280"/>
    <mergeCell ref="V277"/>
    <mergeCell ref="V278"/>
    <mergeCell ref="V287"/>
    <mergeCell ref="V288"/>
    <mergeCell ref="V380"/>
    <mergeCell ref="V167"/>
    <mergeCell ref="V314"/>
    <mergeCell ref="V101"/>
    <mergeCell ref="V311"/>
    <mergeCell ref="V98"/>
    <mergeCell ref="V312"/>
    <mergeCell ref="V99"/>
    <mergeCell ref="V321"/>
    <mergeCell ref="V108"/>
    <mergeCell ref="V322"/>
    <mergeCell ref="V109"/>
    <mergeCell ref="V319"/>
    <mergeCell ref="V106"/>
    <mergeCell ref="V320"/>
    <mergeCell ref="V107"/>
    <mergeCell ref="V317"/>
    <mergeCell ref="V104"/>
    <mergeCell ref="V318"/>
    <mergeCell ref="V105"/>
    <mergeCell ref="V327"/>
    <mergeCell ref="V114"/>
    <mergeCell ref="V328"/>
    <mergeCell ref="V115"/>
    <mergeCell ref="V325"/>
    <mergeCell ref="V112"/>
    <mergeCell ref="V326"/>
    <mergeCell ref="V113"/>
    <mergeCell ref="V323"/>
    <mergeCell ref="V110"/>
    <mergeCell ref="V324"/>
    <mergeCell ref="V111"/>
    <mergeCell ref="V398"/>
    <mergeCell ref="V185"/>
    <mergeCell ref="V285"/>
    <mergeCell ref="V286"/>
    <mergeCell ref="V283"/>
    <mergeCell ref="V284"/>
    <mergeCell ref="V257"/>
    <mergeCell ref="V293"/>
    <mergeCell ref="V291"/>
    <mergeCell ref="V292"/>
    <mergeCell ref="V289"/>
    <mergeCell ref="V290"/>
    <mergeCell ref="V275"/>
    <mergeCell ref="V352"/>
    <mergeCell ref="V349"/>
    <mergeCell ref="V350"/>
    <mergeCell ref="V347"/>
    <mergeCell ref="V348"/>
    <mergeCell ref="V339"/>
    <mergeCell ref="V340"/>
    <mergeCell ref="V337"/>
    <mergeCell ref="V338"/>
    <mergeCell ref="V335"/>
    <mergeCell ref="V336"/>
    <mergeCell ref="V345"/>
    <mergeCell ref="V346"/>
    <mergeCell ref="V343"/>
    <mergeCell ref="V344"/>
    <mergeCell ref="V341"/>
    <mergeCell ref="V342"/>
    <mergeCell ref="W283"/>
    <mergeCell ref="W70"/>
    <mergeCell ref="W284"/>
    <mergeCell ref="W71"/>
    <mergeCell ref="W257"/>
    <mergeCell ref="W293"/>
    <mergeCell ref="W80"/>
    <mergeCell ref="W291"/>
    <mergeCell ref="W78"/>
    <mergeCell ref="W292"/>
    <mergeCell ref="W79"/>
    <mergeCell ref="W289"/>
    <mergeCell ref="W76"/>
    <mergeCell ref="W290"/>
    <mergeCell ref="W77"/>
    <mergeCell ref="V368"/>
    <mergeCell ref="V155"/>
    <mergeCell ref="V369"/>
    <mergeCell ref="V156"/>
    <mergeCell ref="V366"/>
    <mergeCell ref="V153"/>
    <mergeCell ref="V367"/>
    <mergeCell ref="V154"/>
    <mergeCell ref="V365"/>
    <mergeCell ref="V152"/>
    <mergeCell ref="V374"/>
    <mergeCell ref="V161"/>
    <mergeCell ref="V375"/>
    <mergeCell ref="V162"/>
    <mergeCell ref="V372"/>
    <mergeCell ref="V159"/>
    <mergeCell ref="V373"/>
    <mergeCell ref="V160"/>
    <mergeCell ref="V370"/>
    <mergeCell ref="V157"/>
    <mergeCell ref="V371"/>
    <mergeCell ref="V158"/>
    <mergeCell ref="V73"/>
    <mergeCell ref="V70"/>
    <mergeCell ref="V71"/>
    <mergeCell ref="V80"/>
    <mergeCell ref="V78"/>
    <mergeCell ref="V79"/>
    <mergeCell ref="V76"/>
    <mergeCell ref="V77"/>
    <mergeCell ref="W361"/>
    <mergeCell ref="W362"/>
    <mergeCell ref="W359"/>
    <mergeCell ref="W360"/>
    <mergeCell ref="W357"/>
    <mergeCell ref="W358"/>
    <mergeCell ref="W355"/>
    <mergeCell ref="W356"/>
    <mergeCell ref="W353"/>
    <mergeCell ref="W354"/>
    <mergeCell ref="W351"/>
    <mergeCell ref="W240"/>
    <mergeCell ref="W237"/>
    <mergeCell ref="W340"/>
    <mergeCell ref="W337"/>
    <mergeCell ref="W338"/>
    <mergeCell ref="W335"/>
    <mergeCell ref="W336"/>
    <mergeCell ref="W345"/>
    <mergeCell ref="W270"/>
    <mergeCell ref="W57"/>
    <mergeCell ref="W267"/>
    <mergeCell ref="W54"/>
    <mergeCell ref="W268"/>
    <mergeCell ref="W55"/>
    <mergeCell ref="W265"/>
    <mergeCell ref="W52"/>
    <mergeCell ref="W266"/>
    <mergeCell ref="W53"/>
    <mergeCell ref="W62"/>
    <mergeCell ref="W63"/>
    <mergeCell ref="W60"/>
    <mergeCell ref="W61"/>
    <mergeCell ref="W58"/>
    <mergeCell ref="W59"/>
    <mergeCell ref="W68"/>
    <mergeCell ref="W69"/>
    <mergeCell ref="W66"/>
    <mergeCell ref="W67"/>
    <mergeCell ref="W64"/>
    <mergeCell ref="W65"/>
    <mergeCell ref="W74"/>
    <mergeCell ref="W75"/>
    <mergeCell ref="W72"/>
    <mergeCell ref="W73"/>
    <mergeCell ref="W148"/>
    <mergeCell ref="W149"/>
    <mergeCell ref="W146"/>
    <mergeCell ref="W147"/>
    <mergeCell ref="W144"/>
    <mergeCell ref="W145"/>
    <mergeCell ref="W142"/>
    <mergeCell ref="W143"/>
    <mergeCell ref="W140"/>
    <mergeCell ref="W141"/>
    <mergeCell ref="W138"/>
    <mergeCell ref="W221"/>
    <mergeCell ref="W239"/>
    <mergeCell ref="W8"/>
    <mergeCell ref="W222"/>
    <mergeCell ref="W9"/>
    <mergeCell ref="W219"/>
    <mergeCell ref="W6"/>
    <mergeCell ref="W220"/>
    <mergeCell ref="W7"/>
    <mergeCell ref="W217"/>
    <mergeCell ref="W4"/>
    <mergeCell ref="W218"/>
    <mergeCell ref="W5"/>
    <mergeCell ref="W227"/>
    <mergeCell ref="W14"/>
    <mergeCell ref="W228"/>
    <mergeCell ref="W15"/>
    <mergeCell ref="W225"/>
    <mergeCell ref="W12"/>
    <mergeCell ref="W226"/>
    <mergeCell ref="W13"/>
    <mergeCell ref="W223"/>
    <mergeCell ref="W10"/>
    <mergeCell ref="W224"/>
    <mergeCell ref="W11"/>
    <mergeCell ref="W233"/>
    <mergeCell ref="W20"/>
    <mergeCell ref="W234"/>
    <mergeCell ref="W21"/>
    <mergeCell ref="W231"/>
    <mergeCell ref="W18"/>
    <mergeCell ref="W232"/>
    <mergeCell ref="W19"/>
    <mergeCell ref="W229"/>
    <mergeCell ref="W16"/>
    <mergeCell ref="W230"/>
    <mergeCell ref="W17"/>
    <mergeCell ref="W26"/>
    <mergeCell ref="W27"/>
    <mergeCell ref="W24"/>
    <mergeCell ref="W127"/>
    <mergeCell ref="W124"/>
    <mergeCell ref="W125"/>
    <mergeCell ref="W122"/>
    <mergeCell ref="W123"/>
    <mergeCell ref="W132"/>
    <mergeCell ref="W44"/>
    <mergeCell ref="W45"/>
    <mergeCell ref="W42"/>
    <mergeCell ref="W43"/>
    <mergeCell ref="W40"/>
    <mergeCell ref="W41"/>
    <mergeCell ref="W50"/>
    <mergeCell ref="W51"/>
    <mergeCell ref="W48"/>
    <mergeCell ref="W49"/>
    <mergeCell ref="W46"/>
    <mergeCell ref="W47"/>
    <mergeCell ref="W56"/>
    <mergeCell ref="W346"/>
    <mergeCell ref="W133"/>
    <mergeCell ref="W343"/>
    <mergeCell ref="W130"/>
    <mergeCell ref="W344"/>
    <mergeCell ref="W131"/>
    <mergeCell ref="W341"/>
    <mergeCell ref="W128"/>
    <mergeCell ref="W342"/>
    <mergeCell ref="W129"/>
    <mergeCell ref="W352"/>
    <mergeCell ref="W139"/>
    <mergeCell ref="W349"/>
    <mergeCell ref="W136"/>
    <mergeCell ref="W350"/>
    <mergeCell ref="W137"/>
    <mergeCell ref="W347"/>
    <mergeCell ref="W134"/>
    <mergeCell ref="W348"/>
    <mergeCell ref="W135"/>
    <mergeCell ref="W216"/>
    <mergeCell ref="W320"/>
    <mergeCell ref="W327"/>
    <mergeCell ref="W328"/>
    <mergeCell ref="W325"/>
    <mergeCell ref="W326"/>
    <mergeCell ref="W323"/>
    <mergeCell ref="W324"/>
    <mergeCell ref="W333"/>
    <mergeCell ref="W334"/>
    <mergeCell ref="W331"/>
    <mergeCell ref="W332"/>
    <mergeCell ref="W329"/>
    <mergeCell ref="W330"/>
    <mergeCell ref="W339"/>
    <mergeCell ref="W154"/>
    <mergeCell ref="W275"/>
    <mergeCell ref="W276"/>
    <mergeCell ref="W273"/>
    <mergeCell ref="W274"/>
    <mergeCell ref="W271"/>
    <mergeCell ref="W272"/>
    <mergeCell ref="W281"/>
    <mergeCell ref="W282"/>
    <mergeCell ref="W279"/>
    <mergeCell ref="W280"/>
    <mergeCell ref="W277"/>
    <mergeCell ref="W278"/>
    <mergeCell ref="W287"/>
    <mergeCell ref="W288"/>
    <mergeCell ref="W285"/>
    <mergeCell ref="W286"/>
    <mergeCell ref="W258"/>
    <mergeCell ref="W255"/>
    <mergeCell ref="W256"/>
    <mergeCell ref="W253"/>
    <mergeCell ref="W254"/>
    <mergeCell ref="W263"/>
    <mergeCell ref="W264"/>
    <mergeCell ref="W261"/>
    <mergeCell ref="W262"/>
    <mergeCell ref="W259"/>
    <mergeCell ref="W260"/>
    <mergeCell ref="W269"/>
    <mergeCell ref="W3"/>
    <mergeCell ref="W238"/>
    <mergeCell ref="W25"/>
    <mergeCell ref="W235"/>
    <mergeCell ref="W22"/>
    <mergeCell ref="W236"/>
    <mergeCell ref="W23"/>
    <mergeCell ref="W245"/>
    <mergeCell ref="W32"/>
    <mergeCell ref="W246"/>
    <mergeCell ref="W33"/>
    <mergeCell ref="W243"/>
    <mergeCell ref="W30"/>
    <mergeCell ref="W244"/>
    <mergeCell ref="W31"/>
    <mergeCell ref="W241"/>
    <mergeCell ref="W28"/>
    <mergeCell ref="W242"/>
    <mergeCell ref="W29"/>
    <mergeCell ref="W251"/>
    <mergeCell ref="W38"/>
    <mergeCell ref="W252"/>
    <mergeCell ref="W39"/>
    <mergeCell ref="W249"/>
    <mergeCell ref="W36"/>
    <mergeCell ref="W250"/>
    <mergeCell ref="W37"/>
    <mergeCell ref="W247"/>
    <mergeCell ref="W34"/>
    <mergeCell ref="W248"/>
    <mergeCell ref="W35"/>
    <mergeCell ref="W319"/>
    <mergeCell ref="W106"/>
    <mergeCell ref="W107"/>
    <mergeCell ref="W317"/>
    <mergeCell ref="W104"/>
    <mergeCell ref="W318"/>
    <mergeCell ref="W105"/>
    <mergeCell ref="W114"/>
    <mergeCell ref="W115"/>
    <mergeCell ref="W112"/>
    <mergeCell ref="W113"/>
    <mergeCell ref="W110"/>
    <mergeCell ref="W111"/>
    <mergeCell ref="W120"/>
    <mergeCell ref="W121"/>
    <mergeCell ref="W118"/>
    <mergeCell ref="W119"/>
    <mergeCell ref="W116"/>
    <mergeCell ref="W117"/>
    <mergeCell ref="W126"/>
    <mergeCell ref="W297"/>
    <mergeCell ref="W84"/>
    <mergeCell ref="W298"/>
    <mergeCell ref="W85"/>
    <mergeCell ref="W296"/>
    <mergeCell ref="W83"/>
    <mergeCell ref="W171"/>
    <mergeCell ref="W172"/>
    <mergeCell ref="W169"/>
    <mergeCell ref="W170"/>
    <mergeCell ref="W155"/>
    <mergeCell ref="W156"/>
    <mergeCell ref="W153"/>
    <mergeCell ref="W424"/>
    <mergeCell ref="W211"/>
    <mergeCell ref="W425"/>
    <mergeCell ref="W212"/>
    <mergeCell ref="W422"/>
    <mergeCell ref="W209"/>
    <mergeCell ref="W423"/>
    <mergeCell ref="W210"/>
    <mergeCell ref="W420"/>
    <mergeCell ref="W207"/>
    <mergeCell ref="W421"/>
    <mergeCell ref="W208"/>
    <mergeCell ref="W418"/>
    <mergeCell ref="W205"/>
    <mergeCell ref="W419"/>
    <mergeCell ref="W206"/>
    <mergeCell ref="W416"/>
    <mergeCell ref="W203"/>
    <mergeCell ref="W303"/>
    <mergeCell ref="W90"/>
    <mergeCell ref="W304"/>
    <mergeCell ref="W91"/>
    <mergeCell ref="W301"/>
    <mergeCell ref="W88"/>
    <mergeCell ref="W302"/>
    <mergeCell ref="W89"/>
    <mergeCell ref="W299"/>
    <mergeCell ref="W86"/>
    <mergeCell ref="W300"/>
    <mergeCell ref="W87"/>
    <mergeCell ref="W309"/>
    <mergeCell ref="W96"/>
    <mergeCell ref="W310"/>
    <mergeCell ref="W97"/>
    <mergeCell ref="W307"/>
    <mergeCell ref="W94"/>
    <mergeCell ref="W308"/>
    <mergeCell ref="W95"/>
    <mergeCell ref="W305"/>
    <mergeCell ref="W92"/>
    <mergeCell ref="W306"/>
    <mergeCell ref="W93"/>
    <mergeCell ref="W315"/>
    <mergeCell ref="W102"/>
    <mergeCell ref="W316"/>
    <mergeCell ref="W103"/>
    <mergeCell ref="W313"/>
    <mergeCell ref="W100"/>
    <mergeCell ref="W314"/>
    <mergeCell ref="W101"/>
    <mergeCell ref="W311"/>
    <mergeCell ref="W98"/>
    <mergeCell ref="W312"/>
    <mergeCell ref="W99"/>
    <mergeCell ref="W321"/>
    <mergeCell ref="W108"/>
    <mergeCell ref="W322"/>
    <mergeCell ref="W109"/>
    <mergeCell ref="W404"/>
    <mergeCell ref="W191"/>
    <mergeCell ref="W405"/>
    <mergeCell ref="W192"/>
    <mergeCell ref="W402"/>
    <mergeCell ref="W189"/>
    <mergeCell ref="W403"/>
    <mergeCell ref="W190"/>
    <mergeCell ref="W400"/>
    <mergeCell ref="W187"/>
    <mergeCell ref="W401"/>
    <mergeCell ref="W188"/>
    <mergeCell ref="W410"/>
    <mergeCell ref="W197"/>
    <mergeCell ref="W411"/>
    <mergeCell ref="W198"/>
    <mergeCell ref="W408"/>
    <mergeCell ref="W195"/>
    <mergeCell ref="W409"/>
    <mergeCell ref="W196"/>
    <mergeCell ref="W406"/>
    <mergeCell ref="W193"/>
    <mergeCell ref="W407"/>
    <mergeCell ref="W194"/>
    <mergeCell ref="W417"/>
    <mergeCell ref="W204"/>
    <mergeCell ref="W414"/>
    <mergeCell ref="W201"/>
    <mergeCell ref="W415"/>
    <mergeCell ref="W202"/>
    <mergeCell ref="W412"/>
    <mergeCell ref="W199"/>
    <mergeCell ref="W413"/>
    <mergeCell ref="W200"/>
    <mergeCell ref="W386"/>
    <mergeCell ref="W173"/>
    <mergeCell ref="W387"/>
    <mergeCell ref="W174"/>
    <mergeCell ref="W384"/>
    <mergeCell ref="W385"/>
    <mergeCell ref="W382"/>
    <mergeCell ref="W383"/>
    <mergeCell ref="W392"/>
    <mergeCell ref="W179"/>
    <mergeCell ref="W393"/>
    <mergeCell ref="W180"/>
    <mergeCell ref="W390"/>
    <mergeCell ref="W177"/>
    <mergeCell ref="W391"/>
    <mergeCell ref="W178"/>
    <mergeCell ref="W388"/>
    <mergeCell ref="W175"/>
    <mergeCell ref="W389"/>
    <mergeCell ref="W176"/>
    <mergeCell ref="W398"/>
    <mergeCell ref="W185"/>
    <mergeCell ref="W399"/>
    <mergeCell ref="W186"/>
    <mergeCell ref="W396"/>
    <mergeCell ref="W183"/>
    <mergeCell ref="W397"/>
    <mergeCell ref="W184"/>
    <mergeCell ref="W394"/>
    <mergeCell ref="W181"/>
    <mergeCell ref="W395"/>
    <mergeCell ref="W182"/>
    <mergeCell ref="W368"/>
    <mergeCell ref="W369"/>
    <mergeCell ref="W366"/>
    <mergeCell ref="W367"/>
    <mergeCell ref="W365"/>
    <mergeCell ref="W152"/>
    <mergeCell ref="W374"/>
    <mergeCell ref="W161"/>
    <mergeCell ref="W375"/>
    <mergeCell ref="W162"/>
    <mergeCell ref="W372"/>
    <mergeCell ref="W159"/>
    <mergeCell ref="W373"/>
    <mergeCell ref="W160"/>
    <mergeCell ref="W370"/>
    <mergeCell ref="W157"/>
    <mergeCell ref="W371"/>
    <mergeCell ref="W158"/>
    <mergeCell ref="W380"/>
    <mergeCell ref="W167"/>
    <mergeCell ref="W381"/>
    <mergeCell ref="W168"/>
    <mergeCell ref="W378"/>
    <mergeCell ref="W165"/>
    <mergeCell ref="W379"/>
    <mergeCell ref="W166"/>
    <mergeCell ref="W376"/>
    <mergeCell ref="W163"/>
    <mergeCell ref="W377"/>
    <mergeCell ref="W164"/>
    <mergeCell ref="X284"/>
    <mergeCell ref="X71"/>
    <mergeCell ref="X283"/>
    <mergeCell ref="X70"/>
    <mergeCell ref="X282"/>
    <mergeCell ref="X69"/>
    <mergeCell ref="X287"/>
    <mergeCell ref="X74"/>
    <mergeCell ref="X286"/>
    <mergeCell ref="X73"/>
    <mergeCell ref="X285"/>
    <mergeCell ref="X72"/>
    <mergeCell ref="X290"/>
    <mergeCell ref="X77"/>
    <mergeCell ref="X289"/>
    <mergeCell ref="X76"/>
    <mergeCell ref="X288"/>
    <mergeCell ref="X75"/>
    <mergeCell ref="X293"/>
    <mergeCell ref="X80"/>
    <mergeCell ref="X292"/>
    <mergeCell ref="X79"/>
    <mergeCell ref="X291"/>
    <mergeCell ref="X78"/>
    <mergeCell ref="X272"/>
    <mergeCell ref="X362"/>
    <mergeCell ref="X361"/>
    <mergeCell ref="X360"/>
    <mergeCell ref="X350"/>
    <mergeCell ref="X349"/>
    <mergeCell ref="X348"/>
    <mergeCell ref="X353"/>
    <mergeCell ref="X352"/>
    <mergeCell ref="X351"/>
    <mergeCell ref="X356"/>
    <mergeCell ref="X355"/>
    <mergeCell ref="X354"/>
    <mergeCell ref="X359"/>
    <mergeCell ref="X271"/>
    <mergeCell ref="X58"/>
    <mergeCell ref="X270"/>
    <mergeCell ref="X57"/>
    <mergeCell ref="X275"/>
    <mergeCell ref="X62"/>
    <mergeCell ref="X274"/>
    <mergeCell ref="X61"/>
    <mergeCell ref="X273"/>
    <mergeCell ref="X60"/>
    <mergeCell ref="X278"/>
    <mergeCell ref="X65"/>
    <mergeCell ref="X277"/>
    <mergeCell ref="X64"/>
    <mergeCell ref="X276"/>
    <mergeCell ref="X63"/>
    <mergeCell ref="X281"/>
    <mergeCell ref="X68"/>
    <mergeCell ref="X280"/>
    <mergeCell ref="X67"/>
    <mergeCell ref="X279"/>
    <mergeCell ref="X66"/>
    <mergeCell ref="X260"/>
    <mergeCell ref="X47"/>
    <mergeCell ref="X259"/>
    <mergeCell ref="X46"/>
    <mergeCell ref="X258"/>
    <mergeCell ref="X45"/>
    <mergeCell ref="X263"/>
    <mergeCell ref="X50"/>
    <mergeCell ref="X262"/>
    <mergeCell ref="X49"/>
    <mergeCell ref="X261"/>
    <mergeCell ref="X48"/>
    <mergeCell ref="X266"/>
    <mergeCell ref="X53"/>
    <mergeCell ref="X265"/>
    <mergeCell ref="X52"/>
    <mergeCell ref="X264"/>
    <mergeCell ref="X51"/>
    <mergeCell ref="X269"/>
    <mergeCell ref="X56"/>
    <mergeCell ref="X268"/>
    <mergeCell ref="X55"/>
    <mergeCell ref="X267"/>
    <mergeCell ref="X54"/>
    <mergeCell ref="X248"/>
    <mergeCell ref="X247"/>
    <mergeCell ref="X246"/>
    <mergeCell ref="X33"/>
    <mergeCell ref="X251"/>
    <mergeCell ref="X38"/>
    <mergeCell ref="X250"/>
    <mergeCell ref="X37"/>
    <mergeCell ref="X249"/>
    <mergeCell ref="X36"/>
    <mergeCell ref="X254"/>
    <mergeCell ref="X41"/>
    <mergeCell ref="X253"/>
    <mergeCell ref="X40"/>
    <mergeCell ref="X252"/>
    <mergeCell ref="X39"/>
    <mergeCell ref="X257"/>
    <mergeCell ref="X44"/>
    <mergeCell ref="X256"/>
    <mergeCell ref="X43"/>
    <mergeCell ref="X255"/>
    <mergeCell ref="X42"/>
    <mergeCell ref="X236"/>
    <mergeCell ref="X23"/>
    <mergeCell ref="X235"/>
    <mergeCell ref="X22"/>
    <mergeCell ref="X234"/>
    <mergeCell ref="X21"/>
    <mergeCell ref="X239"/>
    <mergeCell ref="X26"/>
    <mergeCell ref="X238"/>
    <mergeCell ref="X25"/>
    <mergeCell ref="X237"/>
    <mergeCell ref="X24"/>
    <mergeCell ref="X242"/>
    <mergeCell ref="X29"/>
    <mergeCell ref="X241"/>
    <mergeCell ref="X28"/>
    <mergeCell ref="X240"/>
    <mergeCell ref="X27"/>
    <mergeCell ref="X245"/>
    <mergeCell ref="X32"/>
    <mergeCell ref="X244"/>
    <mergeCell ref="X31"/>
    <mergeCell ref="X243"/>
    <mergeCell ref="X30"/>
    <mergeCell ref="X149"/>
    <mergeCell ref="X148"/>
    <mergeCell ref="X147"/>
    <mergeCell ref="X218"/>
    <mergeCell ref="X59"/>
    <mergeCell ref="X5"/>
    <mergeCell ref="X217"/>
    <mergeCell ref="X4"/>
    <mergeCell ref="X216"/>
    <mergeCell ref="X3"/>
    <mergeCell ref="X221"/>
    <mergeCell ref="X8"/>
    <mergeCell ref="X220"/>
    <mergeCell ref="X7"/>
    <mergeCell ref="X219"/>
    <mergeCell ref="X6"/>
    <mergeCell ref="X224"/>
    <mergeCell ref="X11"/>
    <mergeCell ref="X223"/>
    <mergeCell ref="X10"/>
    <mergeCell ref="X222"/>
    <mergeCell ref="X9"/>
    <mergeCell ref="X227"/>
    <mergeCell ref="X14"/>
    <mergeCell ref="X226"/>
    <mergeCell ref="X13"/>
    <mergeCell ref="X225"/>
    <mergeCell ref="X12"/>
    <mergeCell ref="X230"/>
    <mergeCell ref="X17"/>
    <mergeCell ref="X229"/>
    <mergeCell ref="X16"/>
    <mergeCell ref="X228"/>
    <mergeCell ref="X15"/>
    <mergeCell ref="X233"/>
    <mergeCell ref="X20"/>
    <mergeCell ref="X232"/>
    <mergeCell ref="X19"/>
    <mergeCell ref="X231"/>
    <mergeCell ref="X18"/>
    <mergeCell ref="X137"/>
    <mergeCell ref="X136"/>
    <mergeCell ref="X135"/>
    <mergeCell ref="X140"/>
    <mergeCell ref="X139"/>
    <mergeCell ref="X138"/>
    <mergeCell ref="X143"/>
    <mergeCell ref="X142"/>
    <mergeCell ref="X141"/>
    <mergeCell ref="X146"/>
    <mergeCell ref="X111"/>
    <mergeCell ref="X97"/>
    <mergeCell ref="X96"/>
    <mergeCell ref="X101"/>
    <mergeCell ref="X100"/>
    <mergeCell ref="X99"/>
    <mergeCell ref="X104"/>
    <mergeCell ref="X103"/>
    <mergeCell ref="X102"/>
    <mergeCell ref="X107"/>
    <mergeCell ref="X106"/>
    <mergeCell ref="X105"/>
    <mergeCell ref="X110"/>
    <mergeCell ref="X109"/>
    <mergeCell ref="X161"/>
    <mergeCell ref="X35"/>
    <mergeCell ref="X34"/>
    <mergeCell ref="X412"/>
    <mergeCell ref="X199"/>
    <mergeCell ref="X411"/>
    <mergeCell ref="X198"/>
    <mergeCell ref="X410"/>
    <mergeCell ref="X197"/>
    <mergeCell ref="X415"/>
    <mergeCell ref="X202"/>
    <mergeCell ref="X414"/>
    <mergeCell ref="X201"/>
    <mergeCell ref="X413"/>
    <mergeCell ref="X200"/>
    <mergeCell ref="X418"/>
    <mergeCell ref="X205"/>
    <mergeCell ref="X417"/>
    <mergeCell ref="X204"/>
    <mergeCell ref="X416"/>
    <mergeCell ref="X203"/>
    <mergeCell ref="X296"/>
    <mergeCell ref="X83"/>
    <mergeCell ref="X425"/>
    <mergeCell ref="X212"/>
    <mergeCell ref="X424"/>
    <mergeCell ref="X211"/>
    <mergeCell ref="X423"/>
    <mergeCell ref="X210"/>
    <mergeCell ref="X422"/>
    <mergeCell ref="X209"/>
    <mergeCell ref="X421"/>
    <mergeCell ref="X208"/>
    <mergeCell ref="X420"/>
    <mergeCell ref="X207"/>
    <mergeCell ref="X419"/>
    <mergeCell ref="X206"/>
    <mergeCell ref="X299"/>
    <mergeCell ref="X86"/>
    <mergeCell ref="X298"/>
    <mergeCell ref="X85"/>
    <mergeCell ref="X297"/>
    <mergeCell ref="X84"/>
    <mergeCell ref="X302"/>
    <mergeCell ref="X89"/>
    <mergeCell ref="X400"/>
    <mergeCell ref="X187"/>
    <mergeCell ref="X399"/>
    <mergeCell ref="X186"/>
    <mergeCell ref="X398"/>
    <mergeCell ref="X185"/>
    <mergeCell ref="X403"/>
    <mergeCell ref="X190"/>
    <mergeCell ref="X402"/>
    <mergeCell ref="X189"/>
    <mergeCell ref="X401"/>
    <mergeCell ref="X188"/>
    <mergeCell ref="X406"/>
    <mergeCell ref="X193"/>
    <mergeCell ref="X405"/>
    <mergeCell ref="X192"/>
    <mergeCell ref="X404"/>
    <mergeCell ref="X191"/>
    <mergeCell ref="X409"/>
    <mergeCell ref="X196"/>
    <mergeCell ref="X358"/>
    <mergeCell ref="X145"/>
    <mergeCell ref="X408"/>
    <mergeCell ref="X195"/>
    <mergeCell ref="X407"/>
    <mergeCell ref="X194"/>
    <mergeCell ref="X388"/>
    <mergeCell ref="X175"/>
    <mergeCell ref="X387"/>
    <mergeCell ref="X174"/>
    <mergeCell ref="X386"/>
    <mergeCell ref="X173"/>
    <mergeCell ref="X391"/>
    <mergeCell ref="X178"/>
    <mergeCell ref="X390"/>
    <mergeCell ref="X177"/>
    <mergeCell ref="X389"/>
    <mergeCell ref="X176"/>
    <mergeCell ref="X394"/>
    <mergeCell ref="X181"/>
    <mergeCell ref="X393"/>
    <mergeCell ref="X180"/>
    <mergeCell ref="X392"/>
    <mergeCell ref="X179"/>
    <mergeCell ref="X397"/>
    <mergeCell ref="X184"/>
    <mergeCell ref="X396"/>
    <mergeCell ref="X183"/>
    <mergeCell ref="X395"/>
    <mergeCell ref="X182"/>
    <mergeCell ref="X376"/>
    <mergeCell ref="X163"/>
    <mergeCell ref="X375"/>
    <mergeCell ref="X162"/>
    <mergeCell ref="X374"/>
    <mergeCell ref="X379"/>
    <mergeCell ref="X166"/>
    <mergeCell ref="X378"/>
    <mergeCell ref="X165"/>
    <mergeCell ref="X377"/>
    <mergeCell ref="X164"/>
    <mergeCell ref="X382"/>
    <mergeCell ref="X169"/>
    <mergeCell ref="X381"/>
    <mergeCell ref="X168"/>
    <mergeCell ref="X380"/>
    <mergeCell ref="X167"/>
    <mergeCell ref="X385"/>
    <mergeCell ref="X172"/>
    <mergeCell ref="X384"/>
    <mergeCell ref="X171"/>
    <mergeCell ref="X383"/>
    <mergeCell ref="X170"/>
    <mergeCell ref="X321"/>
    <mergeCell ref="X357"/>
    <mergeCell ref="X338"/>
    <mergeCell ref="X337"/>
    <mergeCell ref="X336"/>
    <mergeCell ref="X341"/>
    <mergeCell ref="X340"/>
    <mergeCell ref="X339"/>
    <mergeCell ref="X344"/>
    <mergeCell ref="X343"/>
    <mergeCell ref="X342"/>
    <mergeCell ref="X347"/>
    <mergeCell ref="X346"/>
    <mergeCell ref="X373"/>
    <mergeCell ref="X160"/>
    <mergeCell ref="X372"/>
    <mergeCell ref="X159"/>
    <mergeCell ref="X371"/>
    <mergeCell ref="X158"/>
    <mergeCell ref="X301"/>
    <mergeCell ref="X88"/>
    <mergeCell ref="X300"/>
    <mergeCell ref="X87"/>
    <mergeCell ref="X305"/>
    <mergeCell ref="X92"/>
    <mergeCell ref="X304"/>
    <mergeCell ref="X91"/>
    <mergeCell ref="X303"/>
    <mergeCell ref="X90"/>
    <mergeCell ref="X308"/>
    <mergeCell ref="X95"/>
    <mergeCell ref="X307"/>
    <mergeCell ref="X94"/>
    <mergeCell ref="X306"/>
    <mergeCell ref="X93"/>
    <mergeCell ref="X311"/>
    <mergeCell ref="X98"/>
    <mergeCell ref="Y275"/>
    <mergeCell ref="Y352"/>
    <mergeCell ref="Y349"/>
    <mergeCell ref="Y350"/>
    <mergeCell ref="Y347"/>
    <mergeCell ref="Y348"/>
    <mergeCell ref="Y339"/>
    <mergeCell ref="Y340"/>
    <mergeCell ref="Y337"/>
    <mergeCell ref="Y338"/>
    <mergeCell ref="Y335"/>
    <mergeCell ref="Y336"/>
    <mergeCell ref="Y345"/>
    <mergeCell ref="Y346"/>
    <mergeCell ref="Y343"/>
    <mergeCell ref="Y344"/>
    <mergeCell ref="Y341"/>
    <mergeCell ref="Y342"/>
    <mergeCell ref="X108"/>
    <mergeCell ref="X144"/>
    <mergeCell ref="X125"/>
    <mergeCell ref="X124"/>
    <mergeCell ref="X123"/>
    <mergeCell ref="X128"/>
    <mergeCell ref="X127"/>
    <mergeCell ref="X126"/>
    <mergeCell ref="X131"/>
    <mergeCell ref="X130"/>
    <mergeCell ref="X129"/>
    <mergeCell ref="X134"/>
    <mergeCell ref="X133"/>
    <mergeCell ref="X345"/>
    <mergeCell ref="X132"/>
    <mergeCell ref="X326"/>
    <mergeCell ref="X113"/>
    <mergeCell ref="X325"/>
    <mergeCell ref="X112"/>
    <mergeCell ref="X324"/>
    <mergeCell ref="X329"/>
    <mergeCell ref="X116"/>
    <mergeCell ref="Y287"/>
    <mergeCell ref="Y74"/>
    <mergeCell ref="Y288"/>
    <mergeCell ref="Y75"/>
    <mergeCell ref="Y285"/>
    <mergeCell ref="Y72"/>
    <mergeCell ref="Y286"/>
    <mergeCell ref="Y73"/>
    <mergeCell ref="Y283"/>
    <mergeCell ref="Y70"/>
    <mergeCell ref="Y284"/>
    <mergeCell ref="Y71"/>
    <mergeCell ref="Y257"/>
    <mergeCell ref="Y293"/>
    <mergeCell ref="Y80"/>
    <mergeCell ref="Y291"/>
    <mergeCell ref="Y78"/>
    <mergeCell ref="Y292"/>
    <mergeCell ref="Y79"/>
    <mergeCell ref="Y289"/>
    <mergeCell ref="Y76"/>
    <mergeCell ref="Y290"/>
    <mergeCell ref="Y77"/>
    <mergeCell ref="X367"/>
    <mergeCell ref="X154"/>
    <mergeCell ref="X366"/>
    <mergeCell ref="X153"/>
    <mergeCell ref="X365"/>
    <mergeCell ref="X152"/>
    <mergeCell ref="X370"/>
    <mergeCell ref="X157"/>
    <mergeCell ref="X369"/>
    <mergeCell ref="X156"/>
    <mergeCell ref="X368"/>
    <mergeCell ref="X155"/>
    <mergeCell ref="X328"/>
    <mergeCell ref="X115"/>
    <mergeCell ref="X327"/>
    <mergeCell ref="X114"/>
    <mergeCell ref="X332"/>
    <mergeCell ref="X119"/>
    <mergeCell ref="X331"/>
    <mergeCell ref="X118"/>
    <mergeCell ref="X330"/>
    <mergeCell ref="X117"/>
    <mergeCell ref="X335"/>
    <mergeCell ref="X122"/>
    <mergeCell ref="X334"/>
    <mergeCell ref="X121"/>
    <mergeCell ref="X333"/>
    <mergeCell ref="X120"/>
    <mergeCell ref="X310"/>
    <mergeCell ref="X309"/>
    <mergeCell ref="X314"/>
    <mergeCell ref="X313"/>
    <mergeCell ref="X312"/>
    <mergeCell ref="X317"/>
    <mergeCell ref="X316"/>
    <mergeCell ref="X315"/>
    <mergeCell ref="X320"/>
    <mergeCell ref="X319"/>
    <mergeCell ref="X318"/>
    <mergeCell ref="X323"/>
    <mergeCell ref="X322"/>
    <mergeCell ref="Y44"/>
    <mergeCell ref="Y258"/>
    <mergeCell ref="Y45"/>
    <mergeCell ref="Y255"/>
    <mergeCell ref="Y42"/>
    <mergeCell ref="Y256"/>
    <mergeCell ref="Y43"/>
    <mergeCell ref="Y253"/>
    <mergeCell ref="Y40"/>
    <mergeCell ref="Y254"/>
    <mergeCell ref="Y41"/>
    <mergeCell ref="Y263"/>
    <mergeCell ref="Y50"/>
    <mergeCell ref="Y264"/>
    <mergeCell ref="Y51"/>
    <mergeCell ref="Y261"/>
    <mergeCell ref="Y48"/>
    <mergeCell ref="Y262"/>
    <mergeCell ref="Y49"/>
    <mergeCell ref="Y259"/>
    <mergeCell ref="Y46"/>
    <mergeCell ref="Y260"/>
    <mergeCell ref="Y47"/>
    <mergeCell ref="Y269"/>
    <mergeCell ref="Y56"/>
    <mergeCell ref="Y270"/>
    <mergeCell ref="Y57"/>
    <mergeCell ref="Y267"/>
    <mergeCell ref="Y54"/>
    <mergeCell ref="Y268"/>
    <mergeCell ref="Y55"/>
    <mergeCell ref="Y265"/>
    <mergeCell ref="Y52"/>
    <mergeCell ref="Y266"/>
    <mergeCell ref="Y53"/>
    <mergeCell ref="Y232"/>
    <mergeCell ref="Y173"/>
    <mergeCell ref="Y174"/>
    <mergeCell ref="Y171"/>
    <mergeCell ref="Y172"/>
    <mergeCell ref="Y169"/>
    <mergeCell ref="Y170"/>
    <mergeCell ref="Y179"/>
    <mergeCell ref="Y180"/>
    <mergeCell ref="Y177"/>
    <mergeCell ref="Y178"/>
    <mergeCell ref="Y175"/>
    <mergeCell ref="Y176"/>
    <mergeCell ref="Y62"/>
    <mergeCell ref="Y63"/>
    <mergeCell ref="Y60"/>
    <mergeCell ref="Y61"/>
    <mergeCell ref="Y58"/>
    <mergeCell ref="Y59"/>
    <mergeCell ref="Y68"/>
    <mergeCell ref="Y69"/>
    <mergeCell ref="Y66"/>
    <mergeCell ref="Y67"/>
    <mergeCell ref="Y64"/>
    <mergeCell ref="Y65"/>
    <mergeCell ref="Y19"/>
    <mergeCell ref="Y229"/>
    <mergeCell ref="Y16"/>
    <mergeCell ref="Y230"/>
    <mergeCell ref="Y17"/>
    <mergeCell ref="Y239"/>
    <mergeCell ref="Y26"/>
    <mergeCell ref="Y240"/>
    <mergeCell ref="Y27"/>
    <mergeCell ref="Y237"/>
    <mergeCell ref="Y24"/>
    <mergeCell ref="Y238"/>
    <mergeCell ref="Y25"/>
    <mergeCell ref="Y235"/>
    <mergeCell ref="Y22"/>
    <mergeCell ref="Y236"/>
    <mergeCell ref="Y23"/>
    <mergeCell ref="Y245"/>
    <mergeCell ref="Y32"/>
    <mergeCell ref="Y246"/>
    <mergeCell ref="Y33"/>
    <mergeCell ref="Y243"/>
    <mergeCell ref="Y30"/>
    <mergeCell ref="Y244"/>
    <mergeCell ref="Y31"/>
    <mergeCell ref="Y241"/>
    <mergeCell ref="Y28"/>
    <mergeCell ref="Y242"/>
    <mergeCell ref="Y29"/>
    <mergeCell ref="Y251"/>
    <mergeCell ref="Y38"/>
    <mergeCell ref="Y252"/>
    <mergeCell ref="Y39"/>
    <mergeCell ref="Y249"/>
    <mergeCell ref="Y36"/>
    <mergeCell ref="Y250"/>
    <mergeCell ref="Y37"/>
    <mergeCell ref="Y247"/>
    <mergeCell ref="Y34"/>
    <mergeCell ref="Y248"/>
    <mergeCell ref="Y35"/>
    <mergeCell ref="Y139"/>
    <mergeCell ref="Y136"/>
    <mergeCell ref="Y137"/>
    <mergeCell ref="Y134"/>
    <mergeCell ref="Y135"/>
    <mergeCell ref="Y216"/>
    <mergeCell ref="Y126"/>
    <mergeCell ref="Y127"/>
    <mergeCell ref="Y124"/>
    <mergeCell ref="Y125"/>
    <mergeCell ref="Y122"/>
    <mergeCell ref="Y123"/>
    <mergeCell ref="Y132"/>
    <mergeCell ref="Y133"/>
    <mergeCell ref="Y130"/>
    <mergeCell ref="Y131"/>
    <mergeCell ref="Y128"/>
    <mergeCell ref="Y129"/>
    <mergeCell ref="Y168"/>
    <mergeCell ref="Y165"/>
    <mergeCell ref="Y166"/>
    <mergeCell ref="Y163"/>
    <mergeCell ref="Y164"/>
    <mergeCell ref="Y3"/>
    <mergeCell ref="Y361"/>
    <mergeCell ref="Y148"/>
    <mergeCell ref="Y362"/>
    <mergeCell ref="Y149"/>
    <mergeCell ref="Y359"/>
    <mergeCell ref="Y146"/>
    <mergeCell ref="Y360"/>
    <mergeCell ref="Y147"/>
    <mergeCell ref="Y357"/>
    <mergeCell ref="Y144"/>
    <mergeCell ref="Y358"/>
    <mergeCell ref="Y145"/>
    <mergeCell ref="Y355"/>
    <mergeCell ref="Y142"/>
    <mergeCell ref="Y356"/>
    <mergeCell ref="Y143"/>
    <mergeCell ref="Y353"/>
    <mergeCell ref="Y140"/>
    <mergeCell ref="Y354"/>
    <mergeCell ref="Y141"/>
    <mergeCell ref="Y351"/>
    <mergeCell ref="Y138"/>
    <mergeCell ref="Y221"/>
    <mergeCell ref="Y8"/>
    <mergeCell ref="Y222"/>
    <mergeCell ref="Y9"/>
    <mergeCell ref="Y219"/>
    <mergeCell ref="Y6"/>
    <mergeCell ref="Y220"/>
    <mergeCell ref="Y7"/>
    <mergeCell ref="Y217"/>
    <mergeCell ref="Y4"/>
    <mergeCell ref="Y218"/>
    <mergeCell ref="Y5"/>
    <mergeCell ref="Y227"/>
    <mergeCell ref="Y14"/>
    <mergeCell ref="Y228"/>
    <mergeCell ref="Y15"/>
    <mergeCell ref="Y225"/>
    <mergeCell ref="Y12"/>
    <mergeCell ref="Y226"/>
    <mergeCell ref="Y13"/>
    <mergeCell ref="Y223"/>
    <mergeCell ref="Y10"/>
    <mergeCell ref="Y224"/>
    <mergeCell ref="Y11"/>
    <mergeCell ref="Y233"/>
    <mergeCell ref="Y20"/>
    <mergeCell ref="Y234"/>
    <mergeCell ref="Y21"/>
    <mergeCell ref="Y231"/>
    <mergeCell ref="Y18"/>
    <mergeCell ref="Y120"/>
    <mergeCell ref="Y334"/>
    <mergeCell ref="Y121"/>
    <mergeCell ref="Y331"/>
    <mergeCell ref="Y118"/>
    <mergeCell ref="Y332"/>
    <mergeCell ref="Y119"/>
    <mergeCell ref="Y329"/>
    <mergeCell ref="Y116"/>
    <mergeCell ref="Y330"/>
    <mergeCell ref="Y117"/>
    <mergeCell ref="Y417"/>
    <mergeCell ref="Y204"/>
    <mergeCell ref="Y414"/>
    <mergeCell ref="Y201"/>
    <mergeCell ref="Y415"/>
    <mergeCell ref="Y202"/>
    <mergeCell ref="Y412"/>
    <mergeCell ref="Y199"/>
    <mergeCell ref="Y413"/>
    <mergeCell ref="Y200"/>
    <mergeCell ref="Y297"/>
    <mergeCell ref="Y84"/>
    <mergeCell ref="Y298"/>
    <mergeCell ref="Y85"/>
    <mergeCell ref="Y296"/>
    <mergeCell ref="Y83"/>
    <mergeCell ref="Y424"/>
    <mergeCell ref="Y211"/>
    <mergeCell ref="Y425"/>
    <mergeCell ref="Y212"/>
    <mergeCell ref="Y422"/>
    <mergeCell ref="Y209"/>
    <mergeCell ref="Y423"/>
    <mergeCell ref="Y210"/>
    <mergeCell ref="Y420"/>
    <mergeCell ref="Y207"/>
    <mergeCell ref="Y421"/>
    <mergeCell ref="Y208"/>
    <mergeCell ref="Y418"/>
    <mergeCell ref="Y205"/>
    <mergeCell ref="Y419"/>
    <mergeCell ref="Y206"/>
    <mergeCell ref="Y416"/>
    <mergeCell ref="Y203"/>
    <mergeCell ref="Y303"/>
    <mergeCell ref="Y90"/>
    <mergeCell ref="Y304"/>
    <mergeCell ref="Y91"/>
    <mergeCell ref="Y301"/>
    <mergeCell ref="Y88"/>
    <mergeCell ref="Y302"/>
    <mergeCell ref="Y89"/>
    <mergeCell ref="Y299"/>
    <mergeCell ref="Y86"/>
    <mergeCell ref="Y300"/>
    <mergeCell ref="Y87"/>
    <mergeCell ref="Y309"/>
    <mergeCell ref="Y96"/>
    <mergeCell ref="Y310"/>
    <mergeCell ref="Y97"/>
    <mergeCell ref="Y307"/>
    <mergeCell ref="Y94"/>
    <mergeCell ref="Y308"/>
    <mergeCell ref="Y95"/>
    <mergeCell ref="Y305"/>
    <mergeCell ref="Y92"/>
    <mergeCell ref="Y306"/>
    <mergeCell ref="Y93"/>
    <mergeCell ref="Y315"/>
    <mergeCell ref="Y102"/>
    <mergeCell ref="Y316"/>
    <mergeCell ref="Y103"/>
    <mergeCell ref="Y313"/>
    <mergeCell ref="Y100"/>
    <mergeCell ref="Y398"/>
    <mergeCell ref="Y185"/>
    <mergeCell ref="Y399"/>
    <mergeCell ref="Y186"/>
    <mergeCell ref="Y396"/>
    <mergeCell ref="Y183"/>
    <mergeCell ref="Y397"/>
    <mergeCell ref="Y184"/>
    <mergeCell ref="Y394"/>
    <mergeCell ref="Y181"/>
    <mergeCell ref="Y395"/>
    <mergeCell ref="Y182"/>
    <mergeCell ref="Y404"/>
    <mergeCell ref="Y191"/>
    <mergeCell ref="Y405"/>
    <mergeCell ref="Y192"/>
    <mergeCell ref="Y402"/>
    <mergeCell ref="Y189"/>
    <mergeCell ref="Y403"/>
    <mergeCell ref="Y190"/>
    <mergeCell ref="Y400"/>
    <mergeCell ref="Y187"/>
    <mergeCell ref="Y401"/>
    <mergeCell ref="Y188"/>
    <mergeCell ref="Y410"/>
    <mergeCell ref="Y197"/>
    <mergeCell ref="Y411"/>
    <mergeCell ref="Y198"/>
    <mergeCell ref="Y408"/>
    <mergeCell ref="Y195"/>
    <mergeCell ref="Y409"/>
    <mergeCell ref="Y196"/>
    <mergeCell ref="Y406"/>
    <mergeCell ref="Y193"/>
    <mergeCell ref="Y407"/>
    <mergeCell ref="Y194"/>
    <mergeCell ref="Y381"/>
    <mergeCell ref="Y378"/>
    <mergeCell ref="Y379"/>
    <mergeCell ref="Y376"/>
    <mergeCell ref="Y377"/>
    <mergeCell ref="Y386"/>
    <mergeCell ref="Y387"/>
    <mergeCell ref="Y384"/>
    <mergeCell ref="Y385"/>
    <mergeCell ref="Y382"/>
    <mergeCell ref="Y383"/>
    <mergeCell ref="Y392"/>
    <mergeCell ref="Y393"/>
    <mergeCell ref="Y390"/>
    <mergeCell ref="Y391"/>
    <mergeCell ref="Y388"/>
    <mergeCell ref="Y389"/>
    <mergeCell ref="Y276"/>
    <mergeCell ref="Y273"/>
    <mergeCell ref="Y274"/>
    <mergeCell ref="Y271"/>
    <mergeCell ref="Y272"/>
    <mergeCell ref="Y281"/>
    <mergeCell ref="Y282"/>
    <mergeCell ref="Y279"/>
    <mergeCell ref="Y280"/>
    <mergeCell ref="Y277"/>
    <mergeCell ref="Y278"/>
    <mergeCell ref="Z293"/>
    <mergeCell ref="Z80"/>
    <mergeCell ref="Z292"/>
    <mergeCell ref="Z79"/>
    <mergeCell ref="Z291"/>
    <mergeCell ref="Z78"/>
    <mergeCell ref="Y368"/>
    <mergeCell ref="Y155"/>
    <mergeCell ref="Y369"/>
    <mergeCell ref="Y156"/>
    <mergeCell ref="Y366"/>
    <mergeCell ref="Y153"/>
    <mergeCell ref="Y367"/>
    <mergeCell ref="Y154"/>
    <mergeCell ref="Y365"/>
    <mergeCell ref="Y152"/>
    <mergeCell ref="Y374"/>
    <mergeCell ref="Y161"/>
    <mergeCell ref="Y375"/>
    <mergeCell ref="Y162"/>
    <mergeCell ref="Y372"/>
    <mergeCell ref="Y159"/>
    <mergeCell ref="Y373"/>
    <mergeCell ref="Y160"/>
    <mergeCell ref="Y370"/>
    <mergeCell ref="Y157"/>
    <mergeCell ref="Y371"/>
    <mergeCell ref="Y158"/>
    <mergeCell ref="Y380"/>
    <mergeCell ref="Y167"/>
    <mergeCell ref="Y314"/>
    <mergeCell ref="Y101"/>
    <mergeCell ref="Y311"/>
    <mergeCell ref="Y98"/>
    <mergeCell ref="Y312"/>
    <mergeCell ref="Y99"/>
    <mergeCell ref="Y321"/>
    <mergeCell ref="Y108"/>
    <mergeCell ref="Y322"/>
    <mergeCell ref="Y109"/>
    <mergeCell ref="Y319"/>
    <mergeCell ref="Y106"/>
    <mergeCell ref="Y320"/>
    <mergeCell ref="Y107"/>
    <mergeCell ref="Y317"/>
    <mergeCell ref="Y104"/>
    <mergeCell ref="Y318"/>
    <mergeCell ref="Y105"/>
    <mergeCell ref="Y327"/>
    <mergeCell ref="Y114"/>
    <mergeCell ref="Y328"/>
    <mergeCell ref="Y115"/>
    <mergeCell ref="Y325"/>
    <mergeCell ref="Y112"/>
    <mergeCell ref="Y326"/>
    <mergeCell ref="Y113"/>
    <mergeCell ref="Y323"/>
    <mergeCell ref="Y110"/>
    <mergeCell ref="Y324"/>
    <mergeCell ref="Y111"/>
    <mergeCell ref="Y333"/>
    <mergeCell ref="Z281"/>
    <mergeCell ref="Z362"/>
    <mergeCell ref="Z361"/>
    <mergeCell ref="Z280"/>
    <mergeCell ref="Z67"/>
    <mergeCell ref="Z279"/>
    <mergeCell ref="Z66"/>
    <mergeCell ref="Z284"/>
    <mergeCell ref="Z71"/>
    <mergeCell ref="Z283"/>
    <mergeCell ref="Z70"/>
    <mergeCell ref="Z282"/>
    <mergeCell ref="Z69"/>
    <mergeCell ref="Z287"/>
    <mergeCell ref="Z74"/>
    <mergeCell ref="Z286"/>
    <mergeCell ref="Z73"/>
    <mergeCell ref="Z285"/>
    <mergeCell ref="Z72"/>
    <mergeCell ref="Z290"/>
    <mergeCell ref="Z77"/>
    <mergeCell ref="Z289"/>
    <mergeCell ref="Z76"/>
    <mergeCell ref="Z288"/>
    <mergeCell ref="Z75"/>
    <mergeCell ref="Z269"/>
    <mergeCell ref="Z56"/>
    <mergeCell ref="Z268"/>
    <mergeCell ref="Z55"/>
    <mergeCell ref="Z267"/>
    <mergeCell ref="Z54"/>
    <mergeCell ref="Z272"/>
    <mergeCell ref="Z59"/>
    <mergeCell ref="Z271"/>
    <mergeCell ref="Z58"/>
    <mergeCell ref="Z270"/>
    <mergeCell ref="Z57"/>
    <mergeCell ref="Z275"/>
    <mergeCell ref="Z62"/>
    <mergeCell ref="Z274"/>
    <mergeCell ref="Z61"/>
    <mergeCell ref="Z273"/>
    <mergeCell ref="Z60"/>
    <mergeCell ref="Z278"/>
    <mergeCell ref="Z65"/>
    <mergeCell ref="Z277"/>
    <mergeCell ref="Z64"/>
    <mergeCell ref="Z276"/>
    <mergeCell ref="Z63"/>
    <mergeCell ref="Z257"/>
    <mergeCell ref="Z44"/>
    <mergeCell ref="Z256"/>
    <mergeCell ref="Z43"/>
    <mergeCell ref="Z255"/>
    <mergeCell ref="Z42"/>
    <mergeCell ref="Z260"/>
    <mergeCell ref="Z47"/>
    <mergeCell ref="Z259"/>
    <mergeCell ref="Z46"/>
    <mergeCell ref="Z258"/>
    <mergeCell ref="Z45"/>
    <mergeCell ref="Z263"/>
    <mergeCell ref="Z50"/>
    <mergeCell ref="Z262"/>
    <mergeCell ref="Z49"/>
    <mergeCell ref="Z261"/>
    <mergeCell ref="Z48"/>
    <mergeCell ref="Z266"/>
    <mergeCell ref="Z53"/>
    <mergeCell ref="Z265"/>
    <mergeCell ref="Z52"/>
    <mergeCell ref="Z264"/>
    <mergeCell ref="Z51"/>
    <mergeCell ref="Z241"/>
    <mergeCell ref="Z28"/>
    <mergeCell ref="Z240"/>
    <mergeCell ref="Z27"/>
    <mergeCell ref="Z245"/>
    <mergeCell ref="Z32"/>
    <mergeCell ref="Z244"/>
    <mergeCell ref="Z31"/>
    <mergeCell ref="Z243"/>
    <mergeCell ref="Z30"/>
    <mergeCell ref="Z248"/>
    <mergeCell ref="Z35"/>
    <mergeCell ref="Z247"/>
    <mergeCell ref="Z34"/>
    <mergeCell ref="Z246"/>
    <mergeCell ref="Z33"/>
    <mergeCell ref="Z251"/>
    <mergeCell ref="Z38"/>
    <mergeCell ref="Z250"/>
    <mergeCell ref="Z37"/>
    <mergeCell ref="Z249"/>
    <mergeCell ref="Z36"/>
    <mergeCell ref="Z254"/>
    <mergeCell ref="Z41"/>
    <mergeCell ref="Z253"/>
    <mergeCell ref="Z40"/>
    <mergeCell ref="Z252"/>
    <mergeCell ref="Z39"/>
    <mergeCell ref="Z216"/>
    <mergeCell ref="Z112"/>
    <mergeCell ref="Z68"/>
    <mergeCell ref="Z3"/>
    <mergeCell ref="Z221"/>
    <mergeCell ref="Z8"/>
    <mergeCell ref="Z220"/>
    <mergeCell ref="Z7"/>
    <mergeCell ref="Z219"/>
    <mergeCell ref="Z6"/>
    <mergeCell ref="Z224"/>
    <mergeCell ref="Z11"/>
    <mergeCell ref="Z223"/>
    <mergeCell ref="Z10"/>
    <mergeCell ref="Z222"/>
    <mergeCell ref="Z9"/>
    <mergeCell ref="Z227"/>
    <mergeCell ref="Z14"/>
    <mergeCell ref="Z226"/>
    <mergeCell ref="Z13"/>
    <mergeCell ref="Z225"/>
    <mergeCell ref="Z12"/>
    <mergeCell ref="Z230"/>
    <mergeCell ref="Z17"/>
    <mergeCell ref="Z229"/>
    <mergeCell ref="Z16"/>
    <mergeCell ref="Z228"/>
    <mergeCell ref="Z15"/>
    <mergeCell ref="Z356"/>
    <mergeCell ref="Z143"/>
    <mergeCell ref="Z355"/>
    <mergeCell ref="Z142"/>
    <mergeCell ref="Z354"/>
    <mergeCell ref="Z141"/>
    <mergeCell ref="Z359"/>
    <mergeCell ref="Z146"/>
    <mergeCell ref="Z358"/>
    <mergeCell ref="Z145"/>
    <mergeCell ref="Z357"/>
    <mergeCell ref="Z144"/>
    <mergeCell ref="Z149"/>
    <mergeCell ref="Z148"/>
    <mergeCell ref="Z337"/>
    <mergeCell ref="Z124"/>
    <mergeCell ref="Z336"/>
    <mergeCell ref="Z123"/>
    <mergeCell ref="Z341"/>
    <mergeCell ref="Z128"/>
    <mergeCell ref="Z340"/>
    <mergeCell ref="Z127"/>
    <mergeCell ref="Z339"/>
    <mergeCell ref="Z126"/>
    <mergeCell ref="Z320"/>
    <mergeCell ref="Z107"/>
    <mergeCell ref="Z319"/>
    <mergeCell ref="Z106"/>
    <mergeCell ref="Z318"/>
    <mergeCell ref="Z105"/>
    <mergeCell ref="Z323"/>
    <mergeCell ref="Z110"/>
    <mergeCell ref="Z322"/>
    <mergeCell ref="Z109"/>
    <mergeCell ref="Z321"/>
    <mergeCell ref="Z108"/>
    <mergeCell ref="Z326"/>
    <mergeCell ref="Z113"/>
    <mergeCell ref="Z325"/>
    <mergeCell ref="Z360"/>
    <mergeCell ref="Z147"/>
    <mergeCell ref="Z218"/>
    <mergeCell ref="Z5"/>
    <mergeCell ref="Z217"/>
    <mergeCell ref="Z4"/>
    <mergeCell ref="Z233"/>
    <mergeCell ref="Z20"/>
    <mergeCell ref="Z232"/>
    <mergeCell ref="Z19"/>
    <mergeCell ref="Z231"/>
    <mergeCell ref="Z18"/>
    <mergeCell ref="Z236"/>
    <mergeCell ref="Z23"/>
    <mergeCell ref="Z235"/>
    <mergeCell ref="Z22"/>
    <mergeCell ref="Z234"/>
    <mergeCell ref="Z21"/>
    <mergeCell ref="Z239"/>
    <mergeCell ref="Z26"/>
    <mergeCell ref="Z238"/>
    <mergeCell ref="Z25"/>
    <mergeCell ref="Z237"/>
    <mergeCell ref="Z24"/>
    <mergeCell ref="Z242"/>
    <mergeCell ref="Z29"/>
    <mergeCell ref="Z344"/>
    <mergeCell ref="Z131"/>
    <mergeCell ref="Z343"/>
    <mergeCell ref="Z130"/>
    <mergeCell ref="Z342"/>
    <mergeCell ref="Z129"/>
    <mergeCell ref="Z347"/>
    <mergeCell ref="Z134"/>
    <mergeCell ref="Z346"/>
    <mergeCell ref="Z133"/>
    <mergeCell ref="Z345"/>
    <mergeCell ref="Z132"/>
    <mergeCell ref="Z350"/>
    <mergeCell ref="Z137"/>
    <mergeCell ref="Z349"/>
    <mergeCell ref="Z136"/>
    <mergeCell ref="Z348"/>
    <mergeCell ref="Z135"/>
    <mergeCell ref="Z353"/>
    <mergeCell ref="Z140"/>
    <mergeCell ref="Z352"/>
    <mergeCell ref="Z139"/>
    <mergeCell ref="Z351"/>
    <mergeCell ref="Z138"/>
    <mergeCell ref="Z332"/>
    <mergeCell ref="Z119"/>
    <mergeCell ref="Z331"/>
    <mergeCell ref="Z118"/>
    <mergeCell ref="Z330"/>
    <mergeCell ref="Z117"/>
    <mergeCell ref="Z335"/>
    <mergeCell ref="Z122"/>
    <mergeCell ref="Z334"/>
    <mergeCell ref="Z121"/>
    <mergeCell ref="Z333"/>
    <mergeCell ref="Z120"/>
    <mergeCell ref="Z338"/>
    <mergeCell ref="Z125"/>
    <mergeCell ref="Z406"/>
    <mergeCell ref="Z193"/>
    <mergeCell ref="Z405"/>
    <mergeCell ref="Z192"/>
    <mergeCell ref="Z404"/>
    <mergeCell ref="Z191"/>
    <mergeCell ref="Z409"/>
    <mergeCell ref="Z196"/>
    <mergeCell ref="Z408"/>
    <mergeCell ref="Z195"/>
    <mergeCell ref="Z407"/>
    <mergeCell ref="Z194"/>
    <mergeCell ref="Z412"/>
    <mergeCell ref="Z199"/>
    <mergeCell ref="Z411"/>
    <mergeCell ref="Z198"/>
    <mergeCell ref="Z324"/>
    <mergeCell ref="Z111"/>
    <mergeCell ref="Z329"/>
    <mergeCell ref="Z116"/>
    <mergeCell ref="Z328"/>
    <mergeCell ref="Z115"/>
    <mergeCell ref="Z327"/>
    <mergeCell ref="Z114"/>
    <mergeCell ref="Z304"/>
    <mergeCell ref="Z91"/>
    <mergeCell ref="Z303"/>
    <mergeCell ref="Z90"/>
    <mergeCell ref="Z308"/>
    <mergeCell ref="Z95"/>
    <mergeCell ref="Z307"/>
    <mergeCell ref="Z94"/>
    <mergeCell ref="Z306"/>
    <mergeCell ref="Z93"/>
    <mergeCell ref="Z311"/>
    <mergeCell ref="Z98"/>
    <mergeCell ref="Z310"/>
    <mergeCell ref="Z97"/>
    <mergeCell ref="Z309"/>
    <mergeCell ref="Z96"/>
    <mergeCell ref="Z314"/>
    <mergeCell ref="Z101"/>
    <mergeCell ref="Z313"/>
    <mergeCell ref="Z100"/>
    <mergeCell ref="Z312"/>
    <mergeCell ref="Z99"/>
    <mergeCell ref="Z317"/>
    <mergeCell ref="Z104"/>
    <mergeCell ref="Z316"/>
    <mergeCell ref="Z103"/>
    <mergeCell ref="Z315"/>
    <mergeCell ref="Z102"/>
    <mergeCell ref="Z154"/>
    <mergeCell ref="Z153"/>
    <mergeCell ref="Z152"/>
    <mergeCell ref="Z157"/>
    <mergeCell ref="Z156"/>
    <mergeCell ref="Z155"/>
    <mergeCell ref="Z160"/>
    <mergeCell ref="Z159"/>
    <mergeCell ref="Z158"/>
    <mergeCell ref="Z163"/>
    <mergeCell ref="Z162"/>
    <mergeCell ref="Z161"/>
    <mergeCell ref="Z387"/>
    <mergeCell ref="Z174"/>
    <mergeCell ref="Z386"/>
    <mergeCell ref="Z173"/>
    <mergeCell ref="Z367"/>
    <mergeCell ref="Z366"/>
    <mergeCell ref="Z365"/>
    <mergeCell ref="Z370"/>
    <mergeCell ref="Z369"/>
    <mergeCell ref="Z368"/>
    <mergeCell ref="Z373"/>
    <mergeCell ref="Z372"/>
    <mergeCell ref="Z371"/>
    <mergeCell ref="Z376"/>
    <mergeCell ref="Z375"/>
    <mergeCell ref="Z374"/>
    <mergeCell ref="Z415"/>
    <mergeCell ref="Z202"/>
    <mergeCell ref="Z414"/>
    <mergeCell ref="Z201"/>
    <mergeCell ref="Z413"/>
    <mergeCell ref="Z200"/>
    <mergeCell ref="Z418"/>
    <mergeCell ref="Z205"/>
    <mergeCell ref="Z417"/>
    <mergeCell ref="Z204"/>
    <mergeCell ref="Z416"/>
    <mergeCell ref="Z203"/>
    <mergeCell ref="Z296"/>
    <mergeCell ref="Z83"/>
    <mergeCell ref="Z425"/>
    <mergeCell ref="Z212"/>
    <mergeCell ref="Z424"/>
    <mergeCell ref="Z211"/>
    <mergeCell ref="Z423"/>
    <mergeCell ref="Z210"/>
    <mergeCell ref="Z422"/>
    <mergeCell ref="Z209"/>
    <mergeCell ref="Z421"/>
    <mergeCell ref="Z208"/>
    <mergeCell ref="Z420"/>
    <mergeCell ref="Z207"/>
    <mergeCell ref="Z419"/>
    <mergeCell ref="Z206"/>
    <mergeCell ref="Z299"/>
    <mergeCell ref="Z86"/>
    <mergeCell ref="Z298"/>
    <mergeCell ref="Z85"/>
    <mergeCell ref="Z297"/>
    <mergeCell ref="Z84"/>
    <mergeCell ref="Z302"/>
    <mergeCell ref="Z89"/>
    <mergeCell ref="Z301"/>
    <mergeCell ref="Z88"/>
    <mergeCell ref="Z300"/>
    <mergeCell ref="Z87"/>
    <mergeCell ref="Z305"/>
    <mergeCell ref="Z92"/>
    <mergeCell ref="Z403"/>
    <mergeCell ref="Z190"/>
    <mergeCell ref="Z402"/>
    <mergeCell ref="Z189"/>
    <mergeCell ref="Z401"/>
    <mergeCell ref="Z188"/>
    <mergeCell ref="AA62"/>
    <mergeCell ref="AA274"/>
    <mergeCell ref="AA61"/>
    <mergeCell ref="AA273"/>
    <mergeCell ref="AA60"/>
    <mergeCell ref="AA278"/>
    <mergeCell ref="AA65"/>
    <mergeCell ref="AA277"/>
    <mergeCell ref="AA64"/>
    <mergeCell ref="AA276"/>
    <mergeCell ref="AA63"/>
    <mergeCell ref="AA281"/>
    <mergeCell ref="AA68"/>
    <mergeCell ref="AA280"/>
    <mergeCell ref="AA67"/>
    <mergeCell ref="AA279"/>
    <mergeCell ref="AA66"/>
    <mergeCell ref="AA260"/>
    <mergeCell ref="Z410"/>
    <mergeCell ref="Z197"/>
    <mergeCell ref="Z391"/>
    <mergeCell ref="Z178"/>
    <mergeCell ref="Z390"/>
    <mergeCell ref="Z177"/>
    <mergeCell ref="Z389"/>
    <mergeCell ref="Z176"/>
    <mergeCell ref="Z394"/>
    <mergeCell ref="Z181"/>
    <mergeCell ref="Z393"/>
    <mergeCell ref="Z180"/>
    <mergeCell ref="Z392"/>
    <mergeCell ref="Z179"/>
    <mergeCell ref="Z397"/>
    <mergeCell ref="Z184"/>
    <mergeCell ref="Z396"/>
    <mergeCell ref="Z183"/>
    <mergeCell ref="Z395"/>
    <mergeCell ref="Z182"/>
    <mergeCell ref="Z400"/>
    <mergeCell ref="Z187"/>
    <mergeCell ref="Z399"/>
    <mergeCell ref="Z186"/>
    <mergeCell ref="Z398"/>
    <mergeCell ref="Z185"/>
    <mergeCell ref="Z379"/>
    <mergeCell ref="Z166"/>
    <mergeCell ref="Z378"/>
    <mergeCell ref="Z165"/>
    <mergeCell ref="Z377"/>
    <mergeCell ref="Z164"/>
    <mergeCell ref="Z382"/>
    <mergeCell ref="Z169"/>
    <mergeCell ref="Z381"/>
    <mergeCell ref="Z168"/>
    <mergeCell ref="Z380"/>
    <mergeCell ref="Z167"/>
    <mergeCell ref="Z385"/>
    <mergeCell ref="Z172"/>
    <mergeCell ref="Z384"/>
    <mergeCell ref="Z171"/>
    <mergeCell ref="Z383"/>
    <mergeCell ref="Z170"/>
    <mergeCell ref="Z388"/>
    <mergeCell ref="Z175"/>
    <mergeCell ref="AA47"/>
    <mergeCell ref="AA259"/>
    <mergeCell ref="AA46"/>
    <mergeCell ref="AA258"/>
    <mergeCell ref="AA45"/>
    <mergeCell ref="AA263"/>
    <mergeCell ref="AA50"/>
    <mergeCell ref="AA262"/>
    <mergeCell ref="AA49"/>
    <mergeCell ref="AA261"/>
    <mergeCell ref="AA48"/>
    <mergeCell ref="AA266"/>
    <mergeCell ref="AA53"/>
    <mergeCell ref="AA265"/>
    <mergeCell ref="AA52"/>
    <mergeCell ref="AA264"/>
    <mergeCell ref="AA51"/>
    <mergeCell ref="AA269"/>
    <mergeCell ref="AA56"/>
    <mergeCell ref="AA268"/>
    <mergeCell ref="AA55"/>
    <mergeCell ref="AA267"/>
    <mergeCell ref="AA54"/>
    <mergeCell ref="AA248"/>
    <mergeCell ref="AA35"/>
    <mergeCell ref="AA247"/>
    <mergeCell ref="AA34"/>
    <mergeCell ref="AA246"/>
    <mergeCell ref="AA33"/>
    <mergeCell ref="AA251"/>
    <mergeCell ref="AA38"/>
    <mergeCell ref="AA250"/>
    <mergeCell ref="AA37"/>
    <mergeCell ref="AA249"/>
    <mergeCell ref="AA36"/>
    <mergeCell ref="AA254"/>
    <mergeCell ref="AA41"/>
    <mergeCell ref="AA253"/>
    <mergeCell ref="AA40"/>
    <mergeCell ref="AA252"/>
    <mergeCell ref="AA39"/>
    <mergeCell ref="AA257"/>
    <mergeCell ref="AA44"/>
    <mergeCell ref="AA256"/>
    <mergeCell ref="AA43"/>
    <mergeCell ref="AA255"/>
    <mergeCell ref="AA42"/>
    <mergeCell ref="AA236"/>
    <mergeCell ref="AA118"/>
    <mergeCell ref="AA71"/>
    <mergeCell ref="AA70"/>
    <mergeCell ref="AA69"/>
    <mergeCell ref="AA74"/>
    <mergeCell ref="AA73"/>
    <mergeCell ref="AA72"/>
    <mergeCell ref="AA77"/>
    <mergeCell ref="AA76"/>
    <mergeCell ref="AA75"/>
    <mergeCell ref="AA80"/>
    <mergeCell ref="AA79"/>
    <mergeCell ref="AA78"/>
    <mergeCell ref="AA59"/>
    <mergeCell ref="AA58"/>
    <mergeCell ref="AA57"/>
    <mergeCell ref="AA23"/>
    <mergeCell ref="AA235"/>
    <mergeCell ref="AA22"/>
    <mergeCell ref="AA234"/>
    <mergeCell ref="AA21"/>
    <mergeCell ref="AA239"/>
    <mergeCell ref="AA26"/>
    <mergeCell ref="AA238"/>
    <mergeCell ref="AA25"/>
    <mergeCell ref="AA237"/>
    <mergeCell ref="AA24"/>
    <mergeCell ref="AA242"/>
    <mergeCell ref="AA29"/>
    <mergeCell ref="AA241"/>
    <mergeCell ref="AA28"/>
    <mergeCell ref="AA240"/>
    <mergeCell ref="AA27"/>
    <mergeCell ref="AA245"/>
    <mergeCell ref="AA32"/>
    <mergeCell ref="AA244"/>
    <mergeCell ref="AA31"/>
    <mergeCell ref="AA243"/>
    <mergeCell ref="AA30"/>
    <mergeCell ref="AA362"/>
    <mergeCell ref="AA149"/>
    <mergeCell ref="AA361"/>
    <mergeCell ref="AA148"/>
    <mergeCell ref="AA360"/>
    <mergeCell ref="AA147"/>
    <mergeCell ref="AA218"/>
    <mergeCell ref="AA5"/>
    <mergeCell ref="AA217"/>
    <mergeCell ref="AA4"/>
    <mergeCell ref="AA216"/>
    <mergeCell ref="AA353"/>
    <mergeCell ref="AA352"/>
    <mergeCell ref="AA351"/>
    <mergeCell ref="AA356"/>
    <mergeCell ref="AA355"/>
    <mergeCell ref="AA354"/>
    <mergeCell ref="AA359"/>
    <mergeCell ref="AA358"/>
    <mergeCell ref="AA357"/>
    <mergeCell ref="AA347"/>
    <mergeCell ref="AA134"/>
    <mergeCell ref="AA346"/>
    <mergeCell ref="AA133"/>
    <mergeCell ref="AA345"/>
    <mergeCell ref="AA132"/>
    <mergeCell ref="AA326"/>
    <mergeCell ref="AA113"/>
    <mergeCell ref="AA325"/>
    <mergeCell ref="AA112"/>
    <mergeCell ref="AA324"/>
    <mergeCell ref="AA111"/>
    <mergeCell ref="AA329"/>
    <mergeCell ref="AA116"/>
    <mergeCell ref="AA328"/>
    <mergeCell ref="AA115"/>
    <mergeCell ref="AA327"/>
    <mergeCell ref="AA114"/>
    <mergeCell ref="AA332"/>
    <mergeCell ref="AA119"/>
    <mergeCell ref="AA331"/>
    <mergeCell ref="AA3"/>
    <mergeCell ref="AA221"/>
    <mergeCell ref="AA8"/>
    <mergeCell ref="AA220"/>
    <mergeCell ref="AA7"/>
    <mergeCell ref="AA219"/>
    <mergeCell ref="AA6"/>
    <mergeCell ref="AA224"/>
    <mergeCell ref="AA11"/>
    <mergeCell ref="AA223"/>
    <mergeCell ref="AA10"/>
    <mergeCell ref="AA222"/>
    <mergeCell ref="AA9"/>
    <mergeCell ref="AA227"/>
    <mergeCell ref="AA14"/>
    <mergeCell ref="AA226"/>
    <mergeCell ref="AA13"/>
    <mergeCell ref="AA225"/>
    <mergeCell ref="AA12"/>
    <mergeCell ref="AA230"/>
    <mergeCell ref="AA17"/>
    <mergeCell ref="AA229"/>
    <mergeCell ref="AA16"/>
    <mergeCell ref="AA228"/>
    <mergeCell ref="AA15"/>
    <mergeCell ref="AA233"/>
    <mergeCell ref="AA20"/>
    <mergeCell ref="AA232"/>
    <mergeCell ref="AA19"/>
    <mergeCell ref="AA231"/>
    <mergeCell ref="AA18"/>
    <mergeCell ref="AA350"/>
    <mergeCell ref="AA137"/>
    <mergeCell ref="AA349"/>
    <mergeCell ref="AA136"/>
    <mergeCell ref="AA348"/>
    <mergeCell ref="AA135"/>
    <mergeCell ref="AA140"/>
    <mergeCell ref="AA139"/>
    <mergeCell ref="AA138"/>
    <mergeCell ref="AA143"/>
    <mergeCell ref="AA142"/>
    <mergeCell ref="AA141"/>
    <mergeCell ref="AA146"/>
    <mergeCell ref="AA145"/>
    <mergeCell ref="AA144"/>
    <mergeCell ref="AA338"/>
    <mergeCell ref="AA125"/>
    <mergeCell ref="AA337"/>
    <mergeCell ref="AA124"/>
    <mergeCell ref="AA336"/>
    <mergeCell ref="AA123"/>
    <mergeCell ref="AA341"/>
    <mergeCell ref="AA128"/>
    <mergeCell ref="AA340"/>
    <mergeCell ref="AA127"/>
    <mergeCell ref="AA339"/>
    <mergeCell ref="AA126"/>
    <mergeCell ref="AA344"/>
    <mergeCell ref="AA131"/>
    <mergeCell ref="AA343"/>
    <mergeCell ref="AA130"/>
    <mergeCell ref="AA342"/>
    <mergeCell ref="AA129"/>
    <mergeCell ref="AA117"/>
    <mergeCell ref="AA335"/>
    <mergeCell ref="AA122"/>
    <mergeCell ref="AA334"/>
    <mergeCell ref="AA121"/>
    <mergeCell ref="AA333"/>
    <mergeCell ref="AA120"/>
    <mergeCell ref="AA97"/>
    <mergeCell ref="AA309"/>
    <mergeCell ref="AA96"/>
    <mergeCell ref="AA314"/>
    <mergeCell ref="AA101"/>
    <mergeCell ref="AA313"/>
    <mergeCell ref="AA100"/>
    <mergeCell ref="AA312"/>
    <mergeCell ref="AA99"/>
    <mergeCell ref="AA317"/>
    <mergeCell ref="AA104"/>
    <mergeCell ref="AA316"/>
    <mergeCell ref="AA103"/>
    <mergeCell ref="AA315"/>
    <mergeCell ref="AA102"/>
    <mergeCell ref="AA320"/>
    <mergeCell ref="AA107"/>
    <mergeCell ref="AA319"/>
    <mergeCell ref="AA106"/>
    <mergeCell ref="AA318"/>
    <mergeCell ref="AA105"/>
    <mergeCell ref="AA323"/>
    <mergeCell ref="AA110"/>
    <mergeCell ref="AA322"/>
    <mergeCell ref="AA109"/>
    <mergeCell ref="AA321"/>
    <mergeCell ref="AA108"/>
    <mergeCell ref="AA284"/>
    <mergeCell ref="AA283"/>
    <mergeCell ref="AA282"/>
    <mergeCell ref="AA287"/>
    <mergeCell ref="AA286"/>
    <mergeCell ref="AA285"/>
    <mergeCell ref="AA290"/>
    <mergeCell ref="AA289"/>
    <mergeCell ref="AA288"/>
    <mergeCell ref="AA293"/>
    <mergeCell ref="AA292"/>
    <mergeCell ref="AA291"/>
    <mergeCell ref="AA272"/>
    <mergeCell ref="AA271"/>
    <mergeCell ref="AA270"/>
    <mergeCell ref="AA275"/>
    <mergeCell ref="AA412"/>
    <mergeCell ref="AA199"/>
    <mergeCell ref="AA411"/>
    <mergeCell ref="AA198"/>
    <mergeCell ref="AA410"/>
    <mergeCell ref="AA197"/>
    <mergeCell ref="AA415"/>
    <mergeCell ref="AA202"/>
    <mergeCell ref="AA414"/>
    <mergeCell ref="AA201"/>
    <mergeCell ref="AA413"/>
    <mergeCell ref="AA200"/>
    <mergeCell ref="AA418"/>
    <mergeCell ref="AA205"/>
    <mergeCell ref="AA417"/>
    <mergeCell ref="AA204"/>
    <mergeCell ref="AA416"/>
    <mergeCell ref="AA203"/>
    <mergeCell ref="AA296"/>
    <mergeCell ref="AA83"/>
    <mergeCell ref="AA425"/>
    <mergeCell ref="AA212"/>
    <mergeCell ref="AA424"/>
    <mergeCell ref="AA211"/>
    <mergeCell ref="AA423"/>
    <mergeCell ref="AA210"/>
    <mergeCell ref="AA422"/>
    <mergeCell ref="AA209"/>
    <mergeCell ref="AA421"/>
    <mergeCell ref="AA208"/>
    <mergeCell ref="AA420"/>
    <mergeCell ref="AA207"/>
    <mergeCell ref="AA419"/>
    <mergeCell ref="AA206"/>
    <mergeCell ref="AA299"/>
    <mergeCell ref="AA86"/>
    <mergeCell ref="AA298"/>
    <mergeCell ref="AA85"/>
    <mergeCell ref="AA297"/>
    <mergeCell ref="AA84"/>
    <mergeCell ref="AA302"/>
    <mergeCell ref="AA89"/>
    <mergeCell ref="AA400"/>
    <mergeCell ref="AA187"/>
    <mergeCell ref="AA399"/>
    <mergeCell ref="AA186"/>
    <mergeCell ref="AA398"/>
    <mergeCell ref="AA185"/>
    <mergeCell ref="AA403"/>
    <mergeCell ref="AA190"/>
    <mergeCell ref="AA402"/>
    <mergeCell ref="AA189"/>
    <mergeCell ref="AA401"/>
    <mergeCell ref="AA188"/>
    <mergeCell ref="AA406"/>
    <mergeCell ref="AA193"/>
    <mergeCell ref="AA405"/>
    <mergeCell ref="AA192"/>
    <mergeCell ref="AA404"/>
    <mergeCell ref="AA191"/>
    <mergeCell ref="AA409"/>
    <mergeCell ref="AA196"/>
    <mergeCell ref="AA408"/>
    <mergeCell ref="AA195"/>
    <mergeCell ref="AA407"/>
    <mergeCell ref="AA194"/>
    <mergeCell ref="AA388"/>
    <mergeCell ref="AA175"/>
    <mergeCell ref="AA387"/>
    <mergeCell ref="AA174"/>
    <mergeCell ref="AA386"/>
    <mergeCell ref="AA173"/>
    <mergeCell ref="AA391"/>
    <mergeCell ref="AA178"/>
    <mergeCell ref="AA390"/>
    <mergeCell ref="AA177"/>
    <mergeCell ref="AA389"/>
    <mergeCell ref="AA176"/>
    <mergeCell ref="AA394"/>
    <mergeCell ref="AA181"/>
    <mergeCell ref="AA393"/>
    <mergeCell ref="AA180"/>
    <mergeCell ref="AA392"/>
    <mergeCell ref="AA179"/>
    <mergeCell ref="AA397"/>
    <mergeCell ref="AA184"/>
    <mergeCell ref="AA396"/>
    <mergeCell ref="AA183"/>
    <mergeCell ref="AA395"/>
    <mergeCell ref="AA182"/>
    <mergeCell ref="AA376"/>
    <mergeCell ref="AA163"/>
    <mergeCell ref="AA375"/>
    <mergeCell ref="AA162"/>
    <mergeCell ref="AA374"/>
    <mergeCell ref="AA161"/>
    <mergeCell ref="AA379"/>
    <mergeCell ref="AA166"/>
    <mergeCell ref="AA378"/>
    <mergeCell ref="AA165"/>
    <mergeCell ref="AA377"/>
    <mergeCell ref="AA164"/>
    <mergeCell ref="AA382"/>
    <mergeCell ref="AA169"/>
    <mergeCell ref="AA381"/>
    <mergeCell ref="AA168"/>
    <mergeCell ref="AA380"/>
    <mergeCell ref="AA167"/>
    <mergeCell ref="AA385"/>
    <mergeCell ref="AA172"/>
    <mergeCell ref="AA384"/>
    <mergeCell ref="AA171"/>
    <mergeCell ref="AA383"/>
    <mergeCell ref="AA170"/>
    <mergeCell ref="AA330"/>
    <mergeCell ref="AB293"/>
    <mergeCell ref="AB80"/>
    <mergeCell ref="AB292"/>
    <mergeCell ref="AB79"/>
    <mergeCell ref="AB291"/>
    <mergeCell ref="AB78"/>
    <mergeCell ref="AA367"/>
    <mergeCell ref="AA154"/>
    <mergeCell ref="AA366"/>
    <mergeCell ref="AA153"/>
    <mergeCell ref="AA365"/>
    <mergeCell ref="AA152"/>
    <mergeCell ref="AA370"/>
    <mergeCell ref="AA157"/>
    <mergeCell ref="AA369"/>
    <mergeCell ref="AA156"/>
    <mergeCell ref="AA368"/>
    <mergeCell ref="AA155"/>
    <mergeCell ref="AA373"/>
    <mergeCell ref="AA160"/>
    <mergeCell ref="AA372"/>
    <mergeCell ref="AA159"/>
    <mergeCell ref="AA371"/>
    <mergeCell ref="AA158"/>
    <mergeCell ref="AA301"/>
    <mergeCell ref="AA88"/>
    <mergeCell ref="AA300"/>
    <mergeCell ref="AA87"/>
    <mergeCell ref="AA305"/>
    <mergeCell ref="AA92"/>
    <mergeCell ref="AA304"/>
    <mergeCell ref="AA91"/>
    <mergeCell ref="AA303"/>
    <mergeCell ref="AA90"/>
    <mergeCell ref="AA308"/>
    <mergeCell ref="AA95"/>
    <mergeCell ref="AA307"/>
    <mergeCell ref="AA94"/>
    <mergeCell ref="AA306"/>
    <mergeCell ref="AA93"/>
    <mergeCell ref="AA311"/>
    <mergeCell ref="AA98"/>
    <mergeCell ref="AA310"/>
    <mergeCell ref="AB281"/>
    <mergeCell ref="AB362"/>
    <mergeCell ref="AB361"/>
    <mergeCell ref="AB360"/>
    <mergeCell ref="AB344"/>
    <mergeCell ref="AB343"/>
    <mergeCell ref="AB342"/>
    <mergeCell ref="AB347"/>
    <mergeCell ref="AB346"/>
    <mergeCell ref="AB345"/>
    <mergeCell ref="AB350"/>
    <mergeCell ref="AB349"/>
    <mergeCell ref="AB348"/>
    <mergeCell ref="AB353"/>
    <mergeCell ref="AB352"/>
    <mergeCell ref="AB351"/>
    <mergeCell ref="AB332"/>
    <mergeCell ref="AB331"/>
    <mergeCell ref="AB330"/>
    <mergeCell ref="AB335"/>
    <mergeCell ref="AB334"/>
    <mergeCell ref="AB73"/>
    <mergeCell ref="AB285"/>
    <mergeCell ref="AB72"/>
    <mergeCell ref="AB290"/>
    <mergeCell ref="AB77"/>
    <mergeCell ref="AB289"/>
    <mergeCell ref="AB76"/>
    <mergeCell ref="AB288"/>
    <mergeCell ref="AB75"/>
    <mergeCell ref="AB269"/>
    <mergeCell ref="AB56"/>
    <mergeCell ref="AB268"/>
    <mergeCell ref="AB55"/>
    <mergeCell ref="AB267"/>
    <mergeCell ref="AB54"/>
    <mergeCell ref="AB272"/>
    <mergeCell ref="AB59"/>
    <mergeCell ref="AB271"/>
    <mergeCell ref="AB58"/>
    <mergeCell ref="AB270"/>
    <mergeCell ref="AB57"/>
    <mergeCell ref="AB275"/>
    <mergeCell ref="AB62"/>
    <mergeCell ref="AB274"/>
    <mergeCell ref="AB61"/>
    <mergeCell ref="AB273"/>
    <mergeCell ref="AB60"/>
    <mergeCell ref="AB278"/>
    <mergeCell ref="AB65"/>
    <mergeCell ref="AB277"/>
    <mergeCell ref="AB64"/>
    <mergeCell ref="AB276"/>
    <mergeCell ref="AB63"/>
    <mergeCell ref="AB257"/>
    <mergeCell ref="AB119"/>
    <mergeCell ref="AB118"/>
    <mergeCell ref="AB117"/>
    <mergeCell ref="AB122"/>
    <mergeCell ref="AB121"/>
    <mergeCell ref="AB91"/>
    <mergeCell ref="AB90"/>
    <mergeCell ref="AB95"/>
    <mergeCell ref="AB94"/>
    <mergeCell ref="AB93"/>
    <mergeCell ref="AB98"/>
    <mergeCell ref="AB97"/>
    <mergeCell ref="AB96"/>
    <mergeCell ref="AB101"/>
    <mergeCell ref="AB100"/>
    <mergeCell ref="AB99"/>
    <mergeCell ref="AB161"/>
    <mergeCell ref="AB104"/>
    <mergeCell ref="AB120"/>
    <mergeCell ref="AB68"/>
    <mergeCell ref="AB67"/>
    <mergeCell ref="AB66"/>
    <mergeCell ref="AB284"/>
    <mergeCell ref="AB71"/>
    <mergeCell ref="AB283"/>
    <mergeCell ref="AB70"/>
    <mergeCell ref="AB282"/>
    <mergeCell ref="AB69"/>
    <mergeCell ref="AB287"/>
    <mergeCell ref="AB74"/>
    <mergeCell ref="AB44"/>
    <mergeCell ref="AB256"/>
    <mergeCell ref="AB43"/>
    <mergeCell ref="AB255"/>
    <mergeCell ref="AB42"/>
    <mergeCell ref="AB260"/>
    <mergeCell ref="AB47"/>
    <mergeCell ref="AB259"/>
    <mergeCell ref="AB46"/>
    <mergeCell ref="AB258"/>
    <mergeCell ref="AB45"/>
    <mergeCell ref="AB263"/>
    <mergeCell ref="AB50"/>
    <mergeCell ref="AB262"/>
    <mergeCell ref="AB49"/>
    <mergeCell ref="AB261"/>
    <mergeCell ref="AB48"/>
    <mergeCell ref="AB266"/>
    <mergeCell ref="AB53"/>
    <mergeCell ref="AB265"/>
    <mergeCell ref="AB52"/>
    <mergeCell ref="AB264"/>
    <mergeCell ref="AB51"/>
    <mergeCell ref="AB241"/>
    <mergeCell ref="AB28"/>
    <mergeCell ref="AB240"/>
    <mergeCell ref="AB27"/>
    <mergeCell ref="AB245"/>
    <mergeCell ref="AB32"/>
    <mergeCell ref="AB244"/>
    <mergeCell ref="AB31"/>
    <mergeCell ref="AB243"/>
    <mergeCell ref="AB30"/>
    <mergeCell ref="AB248"/>
    <mergeCell ref="AB35"/>
    <mergeCell ref="AB247"/>
    <mergeCell ref="AB34"/>
    <mergeCell ref="AB246"/>
    <mergeCell ref="AB33"/>
    <mergeCell ref="AB251"/>
    <mergeCell ref="AB38"/>
    <mergeCell ref="AB250"/>
    <mergeCell ref="AB37"/>
    <mergeCell ref="AB249"/>
    <mergeCell ref="AB36"/>
    <mergeCell ref="AB254"/>
    <mergeCell ref="AB41"/>
    <mergeCell ref="AB253"/>
    <mergeCell ref="AB40"/>
    <mergeCell ref="AB252"/>
    <mergeCell ref="AB39"/>
    <mergeCell ref="AB216"/>
    <mergeCell ref="AB131"/>
    <mergeCell ref="AB130"/>
    <mergeCell ref="AB129"/>
    <mergeCell ref="AB134"/>
    <mergeCell ref="AB133"/>
    <mergeCell ref="AB132"/>
    <mergeCell ref="AB137"/>
    <mergeCell ref="AB136"/>
    <mergeCell ref="AB135"/>
    <mergeCell ref="AB140"/>
    <mergeCell ref="AB139"/>
    <mergeCell ref="AB138"/>
    <mergeCell ref="AB3"/>
    <mergeCell ref="AB221"/>
    <mergeCell ref="AB8"/>
    <mergeCell ref="AB220"/>
    <mergeCell ref="AB7"/>
    <mergeCell ref="AB219"/>
    <mergeCell ref="AB6"/>
    <mergeCell ref="AB224"/>
    <mergeCell ref="AB11"/>
    <mergeCell ref="AB223"/>
    <mergeCell ref="AB10"/>
    <mergeCell ref="AB222"/>
    <mergeCell ref="AB9"/>
    <mergeCell ref="AB227"/>
    <mergeCell ref="AB14"/>
    <mergeCell ref="AB226"/>
    <mergeCell ref="AB13"/>
    <mergeCell ref="AB225"/>
    <mergeCell ref="AB12"/>
    <mergeCell ref="AB230"/>
    <mergeCell ref="AB17"/>
    <mergeCell ref="AB229"/>
    <mergeCell ref="AB16"/>
    <mergeCell ref="AB228"/>
    <mergeCell ref="AB15"/>
    <mergeCell ref="AB356"/>
    <mergeCell ref="AB143"/>
    <mergeCell ref="AB355"/>
    <mergeCell ref="AB142"/>
    <mergeCell ref="AB354"/>
    <mergeCell ref="AB141"/>
    <mergeCell ref="AB359"/>
    <mergeCell ref="AB146"/>
    <mergeCell ref="AB358"/>
    <mergeCell ref="AB145"/>
    <mergeCell ref="AB357"/>
    <mergeCell ref="AB144"/>
    <mergeCell ref="AB149"/>
    <mergeCell ref="AB148"/>
    <mergeCell ref="AB147"/>
    <mergeCell ref="AB218"/>
    <mergeCell ref="AB5"/>
    <mergeCell ref="AB217"/>
    <mergeCell ref="AB4"/>
    <mergeCell ref="AB233"/>
    <mergeCell ref="AB20"/>
    <mergeCell ref="AB232"/>
    <mergeCell ref="AB19"/>
    <mergeCell ref="AB231"/>
    <mergeCell ref="AB18"/>
    <mergeCell ref="AB236"/>
    <mergeCell ref="AB23"/>
    <mergeCell ref="AB235"/>
    <mergeCell ref="AB22"/>
    <mergeCell ref="AB234"/>
    <mergeCell ref="AB21"/>
    <mergeCell ref="AB239"/>
    <mergeCell ref="AB26"/>
    <mergeCell ref="AB238"/>
    <mergeCell ref="AB25"/>
    <mergeCell ref="AB237"/>
    <mergeCell ref="AB24"/>
    <mergeCell ref="AB242"/>
    <mergeCell ref="AB29"/>
    <mergeCell ref="AB338"/>
    <mergeCell ref="AB125"/>
    <mergeCell ref="AB337"/>
    <mergeCell ref="AB124"/>
    <mergeCell ref="AB336"/>
    <mergeCell ref="AB123"/>
    <mergeCell ref="AB341"/>
    <mergeCell ref="AB128"/>
    <mergeCell ref="AB340"/>
    <mergeCell ref="AB127"/>
    <mergeCell ref="AB339"/>
    <mergeCell ref="AB126"/>
    <mergeCell ref="AB320"/>
    <mergeCell ref="AB107"/>
    <mergeCell ref="AB319"/>
    <mergeCell ref="AB106"/>
    <mergeCell ref="AB318"/>
    <mergeCell ref="AB105"/>
    <mergeCell ref="AB323"/>
    <mergeCell ref="AB110"/>
    <mergeCell ref="AB322"/>
    <mergeCell ref="AB109"/>
    <mergeCell ref="AB321"/>
    <mergeCell ref="AB108"/>
    <mergeCell ref="AB326"/>
    <mergeCell ref="AB113"/>
    <mergeCell ref="AB325"/>
    <mergeCell ref="AB112"/>
    <mergeCell ref="AB324"/>
    <mergeCell ref="AB111"/>
    <mergeCell ref="AB329"/>
    <mergeCell ref="AB116"/>
    <mergeCell ref="AB328"/>
    <mergeCell ref="AB115"/>
    <mergeCell ref="AB327"/>
    <mergeCell ref="AB114"/>
    <mergeCell ref="AB304"/>
    <mergeCell ref="AB303"/>
    <mergeCell ref="AB308"/>
    <mergeCell ref="AB307"/>
    <mergeCell ref="AB306"/>
    <mergeCell ref="AB311"/>
    <mergeCell ref="AB310"/>
    <mergeCell ref="AB309"/>
    <mergeCell ref="AB314"/>
    <mergeCell ref="AB313"/>
    <mergeCell ref="AB312"/>
    <mergeCell ref="AB317"/>
    <mergeCell ref="AB194"/>
    <mergeCell ref="AB165"/>
    <mergeCell ref="AB164"/>
    <mergeCell ref="AB154"/>
    <mergeCell ref="AB153"/>
    <mergeCell ref="AB152"/>
    <mergeCell ref="AB157"/>
    <mergeCell ref="AB156"/>
    <mergeCell ref="AB155"/>
    <mergeCell ref="AB160"/>
    <mergeCell ref="AB159"/>
    <mergeCell ref="AB158"/>
    <mergeCell ref="AB163"/>
    <mergeCell ref="AB162"/>
    <mergeCell ref="AB280"/>
    <mergeCell ref="AB279"/>
    <mergeCell ref="AB316"/>
    <mergeCell ref="AB103"/>
    <mergeCell ref="AB315"/>
    <mergeCell ref="AB102"/>
    <mergeCell ref="AB415"/>
    <mergeCell ref="AB202"/>
    <mergeCell ref="AB414"/>
    <mergeCell ref="AB201"/>
    <mergeCell ref="AB413"/>
    <mergeCell ref="AB200"/>
    <mergeCell ref="AB418"/>
    <mergeCell ref="AB205"/>
    <mergeCell ref="AB417"/>
    <mergeCell ref="AB204"/>
    <mergeCell ref="AB416"/>
    <mergeCell ref="AB203"/>
    <mergeCell ref="AB296"/>
    <mergeCell ref="AB83"/>
    <mergeCell ref="AB425"/>
    <mergeCell ref="AB212"/>
    <mergeCell ref="AB424"/>
    <mergeCell ref="AB211"/>
    <mergeCell ref="AB423"/>
    <mergeCell ref="AB210"/>
    <mergeCell ref="AB422"/>
    <mergeCell ref="AB209"/>
    <mergeCell ref="AB421"/>
    <mergeCell ref="AB208"/>
    <mergeCell ref="AB420"/>
    <mergeCell ref="AB207"/>
    <mergeCell ref="AB419"/>
    <mergeCell ref="AB206"/>
    <mergeCell ref="AB299"/>
    <mergeCell ref="AB86"/>
    <mergeCell ref="AB298"/>
    <mergeCell ref="AB85"/>
    <mergeCell ref="AB297"/>
    <mergeCell ref="AB84"/>
    <mergeCell ref="AB302"/>
    <mergeCell ref="AB89"/>
    <mergeCell ref="AB301"/>
    <mergeCell ref="AB88"/>
    <mergeCell ref="AB300"/>
    <mergeCell ref="AB87"/>
    <mergeCell ref="AB305"/>
    <mergeCell ref="AB92"/>
    <mergeCell ref="AB403"/>
    <mergeCell ref="AB190"/>
    <mergeCell ref="AB402"/>
    <mergeCell ref="AB189"/>
    <mergeCell ref="AB401"/>
    <mergeCell ref="AB188"/>
    <mergeCell ref="AB406"/>
    <mergeCell ref="AB193"/>
    <mergeCell ref="AB405"/>
    <mergeCell ref="AB192"/>
    <mergeCell ref="AB404"/>
    <mergeCell ref="AB191"/>
    <mergeCell ref="AB409"/>
    <mergeCell ref="AB196"/>
    <mergeCell ref="AB408"/>
    <mergeCell ref="AB195"/>
    <mergeCell ref="AB407"/>
    <mergeCell ref="AB333"/>
    <mergeCell ref="AB412"/>
    <mergeCell ref="AB199"/>
    <mergeCell ref="AB411"/>
    <mergeCell ref="AB198"/>
    <mergeCell ref="AB410"/>
    <mergeCell ref="AB197"/>
    <mergeCell ref="AB391"/>
    <mergeCell ref="AB178"/>
    <mergeCell ref="AB390"/>
    <mergeCell ref="AB177"/>
    <mergeCell ref="AB389"/>
    <mergeCell ref="AB176"/>
    <mergeCell ref="AB394"/>
    <mergeCell ref="AB181"/>
    <mergeCell ref="AB393"/>
    <mergeCell ref="AB180"/>
    <mergeCell ref="AB392"/>
    <mergeCell ref="AB179"/>
    <mergeCell ref="AB397"/>
    <mergeCell ref="AB184"/>
    <mergeCell ref="AB396"/>
    <mergeCell ref="AB183"/>
    <mergeCell ref="AB395"/>
    <mergeCell ref="AB182"/>
    <mergeCell ref="AB400"/>
    <mergeCell ref="AB187"/>
    <mergeCell ref="AB399"/>
    <mergeCell ref="AB186"/>
    <mergeCell ref="AB398"/>
    <mergeCell ref="AB185"/>
    <mergeCell ref="AB379"/>
    <mergeCell ref="AB166"/>
    <mergeCell ref="AB378"/>
    <mergeCell ref="AB377"/>
    <mergeCell ref="AB382"/>
    <mergeCell ref="AB169"/>
    <mergeCell ref="AB381"/>
    <mergeCell ref="AB168"/>
    <mergeCell ref="AB380"/>
    <mergeCell ref="AB167"/>
    <mergeCell ref="AB385"/>
    <mergeCell ref="AB172"/>
    <mergeCell ref="AB384"/>
    <mergeCell ref="AB171"/>
    <mergeCell ref="AB383"/>
    <mergeCell ref="AB170"/>
    <mergeCell ref="AB388"/>
    <mergeCell ref="AB175"/>
    <mergeCell ref="AB387"/>
    <mergeCell ref="AB174"/>
    <mergeCell ref="AB386"/>
    <mergeCell ref="AB173"/>
    <mergeCell ref="AB367"/>
    <mergeCell ref="AB366"/>
    <mergeCell ref="AB365"/>
    <mergeCell ref="AB370"/>
    <mergeCell ref="AB369"/>
    <mergeCell ref="AB368"/>
    <mergeCell ref="AB373"/>
    <mergeCell ref="AB372"/>
    <mergeCell ref="AB371"/>
    <mergeCell ref="AB376"/>
    <mergeCell ref="AB375"/>
    <mergeCell ref="AB374"/>
    <mergeCell ref="AC77"/>
    <mergeCell ref="AC289"/>
    <mergeCell ref="AC76"/>
    <mergeCell ref="AC288"/>
    <mergeCell ref="AC75"/>
    <mergeCell ref="AC293"/>
    <mergeCell ref="AC80"/>
    <mergeCell ref="AC292"/>
    <mergeCell ref="AC79"/>
    <mergeCell ref="AC291"/>
    <mergeCell ref="AC78"/>
    <mergeCell ref="AC272"/>
    <mergeCell ref="AC59"/>
    <mergeCell ref="AC271"/>
    <mergeCell ref="AC58"/>
    <mergeCell ref="AC270"/>
    <mergeCell ref="AC57"/>
    <mergeCell ref="AC275"/>
    <mergeCell ref="AC62"/>
    <mergeCell ref="AC274"/>
    <mergeCell ref="AC61"/>
    <mergeCell ref="AC273"/>
    <mergeCell ref="AC60"/>
    <mergeCell ref="AC278"/>
    <mergeCell ref="AC65"/>
    <mergeCell ref="AC277"/>
    <mergeCell ref="AC64"/>
    <mergeCell ref="AC276"/>
    <mergeCell ref="AC63"/>
    <mergeCell ref="AC281"/>
    <mergeCell ref="AC68"/>
    <mergeCell ref="AC280"/>
    <mergeCell ref="AC67"/>
    <mergeCell ref="AC279"/>
    <mergeCell ref="AC66"/>
    <mergeCell ref="AC260"/>
    <mergeCell ref="AC4"/>
    <mergeCell ref="AC216"/>
    <mergeCell ref="AC353"/>
    <mergeCell ref="AC352"/>
    <mergeCell ref="AC351"/>
    <mergeCell ref="AC356"/>
    <mergeCell ref="AC355"/>
    <mergeCell ref="AC354"/>
    <mergeCell ref="AC359"/>
    <mergeCell ref="AC358"/>
    <mergeCell ref="AC357"/>
    <mergeCell ref="AC347"/>
    <mergeCell ref="AC134"/>
    <mergeCell ref="AC346"/>
    <mergeCell ref="AC133"/>
    <mergeCell ref="AC345"/>
    <mergeCell ref="AC132"/>
    <mergeCell ref="AC326"/>
    <mergeCell ref="AC113"/>
    <mergeCell ref="AC325"/>
    <mergeCell ref="AC112"/>
    <mergeCell ref="AC324"/>
    <mergeCell ref="AC111"/>
    <mergeCell ref="AC329"/>
    <mergeCell ref="AC116"/>
    <mergeCell ref="AC328"/>
    <mergeCell ref="AC115"/>
    <mergeCell ref="AC327"/>
    <mergeCell ref="AC114"/>
    <mergeCell ref="AC332"/>
    <mergeCell ref="AC119"/>
    <mergeCell ref="AC331"/>
    <mergeCell ref="AB286"/>
    <mergeCell ref="AC47"/>
    <mergeCell ref="AC259"/>
    <mergeCell ref="AC46"/>
    <mergeCell ref="AC258"/>
    <mergeCell ref="AC45"/>
    <mergeCell ref="AC263"/>
    <mergeCell ref="AC50"/>
    <mergeCell ref="AC262"/>
    <mergeCell ref="AC49"/>
    <mergeCell ref="AC261"/>
    <mergeCell ref="AC48"/>
    <mergeCell ref="AC266"/>
    <mergeCell ref="AC53"/>
    <mergeCell ref="AC265"/>
    <mergeCell ref="AC52"/>
    <mergeCell ref="AC264"/>
    <mergeCell ref="AC51"/>
    <mergeCell ref="AC269"/>
    <mergeCell ref="AC56"/>
    <mergeCell ref="AC268"/>
    <mergeCell ref="AC55"/>
    <mergeCell ref="AC267"/>
    <mergeCell ref="AC54"/>
    <mergeCell ref="AC248"/>
    <mergeCell ref="AC35"/>
    <mergeCell ref="AC247"/>
    <mergeCell ref="AC34"/>
    <mergeCell ref="AC246"/>
    <mergeCell ref="AC33"/>
    <mergeCell ref="AC251"/>
    <mergeCell ref="AC38"/>
    <mergeCell ref="AC129"/>
    <mergeCell ref="AC23"/>
    <mergeCell ref="AC235"/>
    <mergeCell ref="AC22"/>
    <mergeCell ref="AC234"/>
    <mergeCell ref="AC21"/>
    <mergeCell ref="AC239"/>
    <mergeCell ref="AC26"/>
    <mergeCell ref="AC238"/>
    <mergeCell ref="AC25"/>
    <mergeCell ref="AC237"/>
    <mergeCell ref="AC24"/>
    <mergeCell ref="AC242"/>
    <mergeCell ref="AC29"/>
    <mergeCell ref="AC241"/>
    <mergeCell ref="AC28"/>
    <mergeCell ref="AC240"/>
    <mergeCell ref="AC27"/>
    <mergeCell ref="AC245"/>
    <mergeCell ref="AC32"/>
    <mergeCell ref="AC244"/>
    <mergeCell ref="AC31"/>
    <mergeCell ref="AC243"/>
    <mergeCell ref="AC30"/>
    <mergeCell ref="AC362"/>
    <mergeCell ref="AC149"/>
    <mergeCell ref="AC361"/>
    <mergeCell ref="AC148"/>
    <mergeCell ref="AC360"/>
    <mergeCell ref="AC147"/>
    <mergeCell ref="AC218"/>
    <mergeCell ref="AC5"/>
    <mergeCell ref="AC217"/>
    <mergeCell ref="AC250"/>
    <mergeCell ref="AC37"/>
    <mergeCell ref="AC249"/>
    <mergeCell ref="AC36"/>
    <mergeCell ref="AC254"/>
    <mergeCell ref="AC41"/>
    <mergeCell ref="AC253"/>
    <mergeCell ref="AC40"/>
    <mergeCell ref="AC252"/>
    <mergeCell ref="AC39"/>
    <mergeCell ref="AC257"/>
    <mergeCell ref="AC44"/>
    <mergeCell ref="AC256"/>
    <mergeCell ref="AC43"/>
    <mergeCell ref="AC255"/>
    <mergeCell ref="AC42"/>
    <mergeCell ref="AC236"/>
    <mergeCell ref="AC118"/>
    <mergeCell ref="AC117"/>
    <mergeCell ref="AC284"/>
    <mergeCell ref="AC71"/>
    <mergeCell ref="AC283"/>
    <mergeCell ref="AC70"/>
    <mergeCell ref="AC282"/>
    <mergeCell ref="AC69"/>
    <mergeCell ref="AC287"/>
    <mergeCell ref="AC74"/>
    <mergeCell ref="AC286"/>
    <mergeCell ref="AC73"/>
    <mergeCell ref="AC285"/>
    <mergeCell ref="AC72"/>
    <mergeCell ref="AC102"/>
    <mergeCell ref="AC320"/>
    <mergeCell ref="AC107"/>
    <mergeCell ref="AC319"/>
    <mergeCell ref="AC106"/>
    <mergeCell ref="AC318"/>
    <mergeCell ref="AC105"/>
    <mergeCell ref="AC323"/>
    <mergeCell ref="AC110"/>
    <mergeCell ref="AC322"/>
    <mergeCell ref="AC109"/>
    <mergeCell ref="AC321"/>
    <mergeCell ref="AC108"/>
    <mergeCell ref="AC3"/>
    <mergeCell ref="AC221"/>
    <mergeCell ref="AC8"/>
    <mergeCell ref="AC220"/>
    <mergeCell ref="AC7"/>
    <mergeCell ref="AC219"/>
    <mergeCell ref="AC6"/>
    <mergeCell ref="AC224"/>
    <mergeCell ref="AC11"/>
    <mergeCell ref="AC223"/>
    <mergeCell ref="AC10"/>
    <mergeCell ref="AC222"/>
    <mergeCell ref="AC9"/>
    <mergeCell ref="AC227"/>
    <mergeCell ref="AC14"/>
    <mergeCell ref="AC226"/>
    <mergeCell ref="AC13"/>
    <mergeCell ref="AC225"/>
    <mergeCell ref="AC12"/>
    <mergeCell ref="AC230"/>
    <mergeCell ref="AC17"/>
    <mergeCell ref="AC229"/>
    <mergeCell ref="AC16"/>
    <mergeCell ref="AC228"/>
    <mergeCell ref="AC15"/>
    <mergeCell ref="AC233"/>
    <mergeCell ref="AC20"/>
    <mergeCell ref="AC232"/>
    <mergeCell ref="AC19"/>
    <mergeCell ref="AC231"/>
    <mergeCell ref="AC18"/>
    <mergeCell ref="AC137"/>
    <mergeCell ref="AC136"/>
    <mergeCell ref="AC135"/>
    <mergeCell ref="AC140"/>
    <mergeCell ref="AC139"/>
    <mergeCell ref="AC138"/>
    <mergeCell ref="AC143"/>
    <mergeCell ref="AC142"/>
    <mergeCell ref="AC141"/>
    <mergeCell ref="AC146"/>
    <mergeCell ref="AC145"/>
    <mergeCell ref="AC144"/>
    <mergeCell ref="AC125"/>
    <mergeCell ref="AC124"/>
    <mergeCell ref="AC123"/>
    <mergeCell ref="AC128"/>
    <mergeCell ref="AC127"/>
    <mergeCell ref="AC126"/>
    <mergeCell ref="AC131"/>
    <mergeCell ref="AC130"/>
    <mergeCell ref="AC83"/>
    <mergeCell ref="AC425"/>
    <mergeCell ref="AC212"/>
    <mergeCell ref="AC424"/>
    <mergeCell ref="AC211"/>
    <mergeCell ref="AC423"/>
    <mergeCell ref="AC210"/>
    <mergeCell ref="AC422"/>
    <mergeCell ref="AC209"/>
    <mergeCell ref="AC421"/>
    <mergeCell ref="AC208"/>
    <mergeCell ref="AC420"/>
    <mergeCell ref="AC207"/>
    <mergeCell ref="AC419"/>
    <mergeCell ref="AC206"/>
    <mergeCell ref="AC299"/>
    <mergeCell ref="AC86"/>
    <mergeCell ref="AC298"/>
    <mergeCell ref="AC85"/>
    <mergeCell ref="AC297"/>
    <mergeCell ref="AC84"/>
    <mergeCell ref="AC302"/>
    <mergeCell ref="AC89"/>
    <mergeCell ref="AC400"/>
    <mergeCell ref="AC187"/>
    <mergeCell ref="AC399"/>
    <mergeCell ref="AC186"/>
    <mergeCell ref="AC398"/>
    <mergeCell ref="AC185"/>
    <mergeCell ref="AC403"/>
    <mergeCell ref="AC190"/>
    <mergeCell ref="AC402"/>
    <mergeCell ref="AC189"/>
    <mergeCell ref="AC401"/>
    <mergeCell ref="AC188"/>
    <mergeCell ref="AC406"/>
    <mergeCell ref="AC193"/>
    <mergeCell ref="AC405"/>
    <mergeCell ref="AC192"/>
    <mergeCell ref="AC404"/>
    <mergeCell ref="AC191"/>
    <mergeCell ref="AC409"/>
    <mergeCell ref="AC196"/>
    <mergeCell ref="AC408"/>
    <mergeCell ref="AC195"/>
    <mergeCell ref="AC335"/>
    <mergeCell ref="AC122"/>
    <mergeCell ref="AC334"/>
    <mergeCell ref="AC121"/>
    <mergeCell ref="AC333"/>
    <mergeCell ref="AC120"/>
    <mergeCell ref="AC97"/>
    <mergeCell ref="AC309"/>
    <mergeCell ref="AC96"/>
    <mergeCell ref="AC314"/>
    <mergeCell ref="AC101"/>
    <mergeCell ref="AC313"/>
    <mergeCell ref="AC100"/>
    <mergeCell ref="AC312"/>
    <mergeCell ref="AC99"/>
    <mergeCell ref="AC317"/>
    <mergeCell ref="AC104"/>
    <mergeCell ref="AC316"/>
    <mergeCell ref="AC103"/>
    <mergeCell ref="AC161"/>
    <mergeCell ref="AC379"/>
    <mergeCell ref="AC166"/>
    <mergeCell ref="AC378"/>
    <mergeCell ref="AC165"/>
    <mergeCell ref="AC377"/>
    <mergeCell ref="AC164"/>
    <mergeCell ref="AC382"/>
    <mergeCell ref="AC169"/>
    <mergeCell ref="AC381"/>
    <mergeCell ref="AC168"/>
    <mergeCell ref="AC380"/>
    <mergeCell ref="AC167"/>
    <mergeCell ref="AC385"/>
    <mergeCell ref="AC172"/>
    <mergeCell ref="AC384"/>
    <mergeCell ref="AC171"/>
    <mergeCell ref="AC383"/>
    <mergeCell ref="AC170"/>
    <mergeCell ref="AC330"/>
    <mergeCell ref="AC412"/>
    <mergeCell ref="AC199"/>
    <mergeCell ref="AC411"/>
    <mergeCell ref="AC198"/>
    <mergeCell ref="AC410"/>
    <mergeCell ref="AC197"/>
    <mergeCell ref="AC415"/>
    <mergeCell ref="AC202"/>
    <mergeCell ref="AC414"/>
    <mergeCell ref="AC201"/>
    <mergeCell ref="AC413"/>
    <mergeCell ref="AC200"/>
    <mergeCell ref="AC418"/>
    <mergeCell ref="AC205"/>
    <mergeCell ref="AC417"/>
    <mergeCell ref="AC204"/>
    <mergeCell ref="AC416"/>
    <mergeCell ref="AC203"/>
    <mergeCell ref="AC296"/>
    <mergeCell ref="AC315"/>
    <mergeCell ref="AC350"/>
    <mergeCell ref="AC349"/>
    <mergeCell ref="AC348"/>
    <mergeCell ref="AC338"/>
    <mergeCell ref="AC337"/>
    <mergeCell ref="AC336"/>
    <mergeCell ref="AC341"/>
    <mergeCell ref="AC340"/>
    <mergeCell ref="AC339"/>
    <mergeCell ref="AC344"/>
    <mergeCell ref="AC343"/>
    <mergeCell ref="AC342"/>
    <mergeCell ref="AC290"/>
    <mergeCell ref="AD335"/>
    <mergeCell ref="AD334"/>
    <mergeCell ref="AC407"/>
    <mergeCell ref="AC194"/>
    <mergeCell ref="AC388"/>
    <mergeCell ref="AC175"/>
    <mergeCell ref="AC387"/>
    <mergeCell ref="AC174"/>
    <mergeCell ref="AC386"/>
    <mergeCell ref="AC173"/>
    <mergeCell ref="AC391"/>
    <mergeCell ref="AC178"/>
    <mergeCell ref="AC390"/>
    <mergeCell ref="AC177"/>
    <mergeCell ref="AC389"/>
    <mergeCell ref="AC176"/>
    <mergeCell ref="AC394"/>
    <mergeCell ref="AC181"/>
    <mergeCell ref="AC393"/>
    <mergeCell ref="AC180"/>
    <mergeCell ref="AC392"/>
    <mergeCell ref="AC179"/>
    <mergeCell ref="AC397"/>
    <mergeCell ref="AC184"/>
    <mergeCell ref="AC396"/>
    <mergeCell ref="AC183"/>
    <mergeCell ref="AC395"/>
    <mergeCell ref="AC182"/>
    <mergeCell ref="AC376"/>
    <mergeCell ref="AC163"/>
    <mergeCell ref="AC375"/>
    <mergeCell ref="AC162"/>
    <mergeCell ref="AC374"/>
    <mergeCell ref="AD287"/>
    <mergeCell ref="AD74"/>
    <mergeCell ref="AD293"/>
    <mergeCell ref="AD80"/>
    <mergeCell ref="AD292"/>
    <mergeCell ref="AD79"/>
    <mergeCell ref="AD291"/>
    <mergeCell ref="AD78"/>
    <mergeCell ref="AC367"/>
    <mergeCell ref="AC154"/>
    <mergeCell ref="AC366"/>
    <mergeCell ref="AC153"/>
    <mergeCell ref="AC365"/>
    <mergeCell ref="AC152"/>
    <mergeCell ref="AC370"/>
    <mergeCell ref="AC157"/>
    <mergeCell ref="AC369"/>
    <mergeCell ref="AC156"/>
    <mergeCell ref="AC368"/>
    <mergeCell ref="AC155"/>
    <mergeCell ref="AC373"/>
    <mergeCell ref="AC160"/>
    <mergeCell ref="AC372"/>
    <mergeCell ref="AC159"/>
    <mergeCell ref="AC371"/>
    <mergeCell ref="AC158"/>
    <mergeCell ref="AC301"/>
    <mergeCell ref="AC88"/>
    <mergeCell ref="AC300"/>
    <mergeCell ref="AC87"/>
    <mergeCell ref="AC305"/>
    <mergeCell ref="AC92"/>
    <mergeCell ref="AC304"/>
    <mergeCell ref="AC91"/>
    <mergeCell ref="AC303"/>
    <mergeCell ref="AC90"/>
    <mergeCell ref="AC308"/>
    <mergeCell ref="AC95"/>
    <mergeCell ref="AC307"/>
    <mergeCell ref="AC94"/>
    <mergeCell ref="AC306"/>
    <mergeCell ref="AC93"/>
    <mergeCell ref="AC311"/>
    <mergeCell ref="AC98"/>
    <mergeCell ref="AC310"/>
    <mergeCell ref="AD281"/>
    <mergeCell ref="AD362"/>
    <mergeCell ref="AD361"/>
    <mergeCell ref="AD360"/>
    <mergeCell ref="AD344"/>
    <mergeCell ref="AD343"/>
    <mergeCell ref="AD342"/>
    <mergeCell ref="AD347"/>
    <mergeCell ref="AD346"/>
    <mergeCell ref="AD345"/>
    <mergeCell ref="AD350"/>
    <mergeCell ref="AD349"/>
    <mergeCell ref="AD348"/>
    <mergeCell ref="AD353"/>
    <mergeCell ref="AD352"/>
    <mergeCell ref="AD351"/>
    <mergeCell ref="AD332"/>
    <mergeCell ref="AD331"/>
    <mergeCell ref="AD330"/>
    <mergeCell ref="AD139"/>
    <mergeCell ref="AD138"/>
    <mergeCell ref="AD73"/>
    <mergeCell ref="AD285"/>
    <mergeCell ref="AD72"/>
    <mergeCell ref="AD290"/>
    <mergeCell ref="AD77"/>
    <mergeCell ref="AD289"/>
    <mergeCell ref="AD76"/>
    <mergeCell ref="AD288"/>
    <mergeCell ref="AD75"/>
    <mergeCell ref="AD269"/>
    <mergeCell ref="AD56"/>
    <mergeCell ref="AD268"/>
    <mergeCell ref="AD55"/>
    <mergeCell ref="AD267"/>
    <mergeCell ref="AD54"/>
    <mergeCell ref="AD272"/>
    <mergeCell ref="AD59"/>
    <mergeCell ref="AD271"/>
    <mergeCell ref="AD58"/>
    <mergeCell ref="AD270"/>
    <mergeCell ref="AD57"/>
    <mergeCell ref="AD275"/>
    <mergeCell ref="AD62"/>
    <mergeCell ref="AD274"/>
    <mergeCell ref="AD61"/>
    <mergeCell ref="AD273"/>
    <mergeCell ref="AD60"/>
    <mergeCell ref="AD278"/>
    <mergeCell ref="AD65"/>
    <mergeCell ref="AD277"/>
    <mergeCell ref="AD64"/>
    <mergeCell ref="AD276"/>
    <mergeCell ref="AD63"/>
    <mergeCell ref="AD257"/>
    <mergeCell ref="AD119"/>
    <mergeCell ref="AD118"/>
    <mergeCell ref="AD117"/>
    <mergeCell ref="AD122"/>
    <mergeCell ref="AD121"/>
    <mergeCell ref="AD91"/>
    <mergeCell ref="AD90"/>
    <mergeCell ref="AD95"/>
    <mergeCell ref="AD94"/>
    <mergeCell ref="AD93"/>
    <mergeCell ref="AD98"/>
    <mergeCell ref="AD97"/>
    <mergeCell ref="AD96"/>
    <mergeCell ref="AD101"/>
    <mergeCell ref="AD100"/>
    <mergeCell ref="AD99"/>
    <mergeCell ref="AD161"/>
    <mergeCell ref="AD104"/>
    <mergeCell ref="AD120"/>
    <mergeCell ref="AD68"/>
    <mergeCell ref="AD67"/>
    <mergeCell ref="AD66"/>
    <mergeCell ref="AD284"/>
    <mergeCell ref="AD71"/>
    <mergeCell ref="AD283"/>
    <mergeCell ref="AD70"/>
    <mergeCell ref="AD282"/>
    <mergeCell ref="AD69"/>
    <mergeCell ref="AD359"/>
    <mergeCell ref="AD146"/>
    <mergeCell ref="AD358"/>
    <mergeCell ref="AD145"/>
    <mergeCell ref="AD357"/>
    <mergeCell ref="AD144"/>
    <mergeCell ref="AD149"/>
    <mergeCell ref="AD148"/>
    <mergeCell ref="AD147"/>
    <mergeCell ref="AD218"/>
    <mergeCell ref="AD5"/>
    <mergeCell ref="AD217"/>
    <mergeCell ref="AD4"/>
    <mergeCell ref="AD233"/>
    <mergeCell ref="AD20"/>
    <mergeCell ref="AD232"/>
    <mergeCell ref="AD19"/>
    <mergeCell ref="AD231"/>
    <mergeCell ref="AD18"/>
    <mergeCell ref="AD236"/>
    <mergeCell ref="AD23"/>
    <mergeCell ref="AD235"/>
    <mergeCell ref="AD22"/>
    <mergeCell ref="AD234"/>
    <mergeCell ref="AD21"/>
    <mergeCell ref="AD239"/>
    <mergeCell ref="AD26"/>
    <mergeCell ref="AD238"/>
    <mergeCell ref="AD25"/>
    <mergeCell ref="AD237"/>
    <mergeCell ref="AD24"/>
    <mergeCell ref="AD242"/>
    <mergeCell ref="AD29"/>
    <mergeCell ref="AD44"/>
    <mergeCell ref="AD256"/>
    <mergeCell ref="AD43"/>
    <mergeCell ref="AD255"/>
    <mergeCell ref="AD42"/>
    <mergeCell ref="AD260"/>
    <mergeCell ref="AD47"/>
    <mergeCell ref="AD259"/>
    <mergeCell ref="AD46"/>
    <mergeCell ref="AD258"/>
    <mergeCell ref="AD45"/>
    <mergeCell ref="AD263"/>
    <mergeCell ref="AD50"/>
    <mergeCell ref="AD262"/>
    <mergeCell ref="AD49"/>
    <mergeCell ref="AD261"/>
    <mergeCell ref="AD48"/>
    <mergeCell ref="AD266"/>
    <mergeCell ref="AD53"/>
    <mergeCell ref="AD265"/>
    <mergeCell ref="AD52"/>
    <mergeCell ref="AD264"/>
    <mergeCell ref="AD51"/>
    <mergeCell ref="AD241"/>
    <mergeCell ref="AD28"/>
    <mergeCell ref="AD240"/>
    <mergeCell ref="AD27"/>
    <mergeCell ref="AD245"/>
    <mergeCell ref="AD32"/>
    <mergeCell ref="AD244"/>
    <mergeCell ref="AD31"/>
    <mergeCell ref="AD280"/>
    <mergeCell ref="AD279"/>
    <mergeCell ref="AD3"/>
    <mergeCell ref="AD221"/>
    <mergeCell ref="AD8"/>
    <mergeCell ref="AD220"/>
    <mergeCell ref="AD7"/>
    <mergeCell ref="AD219"/>
    <mergeCell ref="AD6"/>
    <mergeCell ref="AD224"/>
    <mergeCell ref="AD11"/>
    <mergeCell ref="AD223"/>
    <mergeCell ref="AD10"/>
    <mergeCell ref="AD222"/>
    <mergeCell ref="AD9"/>
    <mergeCell ref="AD227"/>
    <mergeCell ref="AD14"/>
    <mergeCell ref="AD226"/>
    <mergeCell ref="AD13"/>
    <mergeCell ref="AD225"/>
    <mergeCell ref="AD12"/>
    <mergeCell ref="AD230"/>
    <mergeCell ref="AD17"/>
    <mergeCell ref="AD229"/>
    <mergeCell ref="AD16"/>
    <mergeCell ref="AD228"/>
    <mergeCell ref="AD15"/>
    <mergeCell ref="AD356"/>
    <mergeCell ref="AD143"/>
    <mergeCell ref="AD355"/>
    <mergeCell ref="AD142"/>
    <mergeCell ref="AD354"/>
    <mergeCell ref="AD141"/>
    <mergeCell ref="AD243"/>
    <mergeCell ref="AD30"/>
    <mergeCell ref="AD248"/>
    <mergeCell ref="AD35"/>
    <mergeCell ref="AD247"/>
    <mergeCell ref="AD34"/>
    <mergeCell ref="AD246"/>
    <mergeCell ref="AD33"/>
    <mergeCell ref="AD251"/>
    <mergeCell ref="AD38"/>
    <mergeCell ref="AD250"/>
    <mergeCell ref="AD37"/>
    <mergeCell ref="AD249"/>
    <mergeCell ref="AD36"/>
    <mergeCell ref="AD254"/>
    <mergeCell ref="AD41"/>
    <mergeCell ref="AD253"/>
    <mergeCell ref="AD40"/>
    <mergeCell ref="AD252"/>
    <mergeCell ref="AD39"/>
    <mergeCell ref="AD216"/>
    <mergeCell ref="AD131"/>
    <mergeCell ref="AD130"/>
    <mergeCell ref="AD129"/>
    <mergeCell ref="AD134"/>
    <mergeCell ref="AD133"/>
    <mergeCell ref="AD132"/>
    <mergeCell ref="AD137"/>
    <mergeCell ref="AD136"/>
    <mergeCell ref="AD135"/>
    <mergeCell ref="AD140"/>
    <mergeCell ref="AD407"/>
    <mergeCell ref="AD333"/>
    <mergeCell ref="AD338"/>
    <mergeCell ref="AD125"/>
    <mergeCell ref="AD337"/>
    <mergeCell ref="AD124"/>
    <mergeCell ref="AD336"/>
    <mergeCell ref="AD123"/>
    <mergeCell ref="AD341"/>
    <mergeCell ref="AD128"/>
    <mergeCell ref="AD340"/>
    <mergeCell ref="AD127"/>
    <mergeCell ref="AD339"/>
    <mergeCell ref="AD126"/>
    <mergeCell ref="AD320"/>
    <mergeCell ref="AD107"/>
    <mergeCell ref="AD319"/>
    <mergeCell ref="AD106"/>
    <mergeCell ref="AD318"/>
    <mergeCell ref="AD105"/>
    <mergeCell ref="AD323"/>
    <mergeCell ref="AD110"/>
    <mergeCell ref="AD322"/>
    <mergeCell ref="AD109"/>
    <mergeCell ref="AD321"/>
    <mergeCell ref="AD108"/>
    <mergeCell ref="AD326"/>
    <mergeCell ref="AD113"/>
    <mergeCell ref="AD325"/>
    <mergeCell ref="AD112"/>
    <mergeCell ref="AD324"/>
    <mergeCell ref="AD111"/>
    <mergeCell ref="AD329"/>
    <mergeCell ref="AD116"/>
    <mergeCell ref="AD328"/>
    <mergeCell ref="AD115"/>
    <mergeCell ref="AD327"/>
    <mergeCell ref="AD114"/>
    <mergeCell ref="AD304"/>
    <mergeCell ref="AD303"/>
    <mergeCell ref="AD308"/>
    <mergeCell ref="AD307"/>
    <mergeCell ref="AD306"/>
    <mergeCell ref="AD311"/>
    <mergeCell ref="AD310"/>
    <mergeCell ref="AD309"/>
    <mergeCell ref="AD314"/>
    <mergeCell ref="AD313"/>
    <mergeCell ref="AD312"/>
    <mergeCell ref="AD317"/>
    <mergeCell ref="AD194"/>
    <mergeCell ref="AD165"/>
    <mergeCell ref="AD164"/>
    <mergeCell ref="AD154"/>
    <mergeCell ref="AD153"/>
    <mergeCell ref="AD152"/>
    <mergeCell ref="AD157"/>
    <mergeCell ref="AD156"/>
    <mergeCell ref="AD155"/>
    <mergeCell ref="AD160"/>
    <mergeCell ref="AD159"/>
    <mergeCell ref="AD158"/>
    <mergeCell ref="AD163"/>
    <mergeCell ref="AD162"/>
    <mergeCell ref="AD375"/>
    <mergeCell ref="AD374"/>
    <mergeCell ref="AD316"/>
    <mergeCell ref="AD103"/>
    <mergeCell ref="AD315"/>
    <mergeCell ref="AD102"/>
    <mergeCell ref="AD415"/>
    <mergeCell ref="AD202"/>
    <mergeCell ref="AD414"/>
    <mergeCell ref="AD201"/>
    <mergeCell ref="AD413"/>
    <mergeCell ref="AD200"/>
    <mergeCell ref="AD418"/>
    <mergeCell ref="AD205"/>
    <mergeCell ref="AD417"/>
    <mergeCell ref="AD204"/>
    <mergeCell ref="AD416"/>
    <mergeCell ref="AD203"/>
    <mergeCell ref="AD296"/>
    <mergeCell ref="AD83"/>
    <mergeCell ref="AD425"/>
    <mergeCell ref="AD212"/>
    <mergeCell ref="AD424"/>
    <mergeCell ref="AD211"/>
    <mergeCell ref="AD423"/>
    <mergeCell ref="AD210"/>
    <mergeCell ref="AD422"/>
    <mergeCell ref="AD209"/>
    <mergeCell ref="AD421"/>
    <mergeCell ref="AD208"/>
    <mergeCell ref="AD420"/>
    <mergeCell ref="AD207"/>
    <mergeCell ref="AD419"/>
    <mergeCell ref="AD206"/>
    <mergeCell ref="AD299"/>
    <mergeCell ref="AD86"/>
    <mergeCell ref="AD298"/>
    <mergeCell ref="AD85"/>
    <mergeCell ref="AD297"/>
    <mergeCell ref="AD84"/>
    <mergeCell ref="AD302"/>
    <mergeCell ref="AD89"/>
    <mergeCell ref="AD301"/>
    <mergeCell ref="AD88"/>
    <mergeCell ref="AD300"/>
    <mergeCell ref="AD87"/>
    <mergeCell ref="AD305"/>
    <mergeCell ref="AD92"/>
    <mergeCell ref="AD403"/>
    <mergeCell ref="AD190"/>
    <mergeCell ref="AD402"/>
    <mergeCell ref="AD189"/>
    <mergeCell ref="AD401"/>
    <mergeCell ref="AD188"/>
    <mergeCell ref="AD406"/>
    <mergeCell ref="AD193"/>
    <mergeCell ref="AD405"/>
    <mergeCell ref="AD192"/>
    <mergeCell ref="AD404"/>
    <mergeCell ref="AD191"/>
    <mergeCell ref="AD409"/>
    <mergeCell ref="AD196"/>
    <mergeCell ref="AD408"/>
    <mergeCell ref="AD195"/>
    <mergeCell ref="AE66"/>
    <mergeCell ref="AE260"/>
    <mergeCell ref="AD412"/>
    <mergeCell ref="AD199"/>
    <mergeCell ref="AD411"/>
    <mergeCell ref="AD198"/>
    <mergeCell ref="AD410"/>
    <mergeCell ref="AD197"/>
    <mergeCell ref="AD391"/>
    <mergeCell ref="AD178"/>
    <mergeCell ref="AD390"/>
    <mergeCell ref="AD177"/>
    <mergeCell ref="AD389"/>
    <mergeCell ref="AD176"/>
    <mergeCell ref="AD394"/>
    <mergeCell ref="AD181"/>
    <mergeCell ref="AD393"/>
    <mergeCell ref="AD180"/>
    <mergeCell ref="AD392"/>
    <mergeCell ref="AD179"/>
    <mergeCell ref="AD397"/>
    <mergeCell ref="AD184"/>
    <mergeCell ref="AD396"/>
    <mergeCell ref="AD183"/>
    <mergeCell ref="AD395"/>
    <mergeCell ref="AD182"/>
    <mergeCell ref="AD400"/>
    <mergeCell ref="AD187"/>
    <mergeCell ref="AD399"/>
    <mergeCell ref="AD186"/>
    <mergeCell ref="AD398"/>
    <mergeCell ref="AD185"/>
    <mergeCell ref="AD379"/>
    <mergeCell ref="AD166"/>
    <mergeCell ref="AD378"/>
    <mergeCell ref="AD377"/>
    <mergeCell ref="AD382"/>
    <mergeCell ref="AD169"/>
    <mergeCell ref="AD381"/>
    <mergeCell ref="AD168"/>
    <mergeCell ref="AD380"/>
    <mergeCell ref="AD167"/>
    <mergeCell ref="AD385"/>
    <mergeCell ref="AD172"/>
    <mergeCell ref="AD384"/>
    <mergeCell ref="AD171"/>
    <mergeCell ref="AD383"/>
    <mergeCell ref="AD170"/>
    <mergeCell ref="AD388"/>
    <mergeCell ref="AD175"/>
    <mergeCell ref="AD387"/>
    <mergeCell ref="AD174"/>
    <mergeCell ref="AD386"/>
    <mergeCell ref="AD173"/>
    <mergeCell ref="AD367"/>
    <mergeCell ref="AD366"/>
    <mergeCell ref="AD365"/>
    <mergeCell ref="AD370"/>
    <mergeCell ref="AD369"/>
    <mergeCell ref="AD368"/>
    <mergeCell ref="AD373"/>
    <mergeCell ref="AD372"/>
    <mergeCell ref="AD371"/>
    <mergeCell ref="AD376"/>
    <mergeCell ref="AD286"/>
    <mergeCell ref="AE47"/>
    <mergeCell ref="AE259"/>
    <mergeCell ref="AE46"/>
    <mergeCell ref="AE258"/>
    <mergeCell ref="AE45"/>
    <mergeCell ref="AE263"/>
    <mergeCell ref="AE50"/>
    <mergeCell ref="AE262"/>
    <mergeCell ref="AE49"/>
    <mergeCell ref="AE261"/>
    <mergeCell ref="AE48"/>
    <mergeCell ref="AE266"/>
    <mergeCell ref="AE53"/>
    <mergeCell ref="AE265"/>
    <mergeCell ref="AE52"/>
    <mergeCell ref="AE264"/>
    <mergeCell ref="AE51"/>
    <mergeCell ref="AE269"/>
    <mergeCell ref="AE56"/>
    <mergeCell ref="AE268"/>
    <mergeCell ref="AE55"/>
    <mergeCell ref="AE267"/>
    <mergeCell ref="AE54"/>
    <mergeCell ref="AE248"/>
    <mergeCell ref="AE35"/>
    <mergeCell ref="AE247"/>
    <mergeCell ref="AE34"/>
    <mergeCell ref="AE246"/>
    <mergeCell ref="AE33"/>
    <mergeCell ref="AE251"/>
    <mergeCell ref="AE38"/>
    <mergeCell ref="AE250"/>
    <mergeCell ref="AE37"/>
    <mergeCell ref="AE249"/>
    <mergeCell ref="AE36"/>
    <mergeCell ref="AE254"/>
    <mergeCell ref="AE41"/>
    <mergeCell ref="AE253"/>
    <mergeCell ref="AE40"/>
    <mergeCell ref="AE252"/>
    <mergeCell ref="AE39"/>
    <mergeCell ref="AE257"/>
    <mergeCell ref="AE44"/>
    <mergeCell ref="AE256"/>
    <mergeCell ref="AE43"/>
    <mergeCell ref="AE255"/>
    <mergeCell ref="AE42"/>
    <mergeCell ref="AE236"/>
    <mergeCell ref="AE118"/>
    <mergeCell ref="AE117"/>
    <mergeCell ref="AE284"/>
    <mergeCell ref="AE71"/>
    <mergeCell ref="AE283"/>
    <mergeCell ref="AE70"/>
    <mergeCell ref="AE282"/>
    <mergeCell ref="AE69"/>
    <mergeCell ref="AE74"/>
    <mergeCell ref="AE286"/>
    <mergeCell ref="AE73"/>
    <mergeCell ref="AE285"/>
    <mergeCell ref="AE72"/>
    <mergeCell ref="AE77"/>
    <mergeCell ref="AE76"/>
    <mergeCell ref="AE21"/>
    <mergeCell ref="AE239"/>
    <mergeCell ref="AE26"/>
    <mergeCell ref="AE238"/>
    <mergeCell ref="AE25"/>
    <mergeCell ref="AE237"/>
    <mergeCell ref="AE24"/>
    <mergeCell ref="AE242"/>
    <mergeCell ref="AE29"/>
    <mergeCell ref="AE241"/>
    <mergeCell ref="AE28"/>
    <mergeCell ref="AE240"/>
    <mergeCell ref="AE27"/>
    <mergeCell ref="AE245"/>
    <mergeCell ref="AE32"/>
    <mergeCell ref="AE244"/>
    <mergeCell ref="AE31"/>
    <mergeCell ref="AE243"/>
    <mergeCell ref="AE30"/>
    <mergeCell ref="AE362"/>
    <mergeCell ref="AE149"/>
    <mergeCell ref="AE361"/>
    <mergeCell ref="AE148"/>
    <mergeCell ref="AE360"/>
    <mergeCell ref="AE147"/>
    <mergeCell ref="AE218"/>
    <mergeCell ref="AE5"/>
    <mergeCell ref="AE217"/>
    <mergeCell ref="AE4"/>
    <mergeCell ref="AE216"/>
    <mergeCell ref="AE353"/>
    <mergeCell ref="AE352"/>
    <mergeCell ref="AE351"/>
    <mergeCell ref="AE356"/>
    <mergeCell ref="AE355"/>
    <mergeCell ref="AE354"/>
    <mergeCell ref="AE359"/>
    <mergeCell ref="AE358"/>
    <mergeCell ref="AE357"/>
    <mergeCell ref="AE347"/>
    <mergeCell ref="AE134"/>
    <mergeCell ref="AE346"/>
    <mergeCell ref="AE133"/>
    <mergeCell ref="AE345"/>
    <mergeCell ref="AE132"/>
    <mergeCell ref="AE326"/>
    <mergeCell ref="AE113"/>
    <mergeCell ref="AE325"/>
    <mergeCell ref="AE112"/>
    <mergeCell ref="AE324"/>
    <mergeCell ref="AE111"/>
    <mergeCell ref="AE329"/>
    <mergeCell ref="AE116"/>
    <mergeCell ref="AE328"/>
    <mergeCell ref="AE115"/>
    <mergeCell ref="AE327"/>
    <mergeCell ref="AE114"/>
    <mergeCell ref="AE332"/>
    <mergeCell ref="AE119"/>
    <mergeCell ref="AE331"/>
    <mergeCell ref="AE287"/>
    <mergeCell ref="AE290"/>
    <mergeCell ref="AE289"/>
    <mergeCell ref="AE288"/>
    <mergeCell ref="AE136"/>
    <mergeCell ref="AE348"/>
    <mergeCell ref="AE135"/>
    <mergeCell ref="AE140"/>
    <mergeCell ref="AE139"/>
    <mergeCell ref="AE138"/>
    <mergeCell ref="AE143"/>
    <mergeCell ref="AE142"/>
    <mergeCell ref="AE141"/>
    <mergeCell ref="AE146"/>
    <mergeCell ref="AE145"/>
    <mergeCell ref="AE144"/>
    <mergeCell ref="AE338"/>
    <mergeCell ref="AE125"/>
    <mergeCell ref="AE337"/>
    <mergeCell ref="AE124"/>
    <mergeCell ref="AE336"/>
    <mergeCell ref="AE123"/>
    <mergeCell ref="AE341"/>
    <mergeCell ref="AE128"/>
    <mergeCell ref="AE340"/>
    <mergeCell ref="AE127"/>
    <mergeCell ref="AE339"/>
    <mergeCell ref="AE126"/>
    <mergeCell ref="AE344"/>
    <mergeCell ref="AE131"/>
    <mergeCell ref="AE343"/>
    <mergeCell ref="AE130"/>
    <mergeCell ref="AE342"/>
    <mergeCell ref="AE129"/>
    <mergeCell ref="AE23"/>
    <mergeCell ref="AE235"/>
    <mergeCell ref="AE22"/>
    <mergeCell ref="AE234"/>
    <mergeCell ref="AE75"/>
    <mergeCell ref="AE293"/>
    <mergeCell ref="AE80"/>
    <mergeCell ref="AE292"/>
    <mergeCell ref="AE79"/>
    <mergeCell ref="AE291"/>
    <mergeCell ref="AE78"/>
    <mergeCell ref="AE272"/>
    <mergeCell ref="AE59"/>
    <mergeCell ref="AE271"/>
    <mergeCell ref="AE58"/>
    <mergeCell ref="AE270"/>
    <mergeCell ref="AE57"/>
    <mergeCell ref="AE275"/>
    <mergeCell ref="AE62"/>
    <mergeCell ref="AE274"/>
    <mergeCell ref="AE61"/>
    <mergeCell ref="AE273"/>
    <mergeCell ref="AE60"/>
    <mergeCell ref="AE278"/>
    <mergeCell ref="AE65"/>
    <mergeCell ref="AE277"/>
    <mergeCell ref="AE64"/>
    <mergeCell ref="AE276"/>
    <mergeCell ref="AE63"/>
    <mergeCell ref="AE281"/>
    <mergeCell ref="AE68"/>
    <mergeCell ref="AE280"/>
    <mergeCell ref="AE67"/>
    <mergeCell ref="AE279"/>
    <mergeCell ref="AE122"/>
    <mergeCell ref="AE334"/>
    <mergeCell ref="AE121"/>
    <mergeCell ref="AE333"/>
    <mergeCell ref="AE120"/>
    <mergeCell ref="AE97"/>
    <mergeCell ref="AE309"/>
    <mergeCell ref="AE96"/>
    <mergeCell ref="AE314"/>
    <mergeCell ref="AE101"/>
    <mergeCell ref="AE313"/>
    <mergeCell ref="AE100"/>
    <mergeCell ref="AE312"/>
    <mergeCell ref="AE99"/>
    <mergeCell ref="AE317"/>
    <mergeCell ref="AE104"/>
    <mergeCell ref="AE316"/>
    <mergeCell ref="AE103"/>
    <mergeCell ref="AE315"/>
    <mergeCell ref="AE102"/>
    <mergeCell ref="AE320"/>
    <mergeCell ref="AE107"/>
    <mergeCell ref="AE319"/>
    <mergeCell ref="AE106"/>
    <mergeCell ref="AE318"/>
    <mergeCell ref="AE105"/>
    <mergeCell ref="AE323"/>
    <mergeCell ref="AE110"/>
    <mergeCell ref="AE322"/>
    <mergeCell ref="AE109"/>
    <mergeCell ref="AE321"/>
    <mergeCell ref="AE108"/>
    <mergeCell ref="AE3"/>
    <mergeCell ref="AE221"/>
    <mergeCell ref="AE8"/>
    <mergeCell ref="AE220"/>
    <mergeCell ref="AE7"/>
    <mergeCell ref="AE219"/>
    <mergeCell ref="AE6"/>
    <mergeCell ref="AE224"/>
    <mergeCell ref="AE11"/>
    <mergeCell ref="AE223"/>
    <mergeCell ref="AE10"/>
    <mergeCell ref="AE222"/>
    <mergeCell ref="AE9"/>
    <mergeCell ref="AE227"/>
    <mergeCell ref="AE14"/>
    <mergeCell ref="AE226"/>
    <mergeCell ref="AE13"/>
    <mergeCell ref="AE225"/>
    <mergeCell ref="AE12"/>
    <mergeCell ref="AE230"/>
    <mergeCell ref="AE17"/>
    <mergeCell ref="AE229"/>
    <mergeCell ref="AE16"/>
    <mergeCell ref="AE228"/>
    <mergeCell ref="AE15"/>
    <mergeCell ref="AE233"/>
    <mergeCell ref="AE20"/>
    <mergeCell ref="AE232"/>
    <mergeCell ref="AE19"/>
    <mergeCell ref="AE231"/>
    <mergeCell ref="AE18"/>
    <mergeCell ref="AE137"/>
    <mergeCell ref="AE412"/>
    <mergeCell ref="AE199"/>
    <mergeCell ref="AE411"/>
    <mergeCell ref="AE198"/>
    <mergeCell ref="AE410"/>
    <mergeCell ref="AE197"/>
    <mergeCell ref="AE415"/>
    <mergeCell ref="AE202"/>
    <mergeCell ref="AE414"/>
    <mergeCell ref="AE201"/>
    <mergeCell ref="AE413"/>
    <mergeCell ref="AE200"/>
    <mergeCell ref="AE418"/>
    <mergeCell ref="AE205"/>
    <mergeCell ref="AE417"/>
    <mergeCell ref="AE204"/>
    <mergeCell ref="AE416"/>
    <mergeCell ref="AE203"/>
    <mergeCell ref="AE296"/>
    <mergeCell ref="AE83"/>
    <mergeCell ref="AE425"/>
    <mergeCell ref="AE212"/>
    <mergeCell ref="AE424"/>
    <mergeCell ref="AE211"/>
    <mergeCell ref="AE423"/>
    <mergeCell ref="AE210"/>
    <mergeCell ref="AE422"/>
    <mergeCell ref="AE209"/>
    <mergeCell ref="AE421"/>
    <mergeCell ref="AE208"/>
    <mergeCell ref="AE420"/>
    <mergeCell ref="AE207"/>
    <mergeCell ref="AE419"/>
    <mergeCell ref="AE206"/>
    <mergeCell ref="AE299"/>
    <mergeCell ref="AE86"/>
    <mergeCell ref="AE298"/>
    <mergeCell ref="AE85"/>
    <mergeCell ref="AE297"/>
    <mergeCell ref="AE84"/>
    <mergeCell ref="AE302"/>
    <mergeCell ref="AE89"/>
    <mergeCell ref="AE400"/>
    <mergeCell ref="AE187"/>
    <mergeCell ref="AE399"/>
    <mergeCell ref="AE186"/>
    <mergeCell ref="AE398"/>
    <mergeCell ref="AE185"/>
    <mergeCell ref="AE403"/>
    <mergeCell ref="AE190"/>
    <mergeCell ref="AE402"/>
    <mergeCell ref="AE189"/>
    <mergeCell ref="AE401"/>
    <mergeCell ref="AE188"/>
    <mergeCell ref="AE406"/>
    <mergeCell ref="AE193"/>
    <mergeCell ref="AE405"/>
    <mergeCell ref="AE192"/>
    <mergeCell ref="AE404"/>
    <mergeCell ref="AE191"/>
    <mergeCell ref="AE409"/>
    <mergeCell ref="AE196"/>
    <mergeCell ref="AE408"/>
    <mergeCell ref="AE195"/>
    <mergeCell ref="AE407"/>
    <mergeCell ref="AE194"/>
    <mergeCell ref="AE388"/>
    <mergeCell ref="AE175"/>
    <mergeCell ref="AE387"/>
    <mergeCell ref="AE174"/>
    <mergeCell ref="AE386"/>
    <mergeCell ref="AE173"/>
    <mergeCell ref="AE391"/>
    <mergeCell ref="AE178"/>
    <mergeCell ref="AE390"/>
    <mergeCell ref="AE177"/>
    <mergeCell ref="AE389"/>
    <mergeCell ref="AE176"/>
    <mergeCell ref="AE394"/>
    <mergeCell ref="AE181"/>
    <mergeCell ref="AE393"/>
    <mergeCell ref="AE180"/>
    <mergeCell ref="AE392"/>
    <mergeCell ref="AE179"/>
    <mergeCell ref="AE397"/>
    <mergeCell ref="AE184"/>
    <mergeCell ref="AE396"/>
    <mergeCell ref="AE183"/>
    <mergeCell ref="AE395"/>
    <mergeCell ref="AE182"/>
    <mergeCell ref="AE376"/>
    <mergeCell ref="AE163"/>
    <mergeCell ref="AE375"/>
    <mergeCell ref="AE162"/>
    <mergeCell ref="AE374"/>
    <mergeCell ref="AE161"/>
    <mergeCell ref="AE379"/>
    <mergeCell ref="AE166"/>
    <mergeCell ref="AE378"/>
    <mergeCell ref="AE165"/>
    <mergeCell ref="AE377"/>
    <mergeCell ref="AE164"/>
    <mergeCell ref="AE382"/>
    <mergeCell ref="AE169"/>
    <mergeCell ref="AE381"/>
    <mergeCell ref="AE168"/>
    <mergeCell ref="AE380"/>
    <mergeCell ref="AE167"/>
    <mergeCell ref="AE385"/>
    <mergeCell ref="AE172"/>
    <mergeCell ref="AE384"/>
    <mergeCell ref="AE171"/>
    <mergeCell ref="AE383"/>
    <mergeCell ref="AE170"/>
    <mergeCell ref="AE330"/>
    <mergeCell ref="AE335"/>
    <mergeCell ref="AE350"/>
    <mergeCell ref="AE349"/>
    <mergeCell ref="AF293"/>
    <mergeCell ref="AF80"/>
    <mergeCell ref="AF292"/>
    <mergeCell ref="AF79"/>
    <mergeCell ref="AF291"/>
    <mergeCell ref="AF78"/>
    <mergeCell ref="AE367"/>
    <mergeCell ref="AE154"/>
    <mergeCell ref="AE366"/>
    <mergeCell ref="AE153"/>
    <mergeCell ref="AE365"/>
    <mergeCell ref="AE152"/>
    <mergeCell ref="AE370"/>
    <mergeCell ref="AE157"/>
    <mergeCell ref="AE369"/>
    <mergeCell ref="AE156"/>
    <mergeCell ref="AE368"/>
    <mergeCell ref="AE155"/>
    <mergeCell ref="AE373"/>
    <mergeCell ref="AE160"/>
    <mergeCell ref="AE372"/>
    <mergeCell ref="AE159"/>
    <mergeCell ref="AE371"/>
    <mergeCell ref="AE158"/>
    <mergeCell ref="AE301"/>
    <mergeCell ref="AE88"/>
    <mergeCell ref="AE300"/>
    <mergeCell ref="AE87"/>
    <mergeCell ref="AE305"/>
    <mergeCell ref="AE92"/>
    <mergeCell ref="AE304"/>
    <mergeCell ref="AE91"/>
    <mergeCell ref="AE303"/>
    <mergeCell ref="AE90"/>
    <mergeCell ref="AE308"/>
    <mergeCell ref="AE95"/>
    <mergeCell ref="AE307"/>
    <mergeCell ref="AE94"/>
    <mergeCell ref="AE306"/>
    <mergeCell ref="AE93"/>
    <mergeCell ref="AE311"/>
    <mergeCell ref="AE98"/>
    <mergeCell ref="AE310"/>
    <mergeCell ref="AF281"/>
    <mergeCell ref="AF362"/>
    <mergeCell ref="AF361"/>
    <mergeCell ref="AF360"/>
    <mergeCell ref="AF344"/>
    <mergeCell ref="AF343"/>
    <mergeCell ref="AF342"/>
    <mergeCell ref="AF347"/>
    <mergeCell ref="AF346"/>
    <mergeCell ref="AF345"/>
    <mergeCell ref="AF350"/>
    <mergeCell ref="AF349"/>
    <mergeCell ref="AF348"/>
    <mergeCell ref="AF353"/>
    <mergeCell ref="AF352"/>
    <mergeCell ref="AF351"/>
    <mergeCell ref="AF332"/>
    <mergeCell ref="AF331"/>
    <mergeCell ref="AF330"/>
    <mergeCell ref="AF335"/>
    <mergeCell ref="AF334"/>
    <mergeCell ref="AF73"/>
    <mergeCell ref="AF285"/>
    <mergeCell ref="AF72"/>
    <mergeCell ref="AF290"/>
    <mergeCell ref="AF77"/>
    <mergeCell ref="AF289"/>
    <mergeCell ref="AF76"/>
    <mergeCell ref="AF288"/>
    <mergeCell ref="AF75"/>
    <mergeCell ref="AF269"/>
    <mergeCell ref="AF56"/>
    <mergeCell ref="AF268"/>
    <mergeCell ref="AF55"/>
    <mergeCell ref="AF267"/>
    <mergeCell ref="AF54"/>
    <mergeCell ref="AF272"/>
    <mergeCell ref="AF59"/>
    <mergeCell ref="AF271"/>
    <mergeCell ref="AF58"/>
    <mergeCell ref="AF270"/>
    <mergeCell ref="AF57"/>
    <mergeCell ref="AF275"/>
    <mergeCell ref="AF62"/>
    <mergeCell ref="AF274"/>
    <mergeCell ref="AF61"/>
    <mergeCell ref="AF273"/>
    <mergeCell ref="AF60"/>
    <mergeCell ref="AF278"/>
    <mergeCell ref="AF65"/>
    <mergeCell ref="AF277"/>
    <mergeCell ref="AF64"/>
    <mergeCell ref="AF276"/>
    <mergeCell ref="AF63"/>
    <mergeCell ref="AF257"/>
    <mergeCell ref="AF119"/>
    <mergeCell ref="AF118"/>
    <mergeCell ref="AF117"/>
    <mergeCell ref="AF122"/>
    <mergeCell ref="AF121"/>
    <mergeCell ref="AF91"/>
    <mergeCell ref="AF90"/>
    <mergeCell ref="AF95"/>
    <mergeCell ref="AF94"/>
    <mergeCell ref="AF93"/>
    <mergeCell ref="AF98"/>
    <mergeCell ref="AF97"/>
    <mergeCell ref="AF96"/>
    <mergeCell ref="AF101"/>
    <mergeCell ref="AF100"/>
    <mergeCell ref="AF99"/>
    <mergeCell ref="AF161"/>
    <mergeCell ref="AF104"/>
    <mergeCell ref="AF120"/>
    <mergeCell ref="AF68"/>
    <mergeCell ref="AF67"/>
    <mergeCell ref="AF66"/>
    <mergeCell ref="AF284"/>
    <mergeCell ref="AF71"/>
    <mergeCell ref="AF283"/>
    <mergeCell ref="AF70"/>
    <mergeCell ref="AF282"/>
    <mergeCell ref="AF69"/>
    <mergeCell ref="AF287"/>
    <mergeCell ref="AF74"/>
    <mergeCell ref="AF44"/>
    <mergeCell ref="AF256"/>
    <mergeCell ref="AF43"/>
    <mergeCell ref="AF255"/>
    <mergeCell ref="AF42"/>
    <mergeCell ref="AF260"/>
    <mergeCell ref="AF47"/>
    <mergeCell ref="AF259"/>
    <mergeCell ref="AF46"/>
    <mergeCell ref="AF258"/>
    <mergeCell ref="AF45"/>
    <mergeCell ref="AF263"/>
    <mergeCell ref="AF50"/>
    <mergeCell ref="AF262"/>
    <mergeCell ref="AF49"/>
    <mergeCell ref="AF261"/>
    <mergeCell ref="AF48"/>
    <mergeCell ref="AF266"/>
    <mergeCell ref="AF53"/>
    <mergeCell ref="AF265"/>
    <mergeCell ref="AF52"/>
    <mergeCell ref="AF264"/>
    <mergeCell ref="AF51"/>
    <mergeCell ref="AF241"/>
    <mergeCell ref="AF28"/>
    <mergeCell ref="AF240"/>
    <mergeCell ref="AF27"/>
    <mergeCell ref="AF245"/>
    <mergeCell ref="AF32"/>
    <mergeCell ref="AF244"/>
    <mergeCell ref="AF31"/>
    <mergeCell ref="AF243"/>
    <mergeCell ref="AF30"/>
    <mergeCell ref="AF248"/>
    <mergeCell ref="AF35"/>
    <mergeCell ref="AF247"/>
    <mergeCell ref="AF34"/>
    <mergeCell ref="AF246"/>
    <mergeCell ref="AF33"/>
    <mergeCell ref="AF251"/>
    <mergeCell ref="AF38"/>
    <mergeCell ref="AF250"/>
    <mergeCell ref="AF37"/>
    <mergeCell ref="AF249"/>
    <mergeCell ref="AF36"/>
    <mergeCell ref="AF254"/>
    <mergeCell ref="AF41"/>
    <mergeCell ref="AF253"/>
    <mergeCell ref="AF40"/>
    <mergeCell ref="AF252"/>
    <mergeCell ref="AF39"/>
    <mergeCell ref="AF216"/>
    <mergeCell ref="AF131"/>
    <mergeCell ref="AF130"/>
    <mergeCell ref="AF129"/>
    <mergeCell ref="AF134"/>
    <mergeCell ref="AF133"/>
    <mergeCell ref="AF132"/>
    <mergeCell ref="AF137"/>
    <mergeCell ref="AF136"/>
    <mergeCell ref="AF135"/>
    <mergeCell ref="AF140"/>
    <mergeCell ref="AF139"/>
    <mergeCell ref="AF138"/>
    <mergeCell ref="AF3"/>
    <mergeCell ref="AF221"/>
    <mergeCell ref="AF8"/>
    <mergeCell ref="AF220"/>
    <mergeCell ref="AF7"/>
    <mergeCell ref="AF219"/>
    <mergeCell ref="AF6"/>
    <mergeCell ref="AF224"/>
    <mergeCell ref="AF11"/>
    <mergeCell ref="AF223"/>
    <mergeCell ref="AF10"/>
    <mergeCell ref="AF222"/>
    <mergeCell ref="AF9"/>
    <mergeCell ref="AF227"/>
    <mergeCell ref="AF14"/>
    <mergeCell ref="AF226"/>
    <mergeCell ref="AF13"/>
    <mergeCell ref="AF225"/>
    <mergeCell ref="AF12"/>
    <mergeCell ref="AF230"/>
    <mergeCell ref="AF17"/>
    <mergeCell ref="AF229"/>
    <mergeCell ref="AF16"/>
    <mergeCell ref="AF228"/>
    <mergeCell ref="AF15"/>
    <mergeCell ref="AF356"/>
    <mergeCell ref="AF143"/>
    <mergeCell ref="AF355"/>
    <mergeCell ref="AF142"/>
    <mergeCell ref="AF354"/>
    <mergeCell ref="AF141"/>
    <mergeCell ref="AF359"/>
    <mergeCell ref="AF146"/>
    <mergeCell ref="AF358"/>
    <mergeCell ref="AF145"/>
    <mergeCell ref="AF357"/>
    <mergeCell ref="AF144"/>
    <mergeCell ref="AF149"/>
    <mergeCell ref="AF148"/>
    <mergeCell ref="AF147"/>
    <mergeCell ref="AF218"/>
    <mergeCell ref="AF5"/>
    <mergeCell ref="AF217"/>
    <mergeCell ref="AF4"/>
    <mergeCell ref="AF233"/>
    <mergeCell ref="AF20"/>
    <mergeCell ref="AF232"/>
    <mergeCell ref="AF19"/>
    <mergeCell ref="AF231"/>
    <mergeCell ref="AF18"/>
    <mergeCell ref="AF236"/>
    <mergeCell ref="AF23"/>
    <mergeCell ref="AF235"/>
    <mergeCell ref="AF22"/>
    <mergeCell ref="AF234"/>
    <mergeCell ref="AF21"/>
    <mergeCell ref="AF239"/>
    <mergeCell ref="AF26"/>
    <mergeCell ref="AF238"/>
    <mergeCell ref="AF25"/>
    <mergeCell ref="AF237"/>
    <mergeCell ref="AF24"/>
    <mergeCell ref="AF242"/>
    <mergeCell ref="AF29"/>
    <mergeCell ref="AF338"/>
    <mergeCell ref="AF125"/>
    <mergeCell ref="AF337"/>
    <mergeCell ref="AF124"/>
    <mergeCell ref="AF336"/>
    <mergeCell ref="AF123"/>
    <mergeCell ref="AF341"/>
    <mergeCell ref="AF128"/>
    <mergeCell ref="AF340"/>
    <mergeCell ref="AF127"/>
    <mergeCell ref="AF339"/>
    <mergeCell ref="AF126"/>
    <mergeCell ref="AF320"/>
    <mergeCell ref="AF107"/>
    <mergeCell ref="AF319"/>
    <mergeCell ref="AF106"/>
    <mergeCell ref="AF318"/>
    <mergeCell ref="AF105"/>
    <mergeCell ref="AF323"/>
    <mergeCell ref="AF110"/>
    <mergeCell ref="AF322"/>
    <mergeCell ref="AF109"/>
    <mergeCell ref="AF321"/>
    <mergeCell ref="AF108"/>
    <mergeCell ref="AF326"/>
    <mergeCell ref="AF113"/>
    <mergeCell ref="AF325"/>
    <mergeCell ref="AF112"/>
    <mergeCell ref="AF324"/>
    <mergeCell ref="AF111"/>
    <mergeCell ref="AF329"/>
    <mergeCell ref="AF116"/>
    <mergeCell ref="AF328"/>
    <mergeCell ref="AF115"/>
    <mergeCell ref="AF327"/>
    <mergeCell ref="AF114"/>
    <mergeCell ref="AF304"/>
    <mergeCell ref="AF303"/>
    <mergeCell ref="AF308"/>
    <mergeCell ref="AF307"/>
    <mergeCell ref="AF306"/>
    <mergeCell ref="AF311"/>
    <mergeCell ref="AF310"/>
    <mergeCell ref="AF309"/>
    <mergeCell ref="AF314"/>
    <mergeCell ref="AF313"/>
    <mergeCell ref="AF312"/>
    <mergeCell ref="AF317"/>
    <mergeCell ref="AF194"/>
    <mergeCell ref="AF165"/>
    <mergeCell ref="AF164"/>
    <mergeCell ref="AF154"/>
    <mergeCell ref="AF153"/>
    <mergeCell ref="AF152"/>
    <mergeCell ref="AF157"/>
    <mergeCell ref="AF156"/>
    <mergeCell ref="AF155"/>
    <mergeCell ref="AF160"/>
    <mergeCell ref="AF159"/>
    <mergeCell ref="AF158"/>
    <mergeCell ref="AF163"/>
    <mergeCell ref="AF162"/>
    <mergeCell ref="AF280"/>
    <mergeCell ref="AF279"/>
    <mergeCell ref="AF316"/>
    <mergeCell ref="AF103"/>
    <mergeCell ref="AF315"/>
    <mergeCell ref="AF102"/>
    <mergeCell ref="AF415"/>
    <mergeCell ref="AF202"/>
    <mergeCell ref="AF414"/>
    <mergeCell ref="AF201"/>
    <mergeCell ref="AF413"/>
    <mergeCell ref="AF200"/>
    <mergeCell ref="AF418"/>
    <mergeCell ref="AF205"/>
    <mergeCell ref="AF417"/>
    <mergeCell ref="AF204"/>
    <mergeCell ref="AF416"/>
    <mergeCell ref="AF203"/>
    <mergeCell ref="AF296"/>
    <mergeCell ref="AF83"/>
    <mergeCell ref="AF425"/>
    <mergeCell ref="AF212"/>
    <mergeCell ref="AF424"/>
    <mergeCell ref="AF211"/>
    <mergeCell ref="AF423"/>
    <mergeCell ref="AF210"/>
    <mergeCell ref="AF422"/>
    <mergeCell ref="AF209"/>
    <mergeCell ref="AF421"/>
    <mergeCell ref="AF208"/>
    <mergeCell ref="AF420"/>
    <mergeCell ref="AF207"/>
    <mergeCell ref="AF419"/>
    <mergeCell ref="AF206"/>
    <mergeCell ref="AF299"/>
    <mergeCell ref="AF86"/>
    <mergeCell ref="AF298"/>
    <mergeCell ref="AF85"/>
    <mergeCell ref="AF297"/>
    <mergeCell ref="AF84"/>
    <mergeCell ref="AF302"/>
    <mergeCell ref="AF89"/>
    <mergeCell ref="AF301"/>
    <mergeCell ref="AF88"/>
    <mergeCell ref="AF300"/>
    <mergeCell ref="AF87"/>
    <mergeCell ref="AF305"/>
    <mergeCell ref="AF92"/>
    <mergeCell ref="AF403"/>
    <mergeCell ref="AF190"/>
    <mergeCell ref="AF402"/>
    <mergeCell ref="AF189"/>
    <mergeCell ref="AF401"/>
    <mergeCell ref="AF188"/>
    <mergeCell ref="AF406"/>
    <mergeCell ref="AF193"/>
    <mergeCell ref="AF405"/>
    <mergeCell ref="AF192"/>
    <mergeCell ref="AF404"/>
    <mergeCell ref="AF191"/>
    <mergeCell ref="AF409"/>
    <mergeCell ref="AF196"/>
    <mergeCell ref="AF408"/>
    <mergeCell ref="AF195"/>
    <mergeCell ref="AF407"/>
    <mergeCell ref="AF333"/>
    <mergeCell ref="AF412"/>
    <mergeCell ref="AF199"/>
    <mergeCell ref="AF411"/>
    <mergeCell ref="AF198"/>
    <mergeCell ref="AF410"/>
    <mergeCell ref="AF197"/>
    <mergeCell ref="AF391"/>
    <mergeCell ref="AF178"/>
    <mergeCell ref="AF390"/>
    <mergeCell ref="AF177"/>
    <mergeCell ref="AF389"/>
    <mergeCell ref="AF176"/>
    <mergeCell ref="AF394"/>
    <mergeCell ref="AF181"/>
    <mergeCell ref="AF393"/>
    <mergeCell ref="AF180"/>
    <mergeCell ref="AF392"/>
    <mergeCell ref="AF179"/>
    <mergeCell ref="AF397"/>
    <mergeCell ref="AF184"/>
    <mergeCell ref="AF396"/>
    <mergeCell ref="AF183"/>
    <mergeCell ref="AF395"/>
    <mergeCell ref="AF182"/>
    <mergeCell ref="AF400"/>
    <mergeCell ref="AF187"/>
    <mergeCell ref="AF399"/>
    <mergeCell ref="AF186"/>
    <mergeCell ref="AF398"/>
    <mergeCell ref="AF185"/>
    <mergeCell ref="AF379"/>
    <mergeCell ref="AF166"/>
    <mergeCell ref="AF378"/>
    <mergeCell ref="AF377"/>
    <mergeCell ref="AF382"/>
    <mergeCell ref="AF169"/>
    <mergeCell ref="AF381"/>
    <mergeCell ref="AF168"/>
    <mergeCell ref="AF380"/>
    <mergeCell ref="AF167"/>
    <mergeCell ref="AF385"/>
    <mergeCell ref="AF172"/>
    <mergeCell ref="AF384"/>
    <mergeCell ref="AF171"/>
    <mergeCell ref="AF383"/>
    <mergeCell ref="AF170"/>
    <mergeCell ref="AF388"/>
    <mergeCell ref="AF175"/>
    <mergeCell ref="AF387"/>
    <mergeCell ref="AF174"/>
    <mergeCell ref="AF386"/>
    <mergeCell ref="AF173"/>
    <mergeCell ref="AF367"/>
    <mergeCell ref="AF366"/>
    <mergeCell ref="AF365"/>
    <mergeCell ref="AF370"/>
    <mergeCell ref="AF369"/>
    <mergeCell ref="AF368"/>
    <mergeCell ref="AF373"/>
    <mergeCell ref="AF372"/>
    <mergeCell ref="AF371"/>
    <mergeCell ref="AF376"/>
    <mergeCell ref="AF375"/>
    <mergeCell ref="AF374"/>
    <mergeCell ref="AG77"/>
    <mergeCell ref="AG289"/>
    <mergeCell ref="AG76"/>
    <mergeCell ref="AG288"/>
    <mergeCell ref="AG75"/>
    <mergeCell ref="AG293"/>
    <mergeCell ref="AG80"/>
    <mergeCell ref="AG292"/>
    <mergeCell ref="AG79"/>
    <mergeCell ref="AG291"/>
    <mergeCell ref="AG78"/>
    <mergeCell ref="AG272"/>
    <mergeCell ref="AG59"/>
    <mergeCell ref="AG271"/>
    <mergeCell ref="AG58"/>
    <mergeCell ref="AG270"/>
    <mergeCell ref="AG57"/>
    <mergeCell ref="AG275"/>
    <mergeCell ref="AG62"/>
    <mergeCell ref="AG274"/>
    <mergeCell ref="AG61"/>
    <mergeCell ref="AG273"/>
    <mergeCell ref="AG60"/>
    <mergeCell ref="AG278"/>
    <mergeCell ref="AG65"/>
    <mergeCell ref="AG277"/>
    <mergeCell ref="AG64"/>
    <mergeCell ref="AG276"/>
    <mergeCell ref="AG63"/>
    <mergeCell ref="AG281"/>
    <mergeCell ref="AG68"/>
    <mergeCell ref="AG280"/>
    <mergeCell ref="AG67"/>
    <mergeCell ref="AG279"/>
    <mergeCell ref="AG66"/>
    <mergeCell ref="AG260"/>
    <mergeCell ref="AG4"/>
    <mergeCell ref="AG216"/>
    <mergeCell ref="AG353"/>
    <mergeCell ref="AG352"/>
    <mergeCell ref="AG351"/>
    <mergeCell ref="AG356"/>
    <mergeCell ref="AG355"/>
    <mergeCell ref="AG354"/>
    <mergeCell ref="AG359"/>
    <mergeCell ref="AG358"/>
    <mergeCell ref="AG357"/>
    <mergeCell ref="AG347"/>
    <mergeCell ref="AG134"/>
    <mergeCell ref="AG346"/>
    <mergeCell ref="AG133"/>
    <mergeCell ref="AG345"/>
    <mergeCell ref="AG132"/>
    <mergeCell ref="AG326"/>
    <mergeCell ref="AG113"/>
    <mergeCell ref="AG325"/>
    <mergeCell ref="AG112"/>
    <mergeCell ref="AG324"/>
    <mergeCell ref="AG111"/>
    <mergeCell ref="AG329"/>
    <mergeCell ref="AG116"/>
    <mergeCell ref="AG328"/>
    <mergeCell ref="AG115"/>
    <mergeCell ref="AG327"/>
    <mergeCell ref="AG114"/>
    <mergeCell ref="AG332"/>
    <mergeCell ref="AG119"/>
    <mergeCell ref="AG331"/>
    <mergeCell ref="AF286"/>
    <mergeCell ref="AG47"/>
    <mergeCell ref="AG259"/>
    <mergeCell ref="AG46"/>
    <mergeCell ref="AG258"/>
    <mergeCell ref="AG45"/>
    <mergeCell ref="AG263"/>
    <mergeCell ref="AG50"/>
    <mergeCell ref="AG262"/>
    <mergeCell ref="AG49"/>
    <mergeCell ref="AG261"/>
    <mergeCell ref="AG48"/>
    <mergeCell ref="AG266"/>
    <mergeCell ref="AG53"/>
    <mergeCell ref="AG265"/>
    <mergeCell ref="AG52"/>
    <mergeCell ref="AG264"/>
    <mergeCell ref="AG51"/>
    <mergeCell ref="AG269"/>
    <mergeCell ref="AG56"/>
    <mergeCell ref="AG268"/>
    <mergeCell ref="AG55"/>
    <mergeCell ref="AG267"/>
    <mergeCell ref="AG54"/>
    <mergeCell ref="AG248"/>
    <mergeCell ref="AG35"/>
    <mergeCell ref="AG247"/>
    <mergeCell ref="AG34"/>
    <mergeCell ref="AG246"/>
    <mergeCell ref="AG33"/>
    <mergeCell ref="AG251"/>
    <mergeCell ref="AG38"/>
    <mergeCell ref="AG129"/>
    <mergeCell ref="AG23"/>
    <mergeCell ref="AG235"/>
    <mergeCell ref="AG22"/>
    <mergeCell ref="AG234"/>
    <mergeCell ref="AG21"/>
    <mergeCell ref="AG239"/>
    <mergeCell ref="AG26"/>
    <mergeCell ref="AG238"/>
    <mergeCell ref="AG25"/>
    <mergeCell ref="AG237"/>
    <mergeCell ref="AG24"/>
    <mergeCell ref="AG242"/>
    <mergeCell ref="AG29"/>
    <mergeCell ref="AG241"/>
    <mergeCell ref="AG28"/>
    <mergeCell ref="AG240"/>
    <mergeCell ref="AG27"/>
    <mergeCell ref="AG245"/>
    <mergeCell ref="AG32"/>
    <mergeCell ref="AG244"/>
    <mergeCell ref="AG31"/>
    <mergeCell ref="AG243"/>
    <mergeCell ref="AG30"/>
    <mergeCell ref="AG362"/>
    <mergeCell ref="AG149"/>
    <mergeCell ref="AG361"/>
    <mergeCell ref="AG148"/>
    <mergeCell ref="AG360"/>
    <mergeCell ref="AG147"/>
    <mergeCell ref="AG218"/>
    <mergeCell ref="AG5"/>
    <mergeCell ref="AG217"/>
    <mergeCell ref="AG250"/>
    <mergeCell ref="AG37"/>
    <mergeCell ref="AG249"/>
    <mergeCell ref="AG36"/>
    <mergeCell ref="AG254"/>
    <mergeCell ref="AG41"/>
    <mergeCell ref="AG253"/>
    <mergeCell ref="AG40"/>
    <mergeCell ref="AG252"/>
    <mergeCell ref="AG39"/>
    <mergeCell ref="AG257"/>
    <mergeCell ref="AG44"/>
    <mergeCell ref="AG256"/>
    <mergeCell ref="AG43"/>
    <mergeCell ref="AG255"/>
    <mergeCell ref="AG42"/>
    <mergeCell ref="AG236"/>
    <mergeCell ref="AG118"/>
    <mergeCell ref="AG117"/>
    <mergeCell ref="AG284"/>
    <mergeCell ref="AG71"/>
    <mergeCell ref="AG283"/>
    <mergeCell ref="AG70"/>
    <mergeCell ref="AG282"/>
    <mergeCell ref="AG69"/>
    <mergeCell ref="AG287"/>
    <mergeCell ref="AG74"/>
    <mergeCell ref="AG286"/>
    <mergeCell ref="AG73"/>
    <mergeCell ref="AG285"/>
    <mergeCell ref="AG72"/>
    <mergeCell ref="AG102"/>
    <mergeCell ref="AG320"/>
    <mergeCell ref="AG107"/>
    <mergeCell ref="AG319"/>
    <mergeCell ref="AG106"/>
    <mergeCell ref="AG318"/>
    <mergeCell ref="AG105"/>
    <mergeCell ref="AG323"/>
    <mergeCell ref="AG110"/>
    <mergeCell ref="AG322"/>
    <mergeCell ref="AG109"/>
    <mergeCell ref="AG321"/>
    <mergeCell ref="AG108"/>
    <mergeCell ref="AG3"/>
    <mergeCell ref="AG221"/>
    <mergeCell ref="AG8"/>
    <mergeCell ref="AG220"/>
    <mergeCell ref="AG7"/>
    <mergeCell ref="AG219"/>
    <mergeCell ref="AG6"/>
    <mergeCell ref="AG224"/>
    <mergeCell ref="AG11"/>
    <mergeCell ref="AG223"/>
    <mergeCell ref="AG10"/>
    <mergeCell ref="AG222"/>
    <mergeCell ref="AG9"/>
    <mergeCell ref="AG227"/>
    <mergeCell ref="AG14"/>
    <mergeCell ref="AG226"/>
    <mergeCell ref="AG13"/>
    <mergeCell ref="AG225"/>
    <mergeCell ref="AG12"/>
    <mergeCell ref="AG230"/>
    <mergeCell ref="AG17"/>
    <mergeCell ref="AG229"/>
    <mergeCell ref="AG16"/>
    <mergeCell ref="AG228"/>
    <mergeCell ref="AG15"/>
    <mergeCell ref="AG233"/>
    <mergeCell ref="AG20"/>
    <mergeCell ref="AG232"/>
    <mergeCell ref="AG19"/>
    <mergeCell ref="AG231"/>
    <mergeCell ref="AG18"/>
    <mergeCell ref="AG137"/>
    <mergeCell ref="AG136"/>
    <mergeCell ref="AG135"/>
    <mergeCell ref="AG140"/>
    <mergeCell ref="AG139"/>
    <mergeCell ref="AG138"/>
    <mergeCell ref="AG143"/>
    <mergeCell ref="AG142"/>
    <mergeCell ref="AG141"/>
    <mergeCell ref="AG146"/>
    <mergeCell ref="AG145"/>
    <mergeCell ref="AG144"/>
    <mergeCell ref="AG125"/>
    <mergeCell ref="AG124"/>
    <mergeCell ref="AG123"/>
    <mergeCell ref="AG128"/>
    <mergeCell ref="AG127"/>
    <mergeCell ref="AG126"/>
    <mergeCell ref="AG131"/>
    <mergeCell ref="AG130"/>
    <mergeCell ref="AG83"/>
    <mergeCell ref="AG425"/>
    <mergeCell ref="AG212"/>
    <mergeCell ref="AG424"/>
    <mergeCell ref="AG211"/>
    <mergeCell ref="AG423"/>
    <mergeCell ref="AG210"/>
    <mergeCell ref="AG422"/>
    <mergeCell ref="AG209"/>
    <mergeCell ref="AG421"/>
    <mergeCell ref="AG208"/>
    <mergeCell ref="AG420"/>
    <mergeCell ref="AG207"/>
    <mergeCell ref="AG419"/>
    <mergeCell ref="AG206"/>
    <mergeCell ref="AG299"/>
    <mergeCell ref="AG86"/>
    <mergeCell ref="AG298"/>
    <mergeCell ref="AG85"/>
    <mergeCell ref="AG297"/>
    <mergeCell ref="AG84"/>
    <mergeCell ref="AG302"/>
    <mergeCell ref="AG89"/>
    <mergeCell ref="AG400"/>
    <mergeCell ref="AG187"/>
    <mergeCell ref="AG399"/>
    <mergeCell ref="AG186"/>
    <mergeCell ref="AG398"/>
    <mergeCell ref="AG185"/>
    <mergeCell ref="AG403"/>
    <mergeCell ref="AG190"/>
    <mergeCell ref="AG402"/>
    <mergeCell ref="AG189"/>
    <mergeCell ref="AG401"/>
    <mergeCell ref="AG188"/>
    <mergeCell ref="AG406"/>
    <mergeCell ref="AG193"/>
    <mergeCell ref="AG405"/>
    <mergeCell ref="AG192"/>
    <mergeCell ref="AG404"/>
    <mergeCell ref="AG191"/>
    <mergeCell ref="AG409"/>
    <mergeCell ref="AG196"/>
    <mergeCell ref="AG408"/>
    <mergeCell ref="AG195"/>
    <mergeCell ref="AG335"/>
    <mergeCell ref="AG122"/>
    <mergeCell ref="AG334"/>
    <mergeCell ref="AG121"/>
    <mergeCell ref="AG333"/>
    <mergeCell ref="AG120"/>
    <mergeCell ref="AG97"/>
    <mergeCell ref="AG309"/>
    <mergeCell ref="AG96"/>
    <mergeCell ref="AG314"/>
    <mergeCell ref="AG101"/>
    <mergeCell ref="AG313"/>
    <mergeCell ref="AG100"/>
    <mergeCell ref="AG312"/>
    <mergeCell ref="AG99"/>
    <mergeCell ref="AG317"/>
    <mergeCell ref="AG104"/>
    <mergeCell ref="AG316"/>
    <mergeCell ref="AG103"/>
    <mergeCell ref="AG161"/>
    <mergeCell ref="AG379"/>
    <mergeCell ref="AG166"/>
    <mergeCell ref="AG378"/>
    <mergeCell ref="AG165"/>
    <mergeCell ref="AG377"/>
    <mergeCell ref="AG164"/>
    <mergeCell ref="AG382"/>
    <mergeCell ref="AG169"/>
    <mergeCell ref="AG381"/>
    <mergeCell ref="AG168"/>
    <mergeCell ref="AG380"/>
    <mergeCell ref="AG167"/>
    <mergeCell ref="AG385"/>
    <mergeCell ref="AG172"/>
    <mergeCell ref="AG384"/>
    <mergeCell ref="AG171"/>
    <mergeCell ref="AG383"/>
    <mergeCell ref="AG170"/>
    <mergeCell ref="AG330"/>
    <mergeCell ref="AG412"/>
    <mergeCell ref="AG199"/>
    <mergeCell ref="AG411"/>
    <mergeCell ref="AG198"/>
    <mergeCell ref="AG410"/>
    <mergeCell ref="AG197"/>
    <mergeCell ref="AG415"/>
    <mergeCell ref="AG202"/>
    <mergeCell ref="AG414"/>
    <mergeCell ref="AG201"/>
    <mergeCell ref="AG413"/>
    <mergeCell ref="AG200"/>
    <mergeCell ref="AG418"/>
    <mergeCell ref="AG205"/>
    <mergeCell ref="AG417"/>
    <mergeCell ref="AG204"/>
    <mergeCell ref="AG416"/>
    <mergeCell ref="AG203"/>
    <mergeCell ref="AG296"/>
    <mergeCell ref="AG315"/>
    <mergeCell ref="AG350"/>
    <mergeCell ref="AG349"/>
    <mergeCell ref="AG348"/>
    <mergeCell ref="AG338"/>
    <mergeCell ref="AG337"/>
    <mergeCell ref="AG336"/>
    <mergeCell ref="AG341"/>
    <mergeCell ref="AG340"/>
    <mergeCell ref="AG339"/>
    <mergeCell ref="AG344"/>
    <mergeCell ref="AG343"/>
    <mergeCell ref="AG342"/>
    <mergeCell ref="AG290"/>
    <mergeCell ref="AH335"/>
    <mergeCell ref="AH334"/>
    <mergeCell ref="AG407"/>
    <mergeCell ref="AG194"/>
    <mergeCell ref="AG388"/>
    <mergeCell ref="AG175"/>
    <mergeCell ref="AG387"/>
    <mergeCell ref="AG174"/>
    <mergeCell ref="AG386"/>
    <mergeCell ref="AG173"/>
    <mergeCell ref="AG391"/>
    <mergeCell ref="AG178"/>
    <mergeCell ref="AG390"/>
    <mergeCell ref="AG177"/>
    <mergeCell ref="AG389"/>
    <mergeCell ref="AG176"/>
    <mergeCell ref="AG394"/>
    <mergeCell ref="AG181"/>
    <mergeCell ref="AG393"/>
    <mergeCell ref="AG180"/>
    <mergeCell ref="AG392"/>
    <mergeCell ref="AG179"/>
    <mergeCell ref="AG397"/>
    <mergeCell ref="AG184"/>
    <mergeCell ref="AG396"/>
    <mergeCell ref="AG183"/>
    <mergeCell ref="AG395"/>
    <mergeCell ref="AG182"/>
    <mergeCell ref="AG376"/>
    <mergeCell ref="AG163"/>
    <mergeCell ref="AG375"/>
    <mergeCell ref="AG162"/>
    <mergeCell ref="AG374"/>
    <mergeCell ref="AH287"/>
    <mergeCell ref="AH74"/>
    <mergeCell ref="AH293"/>
    <mergeCell ref="AH80"/>
    <mergeCell ref="AH292"/>
    <mergeCell ref="AH79"/>
    <mergeCell ref="AH291"/>
    <mergeCell ref="AH78"/>
    <mergeCell ref="AG367"/>
    <mergeCell ref="AG154"/>
    <mergeCell ref="AG366"/>
    <mergeCell ref="AG153"/>
    <mergeCell ref="AG365"/>
    <mergeCell ref="AG152"/>
    <mergeCell ref="AG370"/>
    <mergeCell ref="AG157"/>
    <mergeCell ref="AG369"/>
    <mergeCell ref="AG156"/>
    <mergeCell ref="AG368"/>
    <mergeCell ref="AG155"/>
    <mergeCell ref="AG373"/>
    <mergeCell ref="AG160"/>
    <mergeCell ref="AG372"/>
    <mergeCell ref="AG159"/>
    <mergeCell ref="AG371"/>
    <mergeCell ref="AG158"/>
    <mergeCell ref="AG301"/>
    <mergeCell ref="AG88"/>
    <mergeCell ref="AG300"/>
    <mergeCell ref="AG87"/>
    <mergeCell ref="AG305"/>
    <mergeCell ref="AG92"/>
    <mergeCell ref="AG304"/>
    <mergeCell ref="AG91"/>
    <mergeCell ref="AG303"/>
    <mergeCell ref="AG90"/>
    <mergeCell ref="AG308"/>
    <mergeCell ref="AG95"/>
    <mergeCell ref="AG307"/>
    <mergeCell ref="AG94"/>
    <mergeCell ref="AG306"/>
    <mergeCell ref="AG93"/>
    <mergeCell ref="AG311"/>
    <mergeCell ref="AG98"/>
    <mergeCell ref="AG310"/>
    <mergeCell ref="AH281"/>
    <mergeCell ref="AH362"/>
    <mergeCell ref="AH361"/>
    <mergeCell ref="AH360"/>
    <mergeCell ref="AH344"/>
    <mergeCell ref="AH343"/>
    <mergeCell ref="AH342"/>
    <mergeCell ref="AH347"/>
    <mergeCell ref="AH346"/>
    <mergeCell ref="AH345"/>
    <mergeCell ref="AH350"/>
    <mergeCell ref="AH349"/>
    <mergeCell ref="AH348"/>
    <mergeCell ref="AH353"/>
    <mergeCell ref="AH352"/>
    <mergeCell ref="AH351"/>
    <mergeCell ref="AH332"/>
    <mergeCell ref="AH331"/>
    <mergeCell ref="AH330"/>
    <mergeCell ref="AH139"/>
    <mergeCell ref="AH138"/>
    <mergeCell ref="AH73"/>
    <mergeCell ref="AH285"/>
    <mergeCell ref="AH72"/>
    <mergeCell ref="AH290"/>
    <mergeCell ref="AH77"/>
    <mergeCell ref="AH289"/>
    <mergeCell ref="AH76"/>
    <mergeCell ref="AH288"/>
    <mergeCell ref="AH75"/>
    <mergeCell ref="AH269"/>
    <mergeCell ref="AH56"/>
    <mergeCell ref="AH268"/>
    <mergeCell ref="AH55"/>
    <mergeCell ref="AH267"/>
    <mergeCell ref="AH54"/>
    <mergeCell ref="AH272"/>
    <mergeCell ref="AH59"/>
    <mergeCell ref="AH271"/>
    <mergeCell ref="AH58"/>
    <mergeCell ref="AH270"/>
    <mergeCell ref="AH57"/>
    <mergeCell ref="AH275"/>
    <mergeCell ref="AH62"/>
    <mergeCell ref="AH274"/>
    <mergeCell ref="AH61"/>
    <mergeCell ref="AH273"/>
    <mergeCell ref="AH60"/>
    <mergeCell ref="AH278"/>
    <mergeCell ref="AH65"/>
    <mergeCell ref="AH277"/>
    <mergeCell ref="AH64"/>
    <mergeCell ref="AH276"/>
    <mergeCell ref="AH63"/>
    <mergeCell ref="AH257"/>
    <mergeCell ref="AH119"/>
    <mergeCell ref="AH118"/>
    <mergeCell ref="AH117"/>
    <mergeCell ref="AH122"/>
    <mergeCell ref="AH121"/>
    <mergeCell ref="AH91"/>
    <mergeCell ref="AH90"/>
    <mergeCell ref="AH95"/>
    <mergeCell ref="AH94"/>
    <mergeCell ref="AH93"/>
    <mergeCell ref="AH98"/>
    <mergeCell ref="AH97"/>
    <mergeCell ref="AH96"/>
    <mergeCell ref="AH101"/>
    <mergeCell ref="AH100"/>
    <mergeCell ref="AH99"/>
    <mergeCell ref="AH161"/>
    <mergeCell ref="AH104"/>
    <mergeCell ref="AH120"/>
    <mergeCell ref="AH68"/>
    <mergeCell ref="AH67"/>
    <mergeCell ref="AH66"/>
    <mergeCell ref="AH284"/>
    <mergeCell ref="AH71"/>
    <mergeCell ref="AH283"/>
    <mergeCell ref="AH70"/>
    <mergeCell ref="AH282"/>
    <mergeCell ref="AH69"/>
    <mergeCell ref="AH359"/>
    <mergeCell ref="AH146"/>
    <mergeCell ref="AH358"/>
    <mergeCell ref="AH145"/>
    <mergeCell ref="AH357"/>
    <mergeCell ref="AH144"/>
    <mergeCell ref="AH149"/>
    <mergeCell ref="AH148"/>
    <mergeCell ref="AH147"/>
    <mergeCell ref="AH218"/>
    <mergeCell ref="AH5"/>
    <mergeCell ref="AH217"/>
    <mergeCell ref="AH4"/>
    <mergeCell ref="AH233"/>
    <mergeCell ref="AH20"/>
    <mergeCell ref="AH232"/>
    <mergeCell ref="AH19"/>
    <mergeCell ref="AH231"/>
    <mergeCell ref="AH18"/>
    <mergeCell ref="AH236"/>
    <mergeCell ref="AH23"/>
    <mergeCell ref="AH235"/>
    <mergeCell ref="AH22"/>
    <mergeCell ref="AH234"/>
    <mergeCell ref="AH21"/>
    <mergeCell ref="AH239"/>
    <mergeCell ref="AH26"/>
    <mergeCell ref="AH238"/>
    <mergeCell ref="AH25"/>
    <mergeCell ref="AH237"/>
    <mergeCell ref="AH24"/>
    <mergeCell ref="AH242"/>
    <mergeCell ref="AH29"/>
    <mergeCell ref="AH44"/>
    <mergeCell ref="AH256"/>
    <mergeCell ref="AH43"/>
    <mergeCell ref="AH255"/>
    <mergeCell ref="AH42"/>
    <mergeCell ref="AH260"/>
    <mergeCell ref="AH47"/>
    <mergeCell ref="AH259"/>
    <mergeCell ref="AH46"/>
    <mergeCell ref="AH258"/>
    <mergeCell ref="AH45"/>
    <mergeCell ref="AH263"/>
    <mergeCell ref="AH50"/>
    <mergeCell ref="AH262"/>
    <mergeCell ref="AH49"/>
    <mergeCell ref="AH261"/>
    <mergeCell ref="AH48"/>
    <mergeCell ref="AH266"/>
    <mergeCell ref="AH53"/>
    <mergeCell ref="AH265"/>
    <mergeCell ref="AH52"/>
    <mergeCell ref="AH264"/>
    <mergeCell ref="AH51"/>
    <mergeCell ref="AH241"/>
    <mergeCell ref="AH28"/>
    <mergeCell ref="AH240"/>
    <mergeCell ref="AH27"/>
    <mergeCell ref="AH245"/>
    <mergeCell ref="AH32"/>
    <mergeCell ref="AH244"/>
    <mergeCell ref="AH31"/>
    <mergeCell ref="AH280"/>
    <mergeCell ref="AH279"/>
    <mergeCell ref="AH3"/>
    <mergeCell ref="AH221"/>
    <mergeCell ref="AH8"/>
    <mergeCell ref="AH220"/>
    <mergeCell ref="AH7"/>
    <mergeCell ref="AH219"/>
    <mergeCell ref="AH6"/>
    <mergeCell ref="AH224"/>
    <mergeCell ref="AH11"/>
    <mergeCell ref="AH223"/>
    <mergeCell ref="AH10"/>
    <mergeCell ref="AH222"/>
    <mergeCell ref="AH9"/>
    <mergeCell ref="AH227"/>
    <mergeCell ref="AH14"/>
    <mergeCell ref="AH226"/>
    <mergeCell ref="AH13"/>
    <mergeCell ref="AH225"/>
    <mergeCell ref="AH12"/>
    <mergeCell ref="AH230"/>
    <mergeCell ref="AH17"/>
    <mergeCell ref="AH229"/>
    <mergeCell ref="AH16"/>
    <mergeCell ref="AH228"/>
    <mergeCell ref="AH15"/>
    <mergeCell ref="AH356"/>
    <mergeCell ref="AH143"/>
    <mergeCell ref="AH355"/>
    <mergeCell ref="AH142"/>
    <mergeCell ref="AH354"/>
    <mergeCell ref="AH141"/>
    <mergeCell ref="AH243"/>
    <mergeCell ref="AH30"/>
    <mergeCell ref="AH248"/>
    <mergeCell ref="AH35"/>
    <mergeCell ref="AH247"/>
    <mergeCell ref="AH34"/>
    <mergeCell ref="AH246"/>
    <mergeCell ref="AH33"/>
    <mergeCell ref="AH251"/>
    <mergeCell ref="AH38"/>
    <mergeCell ref="AH250"/>
    <mergeCell ref="AH37"/>
    <mergeCell ref="AH249"/>
    <mergeCell ref="AH36"/>
    <mergeCell ref="AH254"/>
    <mergeCell ref="AH41"/>
    <mergeCell ref="AH253"/>
    <mergeCell ref="AH40"/>
    <mergeCell ref="AH252"/>
    <mergeCell ref="AH39"/>
    <mergeCell ref="AH216"/>
    <mergeCell ref="AH131"/>
    <mergeCell ref="AH130"/>
    <mergeCell ref="AH129"/>
    <mergeCell ref="AH134"/>
    <mergeCell ref="AH133"/>
    <mergeCell ref="AH132"/>
    <mergeCell ref="AH137"/>
    <mergeCell ref="AH136"/>
    <mergeCell ref="AH135"/>
    <mergeCell ref="AH140"/>
    <mergeCell ref="AH407"/>
    <mergeCell ref="AH333"/>
    <mergeCell ref="AH338"/>
    <mergeCell ref="AH125"/>
    <mergeCell ref="AH337"/>
    <mergeCell ref="AH124"/>
    <mergeCell ref="AH336"/>
    <mergeCell ref="AH123"/>
    <mergeCell ref="AH341"/>
    <mergeCell ref="AH128"/>
    <mergeCell ref="AH340"/>
    <mergeCell ref="AH127"/>
    <mergeCell ref="AH339"/>
    <mergeCell ref="AH126"/>
    <mergeCell ref="AH320"/>
    <mergeCell ref="AH107"/>
    <mergeCell ref="AH319"/>
    <mergeCell ref="AH106"/>
    <mergeCell ref="AH318"/>
    <mergeCell ref="AH105"/>
    <mergeCell ref="AH323"/>
    <mergeCell ref="AH110"/>
    <mergeCell ref="AH322"/>
    <mergeCell ref="AH109"/>
    <mergeCell ref="AH321"/>
    <mergeCell ref="AH108"/>
    <mergeCell ref="AH326"/>
    <mergeCell ref="AH113"/>
    <mergeCell ref="AH325"/>
    <mergeCell ref="AH112"/>
    <mergeCell ref="AH324"/>
    <mergeCell ref="AH111"/>
    <mergeCell ref="AH329"/>
    <mergeCell ref="AH116"/>
    <mergeCell ref="AH328"/>
    <mergeCell ref="AH115"/>
    <mergeCell ref="AH327"/>
    <mergeCell ref="AH114"/>
    <mergeCell ref="AH304"/>
    <mergeCell ref="AH303"/>
    <mergeCell ref="AH308"/>
    <mergeCell ref="AH307"/>
    <mergeCell ref="AH306"/>
    <mergeCell ref="AH311"/>
    <mergeCell ref="AH310"/>
    <mergeCell ref="AH309"/>
    <mergeCell ref="AH314"/>
    <mergeCell ref="AH313"/>
    <mergeCell ref="AH312"/>
    <mergeCell ref="AH317"/>
    <mergeCell ref="AH194"/>
    <mergeCell ref="AH165"/>
    <mergeCell ref="AH164"/>
    <mergeCell ref="AH154"/>
    <mergeCell ref="AH153"/>
    <mergeCell ref="AH152"/>
    <mergeCell ref="AH157"/>
    <mergeCell ref="AH156"/>
    <mergeCell ref="AH155"/>
    <mergeCell ref="AH160"/>
    <mergeCell ref="AH159"/>
    <mergeCell ref="AH158"/>
    <mergeCell ref="AH163"/>
    <mergeCell ref="AH162"/>
    <mergeCell ref="AH375"/>
    <mergeCell ref="AH374"/>
    <mergeCell ref="AH316"/>
    <mergeCell ref="AH103"/>
    <mergeCell ref="AH315"/>
    <mergeCell ref="AH102"/>
    <mergeCell ref="AH415"/>
    <mergeCell ref="AH202"/>
    <mergeCell ref="AH414"/>
    <mergeCell ref="AH201"/>
    <mergeCell ref="AH413"/>
    <mergeCell ref="AH200"/>
    <mergeCell ref="AH418"/>
    <mergeCell ref="AH205"/>
    <mergeCell ref="AH417"/>
    <mergeCell ref="AH204"/>
    <mergeCell ref="AH416"/>
    <mergeCell ref="AH203"/>
    <mergeCell ref="AH296"/>
    <mergeCell ref="AH83"/>
    <mergeCell ref="AH425"/>
    <mergeCell ref="AH212"/>
    <mergeCell ref="AH424"/>
    <mergeCell ref="AH211"/>
    <mergeCell ref="AH423"/>
    <mergeCell ref="AH210"/>
    <mergeCell ref="AH422"/>
    <mergeCell ref="AH209"/>
    <mergeCell ref="AH421"/>
    <mergeCell ref="AH208"/>
    <mergeCell ref="AH420"/>
    <mergeCell ref="AH207"/>
    <mergeCell ref="AH419"/>
    <mergeCell ref="AH206"/>
    <mergeCell ref="AH299"/>
    <mergeCell ref="AH86"/>
    <mergeCell ref="AH298"/>
    <mergeCell ref="AH85"/>
    <mergeCell ref="AH297"/>
    <mergeCell ref="AH84"/>
    <mergeCell ref="AH302"/>
    <mergeCell ref="AH89"/>
    <mergeCell ref="AH301"/>
    <mergeCell ref="AH88"/>
    <mergeCell ref="AH300"/>
    <mergeCell ref="AH87"/>
    <mergeCell ref="AH305"/>
    <mergeCell ref="AH92"/>
    <mergeCell ref="AH403"/>
    <mergeCell ref="AH190"/>
    <mergeCell ref="AH402"/>
    <mergeCell ref="AH189"/>
    <mergeCell ref="AH401"/>
    <mergeCell ref="AH188"/>
    <mergeCell ref="AH406"/>
    <mergeCell ref="AH193"/>
    <mergeCell ref="AH405"/>
    <mergeCell ref="AH192"/>
    <mergeCell ref="AH404"/>
    <mergeCell ref="AH191"/>
    <mergeCell ref="AH409"/>
    <mergeCell ref="AH196"/>
    <mergeCell ref="AH408"/>
    <mergeCell ref="AH195"/>
    <mergeCell ref="AI66"/>
    <mergeCell ref="AI260"/>
    <mergeCell ref="AH412"/>
    <mergeCell ref="AH199"/>
    <mergeCell ref="AH411"/>
    <mergeCell ref="AH198"/>
    <mergeCell ref="AH410"/>
    <mergeCell ref="AH197"/>
    <mergeCell ref="AH391"/>
    <mergeCell ref="AH178"/>
    <mergeCell ref="AH390"/>
    <mergeCell ref="AH177"/>
    <mergeCell ref="AH389"/>
    <mergeCell ref="AH176"/>
    <mergeCell ref="AH394"/>
    <mergeCell ref="AH181"/>
    <mergeCell ref="AH393"/>
    <mergeCell ref="AH180"/>
    <mergeCell ref="AH392"/>
    <mergeCell ref="AH179"/>
    <mergeCell ref="AH397"/>
    <mergeCell ref="AH184"/>
    <mergeCell ref="AH396"/>
    <mergeCell ref="AH183"/>
    <mergeCell ref="AH395"/>
    <mergeCell ref="AH182"/>
    <mergeCell ref="AH400"/>
    <mergeCell ref="AH187"/>
    <mergeCell ref="AH399"/>
    <mergeCell ref="AH186"/>
    <mergeCell ref="AH398"/>
    <mergeCell ref="AH185"/>
    <mergeCell ref="AH379"/>
    <mergeCell ref="AH166"/>
    <mergeCell ref="AH378"/>
    <mergeCell ref="AH377"/>
    <mergeCell ref="AH382"/>
    <mergeCell ref="AH169"/>
    <mergeCell ref="AH381"/>
    <mergeCell ref="AH168"/>
    <mergeCell ref="AH380"/>
    <mergeCell ref="AH167"/>
    <mergeCell ref="AH385"/>
    <mergeCell ref="AH172"/>
    <mergeCell ref="AH384"/>
    <mergeCell ref="AH171"/>
    <mergeCell ref="AH383"/>
    <mergeCell ref="AH170"/>
    <mergeCell ref="AH388"/>
    <mergeCell ref="AH175"/>
    <mergeCell ref="AH387"/>
    <mergeCell ref="AH174"/>
    <mergeCell ref="AH386"/>
    <mergeCell ref="AH173"/>
    <mergeCell ref="AH367"/>
    <mergeCell ref="AH366"/>
    <mergeCell ref="AH365"/>
    <mergeCell ref="AH370"/>
    <mergeCell ref="AH369"/>
    <mergeCell ref="AH368"/>
    <mergeCell ref="AH373"/>
    <mergeCell ref="AH372"/>
    <mergeCell ref="AH371"/>
    <mergeCell ref="AH376"/>
    <mergeCell ref="AH286"/>
    <mergeCell ref="AI47"/>
    <mergeCell ref="AI259"/>
    <mergeCell ref="AI46"/>
    <mergeCell ref="AI258"/>
    <mergeCell ref="AI45"/>
    <mergeCell ref="AI263"/>
    <mergeCell ref="AI50"/>
    <mergeCell ref="AI262"/>
    <mergeCell ref="AI49"/>
    <mergeCell ref="AI261"/>
    <mergeCell ref="AI48"/>
    <mergeCell ref="AI266"/>
    <mergeCell ref="AI53"/>
    <mergeCell ref="AI265"/>
    <mergeCell ref="AI52"/>
    <mergeCell ref="AI264"/>
    <mergeCell ref="AI51"/>
    <mergeCell ref="AI269"/>
    <mergeCell ref="AI56"/>
    <mergeCell ref="AI268"/>
    <mergeCell ref="AI55"/>
    <mergeCell ref="AI267"/>
    <mergeCell ref="AI54"/>
    <mergeCell ref="AI248"/>
    <mergeCell ref="AI35"/>
    <mergeCell ref="AI247"/>
    <mergeCell ref="AI34"/>
    <mergeCell ref="AI246"/>
    <mergeCell ref="AI33"/>
    <mergeCell ref="AI251"/>
    <mergeCell ref="AI38"/>
    <mergeCell ref="AI250"/>
    <mergeCell ref="AI37"/>
    <mergeCell ref="AI249"/>
    <mergeCell ref="AI36"/>
    <mergeCell ref="AI254"/>
    <mergeCell ref="AI41"/>
    <mergeCell ref="AI253"/>
    <mergeCell ref="AI40"/>
    <mergeCell ref="AI252"/>
    <mergeCell ref="AI39"/>
    <mergeCell ref="AI257"/>
    <mergeCell ref="AI44"/>
    <mergeCell ref="AI256"/>
    <mergeCell ref="AI43"/>
    <mergeCell ref="AI255"/>
    <mergeCell ref="AI42"/>
    <mergeCell ref="AI236"/>
    <mergeCell ref="AI118"/>
    <mergeCell ref="AI117"/>
    <mergeCell ref="AI284"/>
    <mergeCell ref="AI71"/>
    <mergeCell ref="AI283"/>
    <mergeCell ref="AI70"/>
    <mergeCell ref="AI282"/>
    <mergeCell ref="AI69"/>
    <mergeCell ref="AI74"/>
    <mergeCell ref="AI286"/>
    <mergeCell ref="AI73"/>
    <mergeCell ref="AI285"/>
    <mergeCell ref="AI72"/>
    <mergeCell ref="AI77"/>
    <mergeCell ref="AI76"/>
    <mergeCell ref="AI21"/>
    <mergeCell ref="AI239"/>
    <mergeCell ref="AI26"/>
    <mergeCell ref="AI238"/>
    <mergeCell ref="AI25"/>
    <mergeCell ref="AI237"/>
    <mergeCell ref="AI24"/>
    <mergeCell ref="AI242"/>
    <mergeCell ref="AI29"/>
    <mergeCell ref="AI241"/>
    <mergeCell ref="AI28"/>
    <mergeCell ref="AI240"/>
    <mergeCell ref="AI27"/>
    <mergeCell ref="AI245"/>
    <mergeCell ref="AI32"/>
    <mergeCell ref="AI244"/>
    <mergeCell ref="AI31"/>
    <mergeCell ref="AI243"/>
    <mergeCell ref="AI30"/>
    <mergeCell ref="AI362"/>
    <mergeCell ref="AI149"/>
    <mergeCell ref="AI361"/>
    <mergeCell ref="AI148"/>
    <mergeCell ref="AI360"/>
    <mergeCell ref="AI147"/>
    <mergeCell ref="AI218"/>
    <mergeCell ref="AI5"/>
    <mergeCell ref="AI217"/>
    <mergeCell ref="AI4"/>
    <mergeCell ref="AI216"/>
    <mergeCell ref="AI353"/>
    <mergeCell ref="AI352"/>
    <mergeCell ref="AI351"/>
    <mergeCell ref="AI356"/>
    <mergeCell ref="AI355"/>
    <mergeCell ref="AI354"/>
    <mergeCell ref="AI359"/>
    <mergeCell ref="AI358"/>
    <mergeCell ref="AI357"/>
    <mergeCell ref="AI347"/>
    <mergeCell ref="AI134"/>
    <mergeCell ref="AI346"/>
    <mergeCell ref="AI133"/>
    <mergeCell ref="AI345"/>
    <mergeCell ref="AI132"/>
    <mergeCell ref="AI326"/>
    <mergeCell ref="AI113"/>
    <mergeCell ref="AI325"/>
    <mergeCell ref="AI112"/>
    <mergeCell ref="AI324"/>
    <mergeCell ref="AI111"/>
    <mergeCell ref="AI329"/>
    <mergeCell ref="AI116"/>
    <mergeCell ref="AI328"/>
    <mergeCell ref="AI115"/>
    <mergeCell ref="AI327"/>
    <mergeCell ref="AI114"/>
    <mergeCell ref="AI332"/>
    <mergeCell ref="AI119"/>
    <mergeCell ref="AI331"/>
    <mergeCell ref="AI287"/>
    <mergeCell ref="AI290"/>
    <mergeCell ref="AI289"/>
    <mergeCell ref="AI288"/>
    <mergeCell ref="AI136"/>
    <mergeCell ref="AI348"/>
    <mergeCell ref="AI135"/>
    <mergeCell ref="AI140"/>
    <mergeCell ref="AI139"/>
    <mergeCell ref="AI138"/>
    <mergeCell ref="AI143"/>
    <mergeCell ref="AI142"/>
    <mergeCell ref="AI141"/>
    <mergeCell ref="AI146"/>
    <mergeCell ref="AI145"/>
    <mergeCell ref="AI144"/>
    <mergeCell ref="AI338"/>
    <mergeCell ref="AI125"/>
    <mergeCell ref="AI337"/>
    <mergeCell ref="AI124"/>
    <mergeCell ref="AI336"/>
    <mergeCell ref="AI123"/>
    <mergeCell ref="AI341"/>
    <mergeCell ref="AI128"/>
    <mergeCell ref="AI340"/>
    <mergeCell ref="AI127"/>
    <mergeCell ref="AI339"/>
    <mergeCell ref="AI126"/>
    <mergeCell ref="AI344"/>
    <mergeCell ref="AI131"/>
    <mergeCell ref="AI343"/>
    <mergeCell ref="AI130"/>
    <mergeCell ref="AI342"/>
    <mergeCell ref="AI129"/>
    <mergeCell ref="AI23"/>
    <mergeCell ref="AI235"/>
    <mergeCell ref="AI22"/>
    <mergeCell ref="AI234"/>
    <mergeCell ref="AI75"/>
    <mergeCell ref="AI293"/>
    <mergeCell ref="AI80"/>
    <mergeCell ref="AI292"/>
    <mergeCell ref="AI79"/>
    <mergeCell ref="AI291"/>
    <mergeCell ref="AI78"/>
    <mergeCell ref="AI272"/>
    <mergeCell ref="AI59"/>
    <mergeCell ref="AI271"/>
    <mergeCell ref="AI58"/>
    <mergeCell ref="AI270"/>
    <mergeCell ref="AI57"/>
    <mergeCell ref="AI275"/>
    <mergeCell ref="AI62"/>
    <mergeCell ref="AI274"/>
    <mergeCell ref="AI61"/>
    <mergeCell ref="AI273"/>
    <mergeCell ref="AI60"/>
    <mergeCell ref="AI278"/>
    <mergeCell ref="AI65"/>
    <mergeCell ref="AI277"/>
    <mergeCell ref="AI64"/>
    <mergeCell ref="AI276"/>
    <mergeCell ref="AI63"/>
    <mergeCell ref="AI281"/>
    <mergeCell ref="AI68"/>
    <mergeCell ref="AI280"/>
    <mergeCell ref="AI67"/>
    <mergeCell ref="AI279"/>
    <mergeCell ref="AI122"/>
    <mergeCell ref="AI334"/>
    <mergeCell ref="AI121"/>
    <mergeCell ref="AI333"/>
    <mergeCell ref="AI120"/>
    <mergeCell ref="AI97"/>
    <mergeCell ref="AI309"/>
    <mergeCell ref="AI96"/>
    <mergeCell ref="AI314"/>
    <mergeCell ref="AI101"/>
    <mergeCell ref="AI313"/>
    <mergeCell ref="AI100"/>
    <mergeCell ref="AI312"/>
    <mergeCell ref="AI99"/>
    <mergeCell ref="AI317"/>
    <mergeCell ref="AI104"/>
    <mergeCell ref="AI316"/>
    <mergeCell ref="AI103"/>
    <mergeCell ref="AI315"/>
    <mergeCell ref="AI102"/>
    <mergeCell ref="AI320"/>
    <mergeCell ref="AI107"/>
    <mergeCell ref="AI319"/>
    <mergeCell ref="AI106"/>
    <mergeCell ref="AI318"/>
    <mergeCell ref="AI105"/>
    <mergeCell ref="AI323"/>
    <mergeCell ref="AI110"/>
    <mergeCell ref="AI322"/>
    <mergeCell ref="AI109"/>
    <mergeCell ref="AI321"/>
    <mergeCell ref="AI108"/>
    <mergeCell ref="AI3"/>
    <mergeCell ref="AI221"/>
    <mergeCell ref="AI8"/>
    <mergeCell ref="AI220"/>
    <mergeCell ref="AI7"/>
    <mergeCell ref="AI219"/>
    <mergeCell ref="AI6"/>
    <mergeCell ref="AI224"/>
    <mergeCell ref="AI11"/>
    <mergeCell ref="AI223"/>
    <mergeCell ref="AI10"/>
    <mergeCell ref="AI222"/>
    <mergeCell ref="AI9"/>
    <mergeCell ref="AI227"/>
    <mergeCell ref="AI14"/>
    <mergeCell ref="AI226"/>
    <mergeCell ref="AI13"/>
    <mergeCell ref="AI225"/>
    <mergeCell ref="AI12"/>
    <mergeCell ref="AI230"/>
    <mergeCell ref="AI17"/>
    <mergeCell ref="AI229"/>
    <mergeCell ref="AI16"/>
    <mergeCell ref="AI228"/>
    <mergeCell ref="AI15"/>
    <mergeCell ref="AI233"/>
    <mergeCell ref="AI20"/>
    <mergeCell ref="AI232"/>
    <mergeCell ref="AI19"/>
    <mergeCell ref="AI231"/>
    <mergeCell ref="AI18"/>
    <mergeCell ref="AI137"/>
    <mergeCell ref="AI412"/>
    <mergeCell ref="AI199"/>
    <mergeCell ref="AI411"/>
    <mergeCell ref="AI198"/>
    <mergeCell ref="AI410"/>
    <mergeCell ref="AI197"/>
    <mergeCell ref="AI415"/>
    <mergeCell ref="AI202"/>
    <mergeCell ref="AI414"/>
    <mergeCell ref="AI201"/>
    <mergeCell ref="AI413"/>
    <mergeCell ref="AI200"/>
    <mergeCell ref="AI418"/>
    <mergeCell ref="AI205"/>
    <mergeCell ref="AI417"/>
    <mergeCell ref="AI204"/>
    <mergeCell ref="AI416"/>
    <mergeCell ref="AI203"/>
    <mergeCell ref="AI296"/>
    <mergeCell ref="AI83"/>
    <mergeCell ref="AI425"/>
    <mergeCell ref="AI212"/>
    <mergeCell ref="AI424"/>
    <mergeCell ref="AI211"/>
    <mergeCell ref="AI423"/>
    <mergeCell ref="AI210"/>
    <mergeCell ref="AI422"/>
    <mergeCell ref="AI209"/>
    <mergeCell ref="AI421"/>
    <mergeCell ref="AI208"/>
    <mergeCell ref="AI420"/>
    <mergeCell ref="AI207"/>
    <mergeCell ref="AI419"/>
    <mergeCell ref="AI206"/>
    <mergeCell ref="AI299"/>
    <mergeCell ref="AI86"/>
    <mergeCell ref="AI298"/>
    <mergeCell ref="AI85"/>
    <mergeCell ref="AI297"/>
    <mergeCell ref="AI84"/>
    <mergeCell ref="AI302"/>
    <mergeCell ref="AI89"/>
    <mergeCell ref="AI400"/>
    <mergeCell ref="AI187"/>
    <mergeCell ref="AI399"/>
    <mergeCell ref="AI186"/>
    <mergeCell ref="AI398"/>
    <mergeCell ref="AI185"/>
    <mergeCell ref="AI403"/>
    <mergeCell ref="AI190"/>
    <mergeCell ref="AI402"/>
    <mergeCell ref="AI189"/>
    <mergeCell ref="AI401"/>
    <mergeCell ref="AI188"/>
    <mergeCell ref="AI406"/>
    <mergeCell ref="AI193"/>
    <mergeCell ref="AI405"/>
    <mergeCell ref="AI192"/>
    <mergeCell ref="AI404"/>
    <mergeCell ref="AI191"/>
    <mergeCell ref="AI409"/>
    <mergeCell ref="AI196"/>
    <mergeCell ref="AI408"/>
    <mergeCell ref="AI195"/>
    <mergeCell ref="AI407"/>
    <mergeCell ref="AI194"/>
    <mergeCell ref="AI388"/>
    <mergeCell ref="AI175"/>
    <mergeCell ref="AI387"/>
    <mergeCell ref="AI174"/>
    <mergeCell ref="AI386"/>
    <mergeCell ref="AI173"/>
    <mergeCell ref="AI391"/>
    <mergeCell ref="AI178"/>
    <mergeCell ref="AI390"/>
    <mergeCell ref="AI177"/>
    <mergeCell ref="AI389"/>
    <mergeCell ref="AI176"/>
    <mergeCell ref="AI394"/>
    <mergeCell ref="AI181"/>
    <mergeCell ref="AI393"/>
    <mergeCell ref="AI180"/>
    <mergeCell ref="AI392"/>
    <mergeCell ref="AI179"/>
    <mergeCell ref="AI397"/>
    <mergeCell ref="AI184"/>
    <mergeCell ref="AI396"/>
    <mergeCell ref="AI183"/>
    <mergeCell ref="AI395"/>
    <mergeCell ref="AI182"/>
    <mergeCell ref="AI376"/>
    <mergeCell ref="AI163"/>
    <mergeCell ref="AI375"/>
    <mergeCell ref="AI162"/>
    <mergeCell ref="AI374"/>
    <mergeCell ref="AI161"/>
    <mergeCell ref="AI379"/>
    <mergeCell ref="AI166"/>
    <mergeCell ref="AI378"/>
    <mergeCell ref="AI165"/>
    <mergeCell ref="AI377"/>
    <mergeCell ref="AI164"/>
    <mergeCell ref="AI382"/>
    <mergeCell ref="AI169"/>
    <mergeCell ref="AI381"/>
    <mergeCell ref="AI168"/>
    <mergeCell ref="AI380"/>
    <mergeCell ref="AI167"/>
    <mergeCell ref="AI385"/>
    <mergeCell ref="AI172"/>
    <mergeCell ref="AI384"/>
    <mergeCell ref="AI171"/>
    <mergeCell ref="AI383"/>
    <mergeCell ref="AI170"/>
    <mergeCell ref="AI330"/>
    <mergeCell ref="AI335"/>
    <mergeCell ref="AI350"/>
    <mergeCell ref="AI349"/>
    <mergeCell ref="AJ293"/>
    <mergeCell ref="AJ80"/>
    <mergeCell ref="AJ292"/>
    <mergeCell ref="AJ79"/>
    <mergeCell ref="AJ291"/>
    <mergeCell ref="AJ78"/>
    <mergeCell ref="AI367"/>
    <mergeCell ref="AI154"/>
    <mergeCell ref="AI366"/>
    <mergeCell ref="AI153"/>
    <mergeCell ref="AI365"/>
    <mergeCell ref="AI152"/>
    <mergeCell ref="AI370"/>
    <mergeCell ref="AI157"/>
    <mergeCell ref="AI369"/>
    <mergeCell ref="AI156"/>
    <mergeCell ref="AI368"/>
    <mergeCell ref="AI155"/>
    <mergeCell ref="AI373"/>
    <mergeCell ref="AI160"/>
    <mergeCell ref="AI372"/>
    <mergeCell ref="AI159"/>
    <mergeCell ref="AI371"/>
    <mergeCell ref="AI158"/>
    <mergeCell ref="AI301"/>
    <mergeCell ref="AI88"/>
    <mergeCell ref="AI300"/>
    <mergeCell ref="AI87"/>
    <mergeCell ref="AI305"/>
    <mergeCell ref="AI92"/>
    <mergeCell ref="AI304"/>
    <mergeCell ref="AI91"/>
    <mergeCell ref="AI303"/>
    <mergeCell ref="AI90"/>
    <mergeCell ref="AI308"/>
    <mergeCell ref="AI95"/>
    <mergeCell ref="AI307"/>
    <mergeCell ref="AI94"/>
    <mergeCell ref="AI306"/>
    <mergeCell ref="AI93"/>
    <mergeCell ref="AI311"/>
    <mergeCell ref="AI98"/>
    <mergeCell ref="AI310"/>
    <mergeCell ref="AJ281"/>
    <mergeCell ref="AJ362"/>
    <mergeCell ref="AJ361"/>
    <mergeCell ref="AJ360"/>
    <mergeCell ref="AJ344"/>
    <mergeCell ref="AJ343"/>
    <mergeCell ref="AJ342"/>
    <mergeCell ref="AJ347"/>
    <mergeCell ref="AJ346"/>
    <mergeCell ref="AJ345"/>
    <mergeCell ref="AJ350"/>
    <mergeCell ref="AJ349"/>
    <mergeCell ref="AJ348"/>
    <mergeCell ref="AJ353"/>
    <mergeCell ref="AJ352"/>
    <mergeCell ref="AJ351"/>
    <mergeCell ref="AJ332"/>
    <mergeCell ref="AJ331"/>
    <mergeCell ref="AJ330"/>
    <mergeCell ref="AJ335"/>
    <mergeCell ref="AJ334"/>
    <mergeCell ref="AJ279"/>
    <mergeCell ref="AJ66"/>
    <mergeCell ref="AJ284"/>
    <mergeCell ref="AJ71"/>
    <mergeCell ref="AJ283"/>
    <mergeCell ref="AJ70"/>
    <mergeCell ref="AJ282"/>
    <mergeCell ref="AJ69"/>
    <mergeCell ref="AJ287"/>
    <mergeCell ref="AJ74"/>
    <mergeCell ref="AJ286"/>
    <mergeCell ref="AJ73"/>
    <mergeCell ref="AJ285"/>
    <mergeCell ref="AJ72"/>
    <mergeCell ref="AJ290"/>
    <mergeCell ref="AJ77"/>
    <mergeCell ref="AJ289"/>
    <mergeCell ref="AJ76"/>
    <mergeCell ref="AJ288"/>
    <mergeCell ref="AJ75"/>
    <mergeCell ref="AJ269"/>
    <mergeCell ref="AJ56"/>
    <mergeCell ref="AJ268"/>
    <mergeCell ref="AJ55"/>
    <mergeCell ref="AJ267"/>
    <mergeCell ref="AJ54"/>
    <mergeCell ref="AJ272"/>
    <mergeCell ref="AJ59"/>
    <mergeCell ref="AJ271"/>
    <mergeCell ref="AJ58"/>
    <mergeCell ref="AJ270"/>
    <mergeCell ref="AJ57"/>
    <mergeCell ref="AJ275"/>
    <mergeCell ref="AJ62"/>
    <mergeCell ref="AJ274"/>
    <mergeCell ref="AJ61"/>
    <mergeCell ref="AJ273"/>
    <mergeCell ref="AJ60"/>
    <mergeCell ref="AJ278"/>
    <mergeCell ref="AJ65"/>
    <mergeCell ref="AJ277"/>
    <mergeCell ref="AJ64"/>
    <mergeCell ref="AJ276"/>
    <mergeCell ref="AJ63"/>
    <mergeCell ref="AJ257"/>
    <mergeCell ref="AJ119"/>
    <mergeCell ref="AJ118"/>
    <mergeCell ref="AJ117"/>
    <mergeCell ref="AJ122"/>
    <mergeCell ref="AJ121"/>
    <mergeCell ref="AJ91"/>
    <mergeCell ref="AJ90"/>
    <mergeCell ref="AJ95"/>
    <mergeCell ref="AJ94"/>
    <mergeCell ref="AJ93"/>
    <mergeCell ref="AJ98"/>
    <mergeCell ref="AJ97"/>
    <mergeCell ref="AJ96"/>
    <mergeCell ref="AJ101"/>
    <mergeCell ref="AJ100"/>
    <mergeCell ref="AJ99"/>
    <mergeCell ref="AJ42"/>
    <mergeCell ref="AJ260"/>
    <mergeCell ref="AJ47"/>
    <mergeCell ref="AJ259"/>
    <mergeCell ref="AJ46"/>
    <mergeCell ref="AJ258"/>
    <mergeCell ref="AJ45"/>
    <mergeCell ref="AJ263"/>
    <mergeCell ref="AJ50"/>
    <mergeCell ref="AJ262"/>
    <mergeCell ref="AJ49"/>
    <mergeCell ref="AJ261"/>
    <mergeCell ref="AJ48"/>
    <mergeCell ref="AJ266"/>
    <mergeCell ref="AJ53"/>
    <mergeCell ref="AJ265"/>
    <mergeCell ref="AJ52"/>
    <mergeCell ref="AJ264"/>
    <mergeCell ref="AJ51"/>
    <mergeCell ref="AJ241"/>
    <mergeCell ref="AJ28"/>
    <mergeCell ref="AJ240"/>
    <mergeCell ref="AJ27"/>
    <mergeCell ref="AJ245"/>
    <mergeCell ref="AJ32"/>
    <mergeCell ref="AJ244"/>
    <mergeCell ref="AJ31"/>
    <mergeCell ref="AJ243"/>
    <mergeCell ref="AJ30"/>
    <mergeCell ref="AJ248"/>
    <mergeCell ref="AJ35"/>
    <mergeCell ref="AJ247"/>
    <mergeCell ref="AJ34"/>
    <mergeCell ref="AJ246"/>
    <mergeCell ref="AJ33"/>
    <mergeCell ref="AJ251"/>
    <mergeCell ref="AJ38"/>
    <mergeCell ref="AJ250"/>
    <mergeCell ref="AJ37"/>
    <mergeCell ref="AJ249"/>
    <mergeCell ref="AJ36"/>
    <mergeCell ref="AJ254"/>
    <mergeCell ref="AJ41"/>
    <mergeCell ref="AJ253"/>
    <mergeCell ref="AJ40"/>
    <mergeCell ref="AJ252"/>
    <mergeCell ref="AJ39"/>
    <mergeCell ref="AJ216"/>
    <mergeCell ref="AJ131"/>
    <mergeCell ref="AJ130"/>
    <mergeCell ref="AJ129"/>
    <mergeCell ref="AJ134"/>
    <mergeCell ref="AJ133"/>
    <mergeCell ref="AJ132"/>
    <mergeCell ref="AJ137"/>
    <mergeCell ref="AJ136"/>
    <mergeCell ref="AJ135"/>
    <mergeCell ref="AJ140"/>
    <mergeCell ref="AJ139"/>
    <mergeCell ref="AJ138"/>
    <mergeCell ref="AJ68"/>
    <mergeCell ref="AJ67"/>
    <mergeCell ref="AJ3"/>
    <mergeCell ref="AJ221"/>
    <mergeCell ref="AJ8"/>
    <mergeCell ref="AJ220"/>
    <mergeCell ref="AJ7"/>
    <mergeCell ref="AJ219"/>
    <mergeCell ref="AJ6"/>
    <mergeCell ref="AJ224"/>
    <mergeCell ref="AJ11"/>
    <mergeCell ref="AJ223"/>
    <mergeCell ref="AJ10"/>
    <mergeCell ref="AJ222"/>
    <mergeCell ref="AJ9"/>
    <mergeCell ref="AJ227"/>
    <mergeCell ref="AJ14"/>
    <mergeCell ref="AJ226"/>
    <mergeCell ref="AJ13"/>
    <mergeCell ref="AJ225"/>
    <mergeCell ref="AJ12"/>
    <mergeCell ref="AJ230"/>
    <mergeCell ref="AJ17"/>
    <mergeCell ref="AJ229"/>
    <mergeCell ref="AJ16"/>
    <mergeCell ref="AJ228"/>
    <mergeCell ref="AJ15"/>
    <mergeCell ref="AJ356"/>
    <mergeCell ref="AJ143"/>
    <mergeCell ref="AJ355"/>
    <mergeCell ref="AJ142"/>
    <mergeCell ref="AJ354"/>
    <mergeCell ref="AJ141"/>
    <mergeCell ref="AJ359"/>
    <mergeCell ref="AJ146"/>
    <mergeCell ref="AJ358"/>
    <mergeCell ref="AJ145"/>
    <mergeCell ref="AJ357"/>
    <mergeCell ref="AJ144"/>
    <mergeCell ref="AJ149"/>
    <mergeCell ref="AJ148"/>
    <mergeCell ref="AJ147"/>
    <mergeCell ref="AJ218"/>
    <mergeCell ref="AJ5"/>
    <mergeCell ref="AJ217"/>
    <mergeCell ref="AJ4"/>
    <mergeCell ref="AJ233"/>
    <mergeCell ref="AJ20"/>
    <mergeCell ref="AJ232"/>
    <mergeCell ref="AJ19"/>
    <mergeCell ref="AJ231"/>
    <mergeCell ref="AJ18"/>
    <mergeCell ref="AJ236"/>
    <mergeCell ref="AJ23"/>
    <mergeCell ref="AJ235"/>
    <mergeCell ref="AJ22"/>
    <mergeCell ref="AJ234"/>
    <mergeCell ref="AJ21"/>
    <mergeCell ref="AJ239"/>
    <mergeCell ref="AJ26"/>
    <mergeCell ref="AJ238"/>
    <mergeCell ref="AJ25"/>
    <mergeCell ref="AJ237"/>
    <mergeCell ref="AJ24"/>
    <mergeCell ref="AJ242"/>
    <mergeCell ref="AJ29"/>
    <mergeCell ref="AJ338"/>
    <mergeCell ref="AJ125"/>
    <mergeCell ref="AJ337"/>
    <mergeCell ref="AJ124"/>
    <mergeCell ref="AJ336"/>
    <mergeCell ref="AJ123"/>
    <mergeCell ref="AJ341"/>
    <mergeCell ref="AJ128"/>
    <mergeCell ref="AJ340"/>
    <mergeCell ref="AJ127"/>
    <mergeCell ref="AJ339"/>
    <mergeCell ref="AJ126"/>
    <mergeCell ref="AJ320"/>
    <mergeCell ref="AJ107"/>
    <mergeCell ref="AJ319"/>
    <mergeCell ref="AJ106"/>
    <mergeCell ref="AJ318"/>
    <mergeCell ref="AJ105"/>
    <mergeCell ref="AJ323"/>
    <mergeCell ref="AJ110"/>
    <mergeCell ref="AJ322"/>
    <mergeCell ref="AJ109"/>
    <mergeCell ref="AJ321"/>
    <mergeCell ref="AJ108"/>
    <mergeCell ref="AJ326"/>
    <mergeCell ref="AJ113"/>
    <mergeCell ref="AJ325"/>
    <mergeCell ref="AJ112"/>
    <mergeCell ref="AJ324"/>
    <mergeCell ref="AJ111"/>
    <mergeCell ref="AJ329"/>
    <mergeCell ref="AJ116"/>
    <mergeCell ref="AJ328"/>
    <mergeCell ref="AJ115"/>
    <mergeCell ref="AJ327"/>
    <mergeCell ref="AJ114"/>
    <mergeCell ref="AJ304"/>
    <mergeCell ref="AJ303"/>
    <mergeCell ref="AJ308"/>
    <mergeCell ref="AJ307"/>
    <mergeCell ref="AJ306"/>
    <mergeCell ref="AJ311"/>
    <mergeCell ref="AJ310"/>
    <mergeCell ref="AJ309"/>
    <mergeCell ref="AJ314"/>
    <mergeCell ref="AJ313"/>
    <mergeCell ref="AJ312"/>
    <mergeCell ref="AJ317"/>
    <mergeCell ref="AJ194"/>
    <mergeCell ref="AJ165"/>
    <mergeCell ref="AJ164"/>
    <mergeCell ref="AJ154"/>
    <mergeCell ref="AJ153"/>
    <mergeCell ref="AJ152"/>
    <mergeCell ref="AJ157"/>
    <mergeCell ref="AJ156"/>
    <mergeCell ref="AJ155"/>
    <mergeCell ref="AJ160"/>
    <mergeCell ref="AJ159"/>
    <mergeCell ref="AJ158"/>
    <mergeCell ref="AJ163"/>
    <mergeCell ref="AJ162"/>
    <mergeCell ref="AJ256"/>
    <mergeCell ref="AJ280"/>
    <mergeCell ref="AJ316"/>
    <mergeCell ref="AJ103"/>
    <mergeCell ref="AJ315"/>
    <mergeCell ref="AJ102"/>
    <mergeCell ref="AJ415"/>
    <mergeCell ref="AJ202"/>
    <mergeCell ref="AJ414"/>
    <mergeCell ref="AJ201"/>
    <mergeCell ref="AJ413"/>
    <mergeCell ref="AJ200"/>
    <mergeCell ref="AJ418"/>
    <mergeCell ref="AJ205"/>
    <mergeCell ref="AJ417"/>
    <mergeCell ref="AJ204"/>
    <mergeCell ref="AJ416"/>
    <mergeCell ref="AJ203"/>
    <mergeCell ref="AJ296"/>
    <mergeCell ref="AJ83"/>
    <mergeCell ref="AJ425"/>
    <mergeCell ref="AJ212"/>
    <mergeCell ref="AJ424"/>
    <mergeCell ref="AJ211"/>
    <mergeCell ref="AJ423"/>
    <mergeCell ref="AJ210"/>
    <mergeCell ref="AJ422"/>
    <mergeCell ref="AJ209"/>
    <mergeCell ref="AJ421"/>
    <mergeCell ref="AJ208"/>
    <mergeCell ref="AJ420"/>
    <mergeCell ref="AJ207"/>
    <mergeCell ref="AJ419"/>
    <mergeCell ref="AJ206"/>
    <mergeCell ref="AJ299"/>
    <mergeCell ref="AJ86"/>
    <mergeCell ref="AJ298"/>
    <mergeCell ref="AJ85"/>
    <mergeCell ref="AJ297"/>
    <mergeCell ref="AJ84"/>
    <mergeCell ref="AJ302"/>
    <mergeCell ref="AJ89"/>
    <mergeCell ref="AJ301"/>
    <mergeCell ref="AJ88"/>
    <mergeCell ref="AJ300"/>
    <mergeCell ref="AJ87"/>
    <mergeCell ref="AJ305"/>
    <mergeCell ref="AJ92"/>
    <mergeCell ref="AJ403"/>
    <mergeCell ref="AJ190"/>
    <mergeCell ref="AJ402"/>
    <mergeCell ref="AJ189"/>
    <mergeCell ref="AJ401"/>
    <mergeCell ref="AJ188"/>
    <mergeCell ref="AJ406"/>
    <mergeCell ref="AJ193"/>
    <mergeCell ref="AJ405"/>
    <mergeCell ref="AJ192"/>
    <mergeCell ref="AJ404"/>
    <mergeCell ref="AJ191"/>
    <mergeCell ref="AJ409"/>
    <mergeCell ref="AJ196"/>
    <mergeCell ref="AJ408"/>
    <mergeCell ref="AJ195"/>
    <mergeCell ref="AJ407"/>
    <mergeCell ref="AJ333"/>
    <mergeCell ref="AJ412"/>
    <mergeCell ref="AJ199"/>
    <mergeCell ref="AJ411"/>
    <mergeCell ref="AJ198"/>
    <mergeCell ref="AJ410"/>
    <mergeCell ref="AJ197"/>
    <mergeCell ref="AJ391"/>
    <mergeCell ref="AJ178"/>
    <mergeCell ref="AJ390"/>
    <mergeCell ref="AJ177"/>
    <mergeCell ref="AJ389"/>
    <mergeCell ref="AJ176"/>
    <mergeCell ref="AJ394"/>
    <mergeCell ref="AJ181"/>
    <mergeCell ref="AJ393"/>
    <mergeCell ref="AJ180"/>
    <mergeCell ref="AJ392"/>
    <mergeCell ref="AJ179"/>
    <mergeCell ref="AJ397"/>
    <mergeCell ref="AJ184"/>
    <mergeCell ref="AJ396"/>
    <mergeCell ref="AJ183"/>
    <mergeCell ref="AJ395"/>
    <mergeCell ref="AJ182"/>
    <mergeCell ref="AJ400"/>
    <mergeCell ref="AJ187"/>
    <mergeCell ref="AJ399"/>
    <mergeCell ref="AJ186"/>
    <mergeCell ref="AJ398"/>
    <mergeCell ref="AJ185"/>
    <mergeCell ref="AJ379"/>
    <mergeCell ref="AJ166"/>
    <mergeCell ref="AJ378"/>
    <mergeCell ref="AJ377"/>
    <mergeCell ref="AJ382"/>
    <mergeCell ref="AJ169"/>
    <mergeCell ref="AJ381"/>
    <mergeCell ref="AJ168"/>
    <mergeCell ref="AJ380"/>
    <mergeCell ref="AJ167"/>
    <mergeCell ref="AJ385"/>
    <mergeCell ref="AJ172"/>
    <mergeCell ref="AJ384"/>
    <mergeCell ref="AJ171"/>
    <mergeCell ref="AJ383"/>
    <mergeCell ref="AJ170"/>
    <mergeCell ref="AJ388"/>
    <mergeCell ref="AJ175"/>
    <mergeCell ref="AJ387"/>
    <mergeCell ref="AJ174"/>
    <mergeCell ref="AJ386"/>
    <mergeCell ref="AJ173"/>
    <mergeCell ref="AJ367"/>
    <mergeCell ref="AJ366"/>
    <mergeCell ref="AJ365"/>
    <mergeCell ref="AJ370"/>
    <mergeCell ref="AJ369"/>
    <mergeCell ref="AJ368"/>
    <mergeCell ref="AJ373"/>
    <mergeCell ref="AJ372"/>
    <mergeCell ref="AJ371"/>
    <mergeCell ref="AJ376"/>
    <mergeCell ref="AJ375"/>
    <mergeCell ref="AJ374"/>
    <mergeCell ref="AK39"/>
    <mergeCell ref="AK257"/>
    <mergeCell ref="AK44"/>
    <mergeCell ref="AK256"/>
    <mergeCell ref="AK43"/>
    <mergeCell ref="AK255"/>
    <mergeCell ref="AK42"/>
    <mergeCell ref="AK236"/>
    <mergeCell ref="AK118"/>
    <mergeCell ref="AJ161"/>
    <mergeCell ref="AK284"/>
    <mergeCell ref="AK71"/>
    <mergeCell ref="AK283"/>
    <mergeCell ref="AK70"/>
    <mergeCell ref="AK282"/>
    <mergeCell ref="AK69"/>
    <mergeCell ref="AK287"/>
    <mergeCell ref="AK74"/>
    <mergeCell ref="AK286"/>
    <mergeCell ref="AK73"/>
    <mergeCell ref="AK285"/>
    <mergeCell ref="AK72"/>
    <mergeCell ref="AK290"/>
    <mergeCell ref="AK77"/>
    <mergeCell ref="AK289"/>
    <mergeCell ref="AK76"/>
    <mergeCell ref="AK288"/>
    <mergeCell ref="AK75"/>
    <mergeCell ref="AK293"/>
    <mergeCell ref="AK80"/>
    <mergeCell ref="AK292"/>
    <mergeCell ref="AK79"/>
    <mergeCell ref="AK291"/>
    <mergeCell ref="AK78"/>
    <mergeCell ref="AK272"/>
    <mergeCell ref="AK59"/>
    <mergeCell ref="AK271"/>
    <mergeCell ref="AK58"/>
    <mergeCell ref="AK270"/>
    <mergeCell ref="AK57"/>
    <mergeCell ref="AK275"/>
    <mergeCell ref="AK62"/>
    <mergeCell ref="AK274"/>
    <mergeCell ref="AK61"/>
    <mergeCell ref="AK273"/>
    <mergeCell ref="AK60"/>
    <mergeCell ref="AK278"/>
    <mergeCell ref="AK65"/>
    <mergeCell ref="AK277"/>
    <mergeCell ref="AK64"/>
    <mergeCell ref="AK276"/>
    <mergeCell ref="AK63"/>
    <mergeCell ref="AK281"/>
    <mergeCell ref="AK68"/>
    <mergeCell ref="AK280"/>
    <mergeCell ref="AK67"/>
    <mergeCell ref="AK279"/>
    <mergeCell ref="AK66"/>
    <mergeCell ref="AK260"/>
    <mergeCell ref="AJ104"/>
    <mergeCell ref="AJ120"/>
    <mergeCell ref="AJ44"/>
    <mergeCell ref="AJ43"/>
    <mergeCell ref="AJ255"/>
    <mergeCell ref="AK362"/>
    <mergeCell ref="AK149"/>
    <mergeCell ref="AK361"/>
    <mergeCell ref="AK148"/>
    <mergeCell ref="AK360"/>
    <mergeCell ref="AK147"/>
    <mergeCell ref="AK218"/>
    <mergeCell ref="AK5"/>
    <mergeCell ref="AK217"/>
    <mergeCell ref="AK4"/>
    <mergeCell ref="AK216"/>
    <mergeCell ref="AK353"/>
    <mergeCell ref="AK352"/>
    <mergeCell ref="AK351"/>
    <mergeCell ref="AK356"/>
    <mergeCell ref="AK355"/>
    <mergeCell ref="AK354"/>
    <mergeCell ref="AK359"/>
    <mergeCell ref="AK358"/>
    <mergeCell ref="AK357"/>
    <mergeCell ref="AK347"/>
    <mergeCell ref="AK134"/>
    <mergeCell ref="AK346"/>
    <mergeCell ref="AK133"/>
    <mergeCell ref="AK345"/>
    <mergeCell ref="AK132"/>
    <mergeCell ref="AK326"/>
    <mergeCell ref="AK113"/>
    <mergeCell ref="AK325"/>
    <mergeCell ref="AK112"/>
    <mergeCell ref="AK324"/>
    <mergeCell ref="AK111"/>
    <mergeCell ref="AK329"/>
    <mergeCell ref="AK116"/>
    <mergeCell ref="AK328"/>
    <mergeCell ref="AK115"/>
    <mergeCell ref="AK327"/>
    <mergeCell ref="AK114"/>
    <mergeCell ref="AK332"/>
    <mergeCell ref="AK119"/>
    <mergeCell ref="AK331"/>
    <mergeCell ref="AK47"/>
    <mergeCell ref="AK259"/>
    <mergeCell ref="AK46"/>
    <mergeCell ref="AK258"/>
    <mergeCell ref="AK45"/>
    <mergeCell ref="AK263"/>
    <mergeCell ref="AK50"/>
    <mergeCell ref="AK262"/>
    <mergeCell ref="AK49"/>
    <mergeCell ref="AK261"/>
    <mergeCell ref="AK48"/>
    <mergeCell ref="AK266"/>
    <mergeCell ref="AK53"/>
    <mergeCell ref="AK265"/>
    <mergeCell ref="AK52"/>
    <mergeCell ref="AK264"/>
    <mergeCell ref="AK51"/>
    <mergeCell ref="AK269"/>
    <mergeCell ref="AK56"/>
    <mergeCell ref="AK268"/>
    <mergeCell ref="AK55"/>
    <mergeCell ref="AK267"/>
    <mergeCell ref="AK54"/>
    <mergeCell ref="AK350"/>
    <mergeCell ref="AK137"/>
    <mergeCell ref="AK349"/>
    <mergeCell ref="AK136"/>
    <mergeCell ref="AK348"/>
    <mergeCell ref="AK135"/>
    <mergeCell ref="AK140"/>
    <mergeCell ref="AK139"/>
    <mergeCell ref="AK138"/>
    <mergeCell ref="AK143"/>
    <mergeCell ref="AK142"/>
    <mergeCell ref="AK141"/>
    <mergeCell ref="AK146"/>
    <mergeCell ref="AK145"/>
    <mergeCell ref="AK144"/>
    <mergeCell ref="AK338"/>
    <mergeCell ref="AK125"/>
    <mergeCell ref="AK337"/>
    <mergeCell ref="AK124"/>
    <mergeCell ref="AK336"/>
    <mergeCell ref="AK123"/>
    <mergeCell ref="AK341"/>
    <mergeCell ref="AK128"/>
    <mergeCell ref="AK340"/>
    <mergeCell ref="AK127"/>
    <mergeCell ref="AK339"/>
    <mergeCell ref="AK126"/>
    <mergeCell ref="AK344"/>
    <mergeCell ref="AK131"/>
    <mergeCell ref="AK343"/>
    <mergeCell ref="AK130"/>
    <mergeCell ref="AK342"/>
    <mergeCell ref="AK129"/>
    <mergeCell ref="AK235"/>
    <mergeCell ref="AK234"/>
    <mergeCell ref="AK239"/>
    <mergeCell ref="AK238"/>
    <mergeCell ref="AK237"/>
    <mergeCell ref="AK242"/>
    <mergeCell ref="AK241"/>
    <mergeCell ref="AK240"/>
    <mergeCell ref="AK245"/>
    <mergeCell ref="AK244"/>
    <mergeCell ref="AK243"/>
    <mergeCell ref="AK248"/>
    <mergeCell ref="AK247"/>
    <mergeCell ref="AK246"/>
    <mergeCell ref="AK251"/>
    <mergeCell ref="AK250"/>
    <mergeCell ref="AK249"/>
    <mergeCell ref="AK254"/>
    <mergeCell ref="AK253"/>
    <mergeCell ref="AK315"/>
    <mergeCell ref="AK252"/>
    <mergeCell ref="AK102"/>
    <mergeCell ref="AK320"/>
    <mergeCell ref="AK107"/>
    <mergeCell ref="AK319"/>
    <mergeCell ref="AK106"/>
    <mergeCell ref="AK318"/>
    <mergeCell ref="AK105"/>
    <mergeCell ref="AK323"/>
    <mergeCell ref="AK110"/>
    <mergeCell ref="AK322"/>
    <mergeCell ref="AK109"/>
    <mergeCell ref="AK321"/>
    <mergeCell ref="AK108"/>
    <mergeCell ref="AK3"/>
    <mergeCell ref="AK221"/>
    <mergeCell ref="AK8"/>
    <mergeCell ref="AK220"/>
    <mergeCell ref="AK7"/>
    <mergeCell ref="AK219"/>
    <mergeCell ref="AK6"/>
    <mergeCell ref="AK224"/>
    <mergeCell ref="AK11"/>
    <mergeCell ref="AK223"/>
    <mergeCell ref="AK10"/>
    <mergeCell ref="AK222"/>
    <mergeCell ref="AK9"/>
    <mergeCell ref="AK227"/>
    <mergeCell ref="AK14"/>
    <mergeCell ref="AK226"/>
    <mergeCell ref="AK13"/>
    <mergeCell ref="AK225"/>
    <mergeCell ref="AK12"/>
    <mergeCell ref="AK230"/>
    <mergeCell ref="AK17"/>
    <mergeCell ref="AK229"/>
    <mergeCell ref="AK16"/>
    <mergeCell ref="AK228"/>
    <mergeCell ref="AK15"/>
    <mergeCell ref="AK233"/>
    <mergeCell ref="AK20"/>
    <mergeCell ref="AK232"/>
    <mergeCell ref="AK19"/>
    <mergeCell ref="AK231"/>
    <mergeCell ref="AK18"/>
    <mergeCell ref="AK23"/>
    <mergeCell ref="AK22"/>
    <mergeCell ref="AK21"/>
    <mergeCell ref="AK26"/>
    <mergeCell ref="AK25"/>
    <mergeCell ref="AK24"/>
    <mergeCell ref="AK29"/>
    <mergeCell ref="AK28"/>
    <mergeCell ref="AK27"/>
    <mergeCell ref="AK32"/>
    <mergeCell ref="AK31"/>
    <mergeCell ref="AK30"/>
    <mergeCell ref="AK35"/>
    <mergeCell ref="AK34"/>
    <mergeCell ref="AK33"/>
    <mergeCell ref="AK38"/>
    <mergeCell ref="AK37"/>
    <mergeCell ref="AK36"/>
    <mergeCell ref="AK41"/>
    <mergeCell ref="AK40"/>
    <mergeCell ref="AK412"/>
    <mergeCell ref="AK199"/>
    <mergeCell ref="AK411"/>
    <mergeCell ref="AK198"/>
    <mergeCell ref="AK410"/>
    <mergeCell ref="AK197"/>
    <mergeCell ref="AK415"/>
    <mergeCell ref="AK202"/>
    <mergeCell ref="AK414"/>
    <mergeCell ref="AK201"/>
    <mergeCell ref="AK413"/>
    <mergeCell ref="AK200"/>
    <mergeCell ref="AK418"/>
    <mergeCell ref="AK205"/>
    <mergeCell ref="AK417"/>
    <mergeCell ref="AK204"/>
    <mergeCell ref="AK416"/>
    <mergeCell ref="AK203"/>
    <mergeCell ref="AK296"/>
    <mergeCell ref="AK83"/>
    <mergeCell ref="AK425"/>
    <mergeCell ref="AK212"/>
    <mergeCell ref="AK424"/>
    <mergeCell ref="AK211"/>
    <mergeCell ref="AK423"/>
    <mergeCell ref="AK210"/>
    <mergeCell ref="AK422"/>
    <mergeCell ref="AK209"/>
    <mergeCell ref="AK421"/>
    <mergeCell ref="AK208"/>
    <mergeCell ref="AK420"/>
    <mergeCell ref="AK207"/>
    <mergeCell ref="AK419"/>
    <mergeCell ref="AK206"/>
    <mergeCell ref="AK299"/>
    <mergeCell ref="AK86"/>
    <mergeCell ref="AK298"/>
    <mergeCell ref="AK85"/>
    <mergeCell ref="AK297"/>
    <mergeCell ref="AK84"/>
    <mergeCell ref="AK302"/>
    <mergeCell ref="AK89"/>
    <mergeCell ref="AK400"/>
    <mergeCell ref="AK187"/>
    <mergeCell ref="AK399"/>
    <mergeCell ref="AK186"/>
    <mergeCell ref="AK398"/>
    <mergeCell ref="AK185"/>
    <mergeCell ref="AK403"/>
    <mergeCell ref="AK190"/>
    <mergeCell ref="AK402"/>
    <mergeCell ref="AK189"/>
    <mergeCell ref="AK401"/>
    <mergeCell ref="AK188"/>
    <mergeCell ref="AK406"/>
    <mergeCell ref="AK193"/>
    <mergeCell ref="AK405"/>
    <mergeCell ref="AK192"/>
    <mergeCell ref="AK404"/>
    <mergeCell ref="AK191"/>
    <mergeCell ref="AK409"/>
    <mergeCell ref="AK196"/>
    <mergeCell ref="AK408"/>
    <mergeCell ref="AK195"/>
    <mergeCell ref="AL362"/>
    <mergeCell ref="AL361"/>
    <mergeCell ref="AL360"/>
    <mergeCell ref="AL344"/>
    <mergeCell ref="AL343"/>
    <mergeCell ref="AL342"/>
    <mergeCell ref="AL347"/>
    <mergeCell ref="AL346"/>
    <mergeCell ref="AL345"/>
    <mergeCell ref="AL350"/>
    <mergeCell ref="AL349"/>
    <mergeCell ref="AL348"/>
    <mergeCell ref="AL353"/>
    <mergeCell ref="AL352"/>
    <mergeCell ref="AL351"/>
    <mergeCell ref="AL332"/>
    <mergeCell ref="AL331"/>
    <mergeCell ref="AL330"/>
    <mergeCell ref="AL335"/>
    <mergeCell ref="AL334"/>
    <mergeCell ref="AK407"/>
    <mergeCell ref="AK194"/>
    <mergeCell ref="AK388"/>
    <mergeCell ref="AK175"/>
    <mergeCell ref="AK387"/>
    <mergeCell ref="AK174"/>
    <mergeCell ref="AK386"/>
    <mergeCell ref="AK173"/>
    <mergeCell ref="AK391"/>
    <mergeCell ref="AK178"/>
    <mergeCell ref="AK390"/>
    <mergeCell ref="AK177"/>
    <mergeCell ref="AK389"/>
    <mergeCell ref="AK176"/>
    <mergeCell ref="AK394"/>
    <mergeCell ref="AK181"/>
    <mergeCell ref="AK393"/>
    <mergeCell ref="AK180"/>
    <mergeCell ref="AK392"/>
    <mergeCell ref="AK179"/>
    <mergeCell ref="AK397"/>
    <mergeCell ref="AK184"/>
    <mergeCell ref="AK396"/>
    <mergeCell ref="AK183"/>
    <mergeCell ref="AK395"/>
    <mergeCell ref="AK182"/>
    <mergeCell ref="AK376"/>
    <mergeCell ref="AK375"/>
    <mergeCell ref="AK374"/>
    <mergeCell ref="AK379"/>
    <mergeCell ref="AK378"/>
    <mergeCell ref="AK377"/>
    <mergeCell ref="AK382"/>
    <mergeCell ref="AK381"/>
    <mergeCell ref="AK380"/>
    <mergeCell ref="AK385"/>
    <mergeCell ref="AK384"/>
    <mergeCell ref="AK383"/>
    <mergeCell ref="AK330"/>
    <mergeCell ref="AK335"/>
    <mergeCell ref="AK334"/>
    <mergeCell ref="AK333"/>
    <mergeCell ref="AK309"/>
    <mergeCell ref="AK314"/>
    <mergeCell ref="AK367"/>
    <mergeCell ref="AK154"/>
    <mergeCell ref="AK366"/>
    <mergeCell ref="AK153"/>
    <mergeCell ref="AK365"/>
    <mergeCell ref="AK152"/>
    <mergeCell ref="AK370"/>
    <mergeCell ref="AK157"/>
    <mergeCell ref="AK369"/>
    <mergeCell ref="AK156"/>
    <mergeCell ref="AK368"/>
    <mergeCell ref="AK155"/>
    <mergeCell ref="AK373"/>
    <mergeCell ref="AK160"/>
    <mergeCell ref="AK372"/>
    <mergeCell ref="AK159"/>
    <mergeCell ref="AK371"/>
    <mergeCell ref="AK158"/>
    <mergeCell ref="AK301"/>
    <mergeCell ref="AK88"/>
    <mergeCell ref="AK300"/>
    <mergeCell ref="AK87"/>
    <mergeCell ref="AK305"/>
    <mergeCell ref="AK92"/>
    <mergeCell ref="AK304"/>
    <mergeCell ref="AK91"/>
    <mergeCell ref="AK303"/>
    <mergeCell ref="AK90"/>
    <mergeCell ref="AK308"/>
    <mergeCell ref="AK95"/>
    <mergeCell ref="AK307"/>
    <mergeCell ref="AK94"/>
    <mergeCell ref="AK306"/>
    <mergeCell ref="AK93"/>
    <mergeCell ref="AK311"/>
    <mergeCell ref="AK98"/>
    <mergeCell ref="AK310"/>
    <mergeCell ref="AK163"/>
    <mergeCell ref="AK162"/>
    <mergeCell ref="AK161"/>
    <mergeCell ref="AK166"/>
    <mergeCell ref="AK165"/>
    <mergeCell ref="AK164"/>
    <mergeCell ref="AK169"/>
    <mergeCell ref="AK168"/>
    <mergeCell ref="AK167"/>
    <mergeCell ref="AK172"/>
    <mergeCell ref="AK171"/>
    <mergeCell ref="AK170"/>
    <mergeCell ref="AK117"/>
    <mergeCell ref="AK122"/>
    <mergeCell ref="AK121"/>
    <mergeCell ref="AK120"/>
    <mergeCell ref="AK97"/>
    <mergeCell ref="AK96"/>
    <mergeCell ref="AK101"/>
    <mergeCell ref="AK313"/>
    <mergeCell ref="AK100"/>
    <mergeCell ref="AK312"/>
    <mergeCell ref="AK99"/>
    <mergeCell ref="AK317"/>
    <mergeCell ref="AK104"/>
    <mergeCell ref="AK316"/>
    <mergeCell ref="AK103"/>
    <mergeCell ref="AL68"/>
    <mergeCell ref="AL280"/>
    <mergeCell ref="AL67"/>
    <mergeCell ref="AL279"/>
    <mergeCell ref="AL66"/>
    <mergeCell ref="AL284"/>
    <mergeCell ref="AL71"/>
    <mergeCell ref="AL283"/>
    <mergeCell ref="AL70"/>
    <mergeCell ref="AL282"/>
    <mergeCell ref="AL69"/>
    <mergeCell ref="AL287"/>
    <mergeCell ref="AL74"/>
    <mergeCell ref="AL286"/>
    <mergeCell ref="AL73"/>
    <mergeCell ref="AL285"/>
    <mergeCell ref="AL72"/>
    <mergeCell ref="AL290"/>
    <mergeCell ref="AL77"/>
    <mergeCell ref="AL289"/>
    <mergeCell ref="AL76"/>
    <mergeCell ref="AL288"/>
    <mergeCell ref="AL75"/>
    <mergeCell ref="AL269"/>
    <mergeCell ref="AL56"/>
    <mergeCell ref="AL268"/>
    <mergeCell ref="AL55"/>
    <mergeCell ref="AL267"/>
    <mergeCell ref="AL54"/>
    <mergeCell ref="AL272"/>
    <mergeCell ref="AL59"/>
    <mergeCell ref="AL271"/>
    <mergeCell ref="AL58"/>
    <mergeCell ref="AL270"/>
    <mergeCell ref="AL57"/>
    <mergeCell ref="AL275"/>
    <mergeCell ref="AL62"/>
    <mergeCell ref="AL274"/>
    <mergeCell ref="AL61"/>
    <mergeCell ref="AL273"/>
    <mergeCell ref="AL60"/>
    <mergeCell ref="AL278"/>
    <mergeCell ref="AL65"/>
    <mergeCell ref="AL277"/>
    <mergeCell ref="AL64"/>
    <mergeCell ref="AL276"/>
    <mergeCell ref="AL63"/>
    <mergeCell ref="AL257"/>
    <mergeCell ref="AL119"/>
    <mergeCell ref="AL118"/>
    <mergeCell ref="AL117"/>
    <mergeCell ref="AL122"/>
    <mergeCell ref="AL121"/>
    <mergeCell ref="AL80"/>
    <mergeCell ref="AL79"/>
    <mergeCell ref="AL78"/>
    <mergeCell ref="AL281"/>
    <mergeCell ref="AL44"/>
    <mergeCell ref="AL256"/>
    <mergeCell ref="AL43"/>
    <mergeCell ref="AL255"/>
    <mergeCell ref="AL42"/>
    <mergeCell ref="AL260"/>
    <mergeCell ref="AL47"/>
    <mergeCell ref="AL259"/>
    <mergeCell ref="AL46"/>
    <mergeCell ref="AL258"/>
    <mergeCell ref="AL45"/>
    <mergeCell ref="AL263"/>
    <mergeCell ref="AL50"/>
    <mergeCell ref="AL262"/>
    <mergeCell ref="AL49"/>
    <mergeCell ref="AL261"/>
    <mergeCell ref="AL48"/>
    <mergeCell ref="AL266"/>
    <mergeCell ref="AL53"/>
    <mergeCell ref="AL265"/>
    <mergeCell ref="AL52"/>
    <mergeCell ref="AL264"/>
    <mergeCell ref="AL51"/>
    <mergeCell ref="AL241"/>
    <mergeCell ref="AL28"/>
    <mergeCell ref="AL240"/>
    <mergeCell ref="AL27"/>
    <mergeCell ref="AL245"/>
    <mergeCell ref="AL32"/>
    <mergeCell ref="AL244"/>
    <mergeCell ref="AL31"/>
    <mergeCell ref="AL243"/>
    <mergeCell ref="AL30"/>
    <mergeCell ref="AL248"/>
    <mergeCell ref="AL35"/>
    <mergeCell ref="AL247"/>
    <mergeCell ref="AL34"/>
    <mergeCell ref="AL246"/>
    <mergeCell ref="AL33"/>
    <mergeCell ref="AL251"/>
    <mergeCell ref="AL38"/>
    <mergeCell ref="AL250"/>
    <mergeCell ref="AL37"/>
    <mergeCell ref="AL249"/>
    <mergeCell ref="AL36"/>
    <mergeCell ref="AL254"/>
    <mergeCell ref="AL41"/>
    <mergeCell ref="AL253"/>
    <mergeCell ref="AL40"/>
    <mergeCell ref="AL252"/>
    <mergeCell ref="AL39"/>
    <mergeCell ref="AL216"/>
    <mergeCell ref="AL131"/>
    <mergeCell ref="AL130"/>
    <mergeCell ref="AL129"/>
    <mergeCell ref="AL134"/>
    <mergeCell ref="AL133"/>
    <mergeCell ref="AL132"/>
    <mergeCell ref="AL137"/>
    <mergeCell ref="AL136"/>
    <mergeCell ref="AL135"/>
    <mergeCell ref="AL140"/>
    <mergeCell ref="AL139"/>
    <mergeCell ref="AL138"/>
    <mergeCell ref="AL3"/>
    <mergeCell ref="AL221"/>
    <mergeCell ref="AL8"/>
    <mergeCell ref="AL220"/>
    <mergeCell ref="AL7"/>
    <mergeCell ref="AL219"/>
    <mergeCell ref="AL6"/>
    <mergeCell ref="AL224"/>
    <mergeCell ref="AL11"/>
    <mergeCell ref="AL223"/>
    <mergeCell ref="AL10"/>
    <mergeCell ref="AL222"/>
    <mergeCell ref="AL9"/>
    <mergeCell ref="AL227"/>
    <mergeCell ref="AL14"/>
    <mergeCell ref="AL226"/>
    <mergeCell ref="AL13"/>
    <mergeCell ref="AL225"/>
    <mergeCell ref="AL12"/>
    <mergeCell ref="AL230"/>
    <mergeCell ref="AL17"/>
    <mergeCell ref="AL229"/>
    <mergeCell ref="AL16"/>
    <mergeCell ref="AL228"/>
    <mergeCell ref="AL15"/>
    <mergeCell ref="AL356"/>
    <mergeCell ref="AL143"/>
    <mergeCell ref="AL355"/>
    <mergeCell ref="AL142"/>
    <mergeCell ref="AL354"/>
    <mergeCell ref="AL141"/>
    <mergeCell ref="AL359"/>
    <mergeCell ref="AL146"/>
    <mergeCell ref="AL358"/>
    <mergeCell ref="AL145"/>
    <mergeCell ref="AL357"/>
    <mergeCell ref="AL144"/>
    <mergeCell ref="AL149"/>
    <mergeCell ref="AL148"/>
    <mergeCell ref="AL147"/>
    <mergeCell ref="AL218"/>
    <mergeCell ref="AL5"/>
    <mergeCell ref="AL217"/>
    <mergeCell ref="AL4"/>
    <mergeCell ref="AL233"/>
    <mergeCell ref="AL20"/>
    <mergeCell ref="AL232"/>
    <mergeCell ref="AL19"/>
    <mergeCell ref="AL231"/>
    <mergeCell ref="AL18"/>
    <mergeCell ref="AL236"/>
    <mergeCell ref="AL23"/>
    <mergeCell ref="AL235"/>
    <mergeCell ref="AL22"/>
    <mergeCell ref="AL234"/>
    <mergeCell ref="AL21"/>
    <mergeCell ref="AL239"/>
    <mergeCell ref="AL26"/>
    <mergeCell ref="AL238"/>
    <mergeCell ref="AL25"/>
    <mergeCell ref="AL237"/>
    <mergeCell ref="AL24"/>
    <mergeCell ref="AL242"/>
    <mergeCell ref="AL29"/>
    <mergeCell ref="AL320"/>
    <mergeCell ref="AL107"/>
    <mergeCell ref="AL319"/>
    <mergeCell ref="AL106"/>
    <mergeCell ref="AL318"/>
    <mergeCell ref="AL105"/>
    <mergeCell ref="AL323"/>
    <mergeCell ref="AL110"/>
    <mergeCell ref="AL322"/>
    <mergeCell ref="AL109"/>
    <mergeCell ref="AL321"/>
    <mergeCell ref="AL108"/>
    <mergeCell ref="AL326"/>
    <mergeCell ref="AL113"/>
    <mergeCell ref="AL325"/>
    <mergeCell ref="AL112"/>
    <mergeCell ref="AL324"/>
    <mergeCell ref="AL111"/>
    <mergeCell ref="AL329"/>
    <mergeCell ref="AL116"/>
    <mergeCell ref="AL328"/>
    <mergeCell ref="AL115"/>
    <mergeCell ref="AL327"/>
    <mergeCell ref="AL114"/>
    <mergeCell ref="AL157"/>
    <mergeCell ref="AL156"/>
    <mergeCell ref="AL155"/>
    <mergeCell ref="AL160"/>
    <mergeCell ref="AL159"/>
    <mergeCell ref="AL158"/>
    <mergeCell ref="AL163"/>
    <mergeCell ref="AL162"/>
    <mergeCell ref="AL161"/>
    <mergeCell ref="AL166"/>
    <mergeCell ref="AL165"/>
    <mergeCell ref="AL164"/>
    <mergeCell ref="AL154"/>
    <mergeCell ref="AL153"/>
    <mergeCell ref="AL293"/>
    <mergeCell ref="AL292"/>
    <mergeCell ref="AL291"/>
    <mergeCell ref="AL418"/>
    <mergeCell ref="AL205"/>
    <mergeCell ref="AL417"/>
    <mergeCell ref="AL204"/>
    <mergeCell ref="AL416"/>
    <mergeCell ref="AL203"/>
    <mergeCell ref="AL296"/>
    <mergeCell ref="AL83"/>
    <mergeCell ref="AL425"/>
    <mergeCell ref="AL212"/>
    <mergeCell ref="AL424"/>
    <mergeCell ref="AL211"/>
    <mergeCell ref="AL423"/>
    <mergeCell ref="AL210"/>
    <mergeCell ref="AL422"/>
    <mergeCell ref="AL209"/>
    <mergeCell ref="AL421"/>
    <mergeCell ref="AL208"/>
    <mergeCell ref="AL420"/>
    <mergeCell ref="AL207"/>
    <mergeCell ref="AL419"/>
    <mergeCell ref="AL206"/>
    <mergeCell ref="AL299"/>
    <mergeCell ref="AL86"/>
    <mergeCell ref="AL298"/>
    <mergeCell ref="AL85"/>
    <mergeCell ref="AL297"/>
    <mergeCell ref="AL84"/>
    <mergeCell ref="AL302"/>
    <mergeCell ref="AL89"/>
    <mergeCell ref="AL301"/>
    <mergeCell ref="AL88"/>
    <mergeCell ref="AL300"/>
    <mergeCell ref="AL87"/>
    <mergeCell ref="AL305"/>
    <mergeCell ref="AL92"/>
    <mergeCell ref="AL304"/>
    <mergeCell ref="AL91"/>
    <mergeCell ref="AL303"/>
    <mergeCell ref="AL90"/>
    <mergeCell ref="AL308"/>
    <mergeCell ref="AL95"/>
    <mergeCell ref="AL406"/>
    <mergeCell ref="AL193"/>
    <mergeCell ref="AL405"/>
    <mergeCell ref="AL192"/>
    <mergeCell ref="AL404"/>
    <mergeCell ref="AL191"/>
    <mergeCell ref="AL409"/>
    <mergeCell ref="AL196"/>
    <mergeCell ref="AL408"/>
    <mergeCell ref="AL195"/>
    <mergeCell ref="AL407"/>
    <mergeCell ref="AL194"/>
    <mergeCell ref="AL412"/>
    <mergeCell ref="AL199"/>
    <mergeCell ref="AL411"/>
    <mergeCell ref="AL198"/>
    <mergeCell ref="AL410"/>
    <mergeCell ref="AL197"/>
    <mergeCell ref="AL415"/>
    <mergeCell ref="AL202"/>
    <mergeCell ref="AL414"/>
    <mergeCell ref="AL201"/>
    <mergeCell ref="AL413"/>
    <mergeCell ref="AL200"/>
    <mergeCell ref="AL394"/>
    <mergeCell ref="AL181"/>
    <mergeCell ref="AL393"/>
    <mergeCell ref="AL180"/>
    <mergeCell ref="AL392"/>
    <mergeCell ref="AL179"/>
    <mergeCell ref="AL397"/>
    <mergeCell ref="AL184"/>
    <mergeCell ref="AL396"/>
    <mergeCell ref="AL183"/>
    <mergeCell ref="AL395"/>
    <mergeCell ref="AL182"/>
    <mergeCell ref="AL400"/>
    <mergeCell ref="AL187"/>
    <mergeCell ref="AL399"/>
    <mergeCell ref="AL186"/>
    <mergeCell ref="AL398"/>
    <mergeCell ref="AL185"/>
    <mergeCell ref="AL403"/>
    <mergeCell ref="AL190"/>
    <mergeCell ref="AL402"/>
    <mergeCell ref="AL189"/>
    <mergeCell ref="AL401"/>
    <mergeCell ref="AL188"/>
    <mergeCell ref="AL382"/>
    <mergeCell ref="AL169"/>
    <mergeCell ref="AL381"/>
    <mergeCell ref="AL168"/>
    <mergeCell ref="AL380"/>
    <mergeCell ref="AL167"/>
    <mergeCell ref="AL385"/>
    <mergeCell ref="AL172"/>
    <mergeCell ref="AL384"/>
    <mergeCell ref="AL171"/>
    <mergeCell ref="AL383"/>
    <mergeCell ref="AL170"/>
    <mergeCell ref="AL388"/>
    <mergeCell ref="AL175"/>
    <mergeCell ref="AL387"/>
    <mergeCell ref="AL174"/>
    <mergeCell ref="AL386"/>
    <mergeCell ref="AL173"/>
    <mergeCell ref="AL391"/>
    <mergeCell ref="AL178"/>
    <mergeCell ref="AL390"/>
    <mergeCell ref="AL177"/>
    <mergeCell ref="AL389"/>
    <mergeCell ref="AL176"/>
    <mergeCell ref="AL370"/>
    <mergeCell ref="AL369"/>
    <mergeCell ref="AL368"/>
    <mergeCell ref="AL373"/>
    <mergeCell ref="AL372"/>
    <mergeCell ref="AL371"/>
    <mergeCell ref="AL376"/>
    <mergeCell ref="AL375"/>
    <mergeCell ref="AL374"/>
    <mergeCell ref="AL379"/>
    <mergeCell ref="AL378"/>
    <mergeCell ref="AL377"/>
    <mergeCell ref="AL367"/>
    <mergeCell ref="AL366"/>
    <mergeCell ref="AL365"/>
    <mergeCell ref="AL152"/>
    <mergeCell ref="AL307"/>
    <mergeCell ref="AL94"/>
    <mergeCell ref="AL306"/>
    <mergeCell ref="AL93"/>
    <mergeCell ref="AL311"/>
    <mergeCell ref="AL98"/>
    <mergeCell ref="AL310"/>
    <mergeCell ref="AL97"/>
    <mergeCell ref="AL309"/>
    <mergeCell ref="AL96"/>
    <mergeCell ref="AL314"/>
    <mergeCell ref="AL101"/>
    <mergeCell ref="AL313"/>
    <mergeCell ref="AL100"/>
    <mergeCell ref="AL312"/>
    <mergeCell ref="AL99"/>
    <mergeCell ref="AL317"/>
    <mergeCell ref="AL104"/>
    <mergeCell ref="AL316"/>
    <mergeCell ref="AL103"/>
    <mergeCell ref="AM293"/>
    <mergeCell ref="AM80"/>
    <mergeCell ref="AM292"/>
    <mergeCell ref="AM79"/>
    <mergeCell ref="AM291"/>
    <mergeCell ref="AM78"/>
    <mergeCell ref="AM281"/>
    <mergeCell ref="AM68"/>
    <mergeCell ref="AM280"/>
    <mergeCell ref="AM67"/>
    <mergeCell ref="AM279"/>
    <mergeCell ref="AM327"/>
    <mergeCell ref="AM332"/>
    <mergeCell ref="AM331"/>
    <mergeCell ref="AM330"/>
    <mergeCell ref="AM310"/>
    <mergeCell ref="AM309"/>
    <mergeCell ref="AM314"/>
    <mergeCell ref="AM313"/>
    <mergeCell ref="AM312"/>
    <mergeCell ref="AM317"/>
    <mergeCell ref="AM316"/>
    <mergeCell ref="AM315"/>
    <mergeCell ref="AM320"/>
    <mergeCell ref="AM319"/>
    <mergeCell ref="AM318"/>
    <mergeCell ref="AL333"/>
    <mergeCell ref="AL120"/>
    <mergeCell ref="AL338"/>
    <mergeCell ref="AL125"/>
    <mergeCell ref="AL337"/>
    <mergeCell ref="AL124"/>
    <mergeCell ref="AL336"/>
    <mergeCell ref="AL123"/>
    <mergeCell ref="AL341"/>
    <mergeCell ref="AL128"/>
    <mergeCell ref="AL340"/>
    <mergeCell ref="AL127"/>
    <mergeCell ref="AL339"/>
    <mergeCell ref="AL126"/>
    <mergeCell ref="AL315"/>
    <mergeCell ref="AL102"/>
    <mergeCell ref="AM66"/>
    <mergeCell ref="AM284"/>
    <mergeCell ref="AM71"/>
    <mergeCell ref="AM283"/>
    <mergeCell ref="AM70"/>
    <mergeCell ref="AM282"/>
    <mergeCell ref="AM69"/>
    <mergeCell ref="AM287"/>
    <mergeCell ref="AM74"/>
    <mergeCell ref="AM286"/>
    <mergeCell ref="AM73"/>
    <mergeCell ref="AM285"/>
    <mergeCell ref="AM72"/>
    <mergeCell ref="AM290"/>
    <mergeCell ref="AM77"/>
    <mergeCell ref="AM289"/>
    <mergeCell ref="AM76"/>
    <mergeCell ref="AM288"/>
    <mergeCell ref="AM75"/>
    <mergeCell ref="AM269"/>
    <mergeCell ref="AM56"/>
    <mergeCell ref="AM268"/>
    <mergeCell ref="AM55"/>
    <mergeCell ref="AM267"/>
    <mergeCell ref="AM54"/>
    <mergeCell ref="AM272"/>
    <mergeCell ref="AM59"/>
    <mergeCell ref="AM271"/>
    <mergeCell ref="AM58"/>
    <mergeCell ref="AM270"/>
    <mergeCell ref="AM57"/>
    <mergeCell ref="AM275"/>
    <mergeCell ref="AM62"/>
    <mergeCell ref="AM274"/>
    <mergeCell ref="AM61"/>
    <mergeCell ref="AM273"/>
    <mergeCell ref="AM60"/>
    <mergeCell ref="AM278"/>
    <mergeCell ref="AM65"/>
    <mergeCell ref="AM277"/>
    <mergeCell ref="AM64"/>
    <mergeCell ref="AM276"/>
    <mergeCell ref="AM63"/>
    <mergeCell ref="AM257"/>
    <mergeCell ref="AM105"/>
    <mergeCell ref="AM44"/>
    <mergeCell ref="AM256"/>
    <mergeCell ref="AM43"/>
    <mergeCell ref="AM255"/>
    <mergeCell ref="AM42"/>
    <mergeCell ref="AM260"/>
    <mergeCell ref="AM47"/>
    <mergeCell ref="AM259"/>
    <mergeCell ref="AM46"/>
    <mergeCell ref="AM258"/>
    <mergeCell ref="AM45"/>
    <mergeCell ref="AM263"/>
    <mergeCell ref="AM50"/>
    <mergeCell ref="AM262"/>
    <mergeCell ref="AM49"/>
    <mergeCell ref="AM261"/>
    <mergeCell ref="AM48"/>
    <mergeCell ref="AM266"/>
    <mergeCell ref="AM53"/>
    <mergeCell ref="AM265"/>
    <mergeCell ref="AM52"/>
    <mergeCell ref="AM264"/>
    <mergeCell ref="AM51"/>
    <mergeCell ref="AM245"/>
    <mergeCell ref="AM32"/>
    <mergeCell ref="AM244"/>
    <mergeCell ref="AM31"/>
    <mergeCell ref="AM243"/>
    <mergeCell ref="AM30"/>
    <mergeCell ref="AM248"/>
    <mergeCell ref="AM35"/>
    <mergeCell ref="AM247"/>
    <mergeCell ref="AM34"/>
    <mergeCell ref="AM246"/>
    <mergeCell ref="AM33"/>
    <mergeCell ref="AM251"/>
    <mergeCell ref="AM38"/>
    <mergeCell ref="AM250"/>
    <mergeCell ref="AM37"/>
    <mergeCell ref="AM249"/>
    <mergeCell ref="AM36"/>
    <mergeCell ref="AM254"/>
    <mergeCell ref="AM41"/>
    <mergeCell ref="AM253"/>
    <mergeCell ref="AM40"/>
    <mergeCell ref="AM252"/>
    <mergeCell ref="AM39"/>
    <mergeCell ref="AM233"/>
    <mergeCell ref="AM115"/>
    <mergeCell ref="AM114"/>
    <mergeCell ref="AM119"/>
    <mergeCell ref="AM118"/>
    <mergeCell ref="AM117"/>
    <mergeCell ref="AM98"/>
    <mergeCell ref="AM97"/>
    <mergeCell ref="AM96"/>
    <mergeCell ref="AM101"/>
    <mergeCell ref="AM100"/>
    <mergeCell ref="AM99"/>
    <mergeCell ref="AM104"/>
    <mergeCell ref="AM103"/>
    <mergeCell ref="AM102"/>
    <mergeCell ref="AM107"/>
    <mergeCell ref="AM106"/>
    <mergeCell ref="AM20"/>
    <mergeCell ref="AM232"/>
    <mergeCell ref="AM19"/>
    <mergeCell ref="AM231"/>
    <mergeCell ref="AM18"/>
    <mergeCell ref="AM236"/>
    <mergeCell ref="AM23"/>
    <mergeCell ref="AM235"/>
    <mergeCell ref="AM22"/>
    <mergeCell ref="AM234"/>
    <mergeCell ref="AM21"/>
    <mergeCell ref="AM239"/>
    <mergeCell ref="AM26"/>
    <mergeCell ref="AM238"/>
    <mergeCell ref="AM25"/>
    <mergeCell ref="AM237"/>
    <mergeCell ref="AM24"/>
    <mergeCell ref="AM242"/>
    <mergeCell ref="AM29"/>
    <mergeCell ref="AM241"/>
    <mergeCell ref="AM28"/>
    <mergeCell ref="AM240"/>
    <mergeCell ref="AM27"/>
    <mergeCell ref="AM359"/>
    <mergeCell ref="AM146"/>
    <mergeCell ref="AM358"/>
    <mergeCell ref="AM145"/>
    <mergeCell ref="AM357"/>
    <mergeCell ref="AM144"/>
    <mergeCell ref="AM362"/>
    <mergeCell ref="AM149"/>
    <mergeCell ref="AM361"/>
    <mergeCell ref="AM148"/>
    <mergeCell ref="AM360"/>
    <mergeCell ref="AM147"/>
    <mergeCell ref="AM218"/>
    <mergeCell ref="AM350"/>
    <mergeCell ref="AM349"/>
    <mergeCell ref="AM348"/>
    <mergeCell ref="AM353"/>
    <mergeCell ref="AM352"/>
    <mergeCell ref="AM351"/>
    <mergeCell ref="AM356"/>
    <mergeCell ref="AM355"/>
    <mergeCell ref="AM354"/>
    <mergeCell ref="AM343"/>
    <mergeCell ref="AM130"/>
    <mergeCell ref="AM342"/>
    <mergeCell ref="AM129"/>
    <mergeCell ref="AM323"/>
    <mergeCell ref="AM110"/>
    <mergeCell ref="AM322"/>
    <mergeCell ref="AM109"/>
    <mergeCell ref="AM321"/>
    <mergeCell ref="AM108"/>
    <mergeCell ref="AM326"/>
    <mergeCell ref="AM113"/>
    <mergeCell ref="AM325"/>
    <mergeCell ref="AM112"/>
    <mergeCell ref="AM324"/>
    <mergeCell ref="AM111"/>
    <mergeCell ref="AM329"/>
    <mergeCell ref="AM116"/>
    <mergeCell ref="AM328"/>
    <mergeCell ref="AM5"/>
    <mergeCell ref="AM217"/>
    <mergeCell ref="AM4"/>
    <mergeCell ref="AM216"/>
    <mergeCell ref="AM3"/>
    <mergeCell ref="AM221"/>
    <mergeCell ref="AM8"/>
    <mergeCell ref="AM220"/>
    <mergeCell ref="AM7"/>
    <mergeCell ref="AM219"/>
    <mergeCell ref="AM6"/>
    <mergeCell ref="AM224"/>
    <mergeCell ref="AM11"/>
    <mergeCell ref="AM223"/>
    <mergeCell ref="AM10"/>
    <mergeCell ref="AM222"/>
    <mergeCell ref="AM9"/>
    <mergeCell ref="AM227"/>
    <mergeCell ref="AM14"/>
    <mergeCell ref="AM226"/>
    <mergeCell ref="AM13"/>
    <mergeCell ref="AM225"/>
    <mergeCell ref="AM12"/>
    <mergeCell ref="AM230"/>
    <mergeCell ref="AM17"/>
    <mergeCell ref="AM229"/>
    <mergeCell ref="AM16"/>
    <mergeCell ref="AM228"/>
    <mergeCell ref="AM15"/>
    <mergeCell ref="AM347"/>
    <mergeCell ref="AM134"/>
    <mergeCell ref="AM346"/>
    <mergeCell ref="AM133"/>
    <mergeCell ref="AM345"/>
    <mergeCell ref="AM132"/>
    <mergeCell ref="AM137"/>
    <mergeCell ref="AM136"/>
    <mergeCell ref="AM135"/>
    <mergeCell ref="AM140"/>
    <mergeCell ref="AM139"/>
    <mergeCell ref="AM138"/>
    <mergeCell ref="AM143"/>
    <mergeCell ref="AM142"/>
    <mergeCell ref="AM141"/>
    <mergeCell ref="AM335"/>
    <mergeCell ref="AM122"/>
    <mergeCell ref="AM334"/>
    <mergeCell ref="AM121"/>
    <mergeCell ref="AM333"/>
    <mergeCell ref="AM120"/>
    <mergeCell ref="AM338"/>
    <mergeCell ref="AM125"/>
    <mergeCell ref="AM337"/>
    <mergeCell ref="AM124"/>
    <mergeCell ref="AM336"/>
    <mergeCell ref="AM123"/>
    <mergeCell ref="AM341"/>
    <mergeCell ref="AM128"/>
    <mergeCell ref="AM340"/>
    <mergeCell ref="AM127"/>
    <mergeCell ref="AM339"/>
    <mergeCell ref="AM126"/>
    <mergeCell ref="AM344"/>
    <mergeCell ref="AM131"/>
    <mergeCell ref="AM412"/>
    <mergeCell ref="AM199"/>
    <mergeCell ref="AM411"/>
    <mergeCell ref="AM198"/>
    <mergeCell ref="AM410"/>
    <mergeCell ref="AM197"/>
    <mergeCell ref="AM415"/>
    <mergeCell ref="AM202"/>
    <mergeCell ref="AM414"/>
    <mergeCell ref="AM201"/>
    <mergeCell ref="AM413"/>
    <mergeCell ref="AM200"/>
    <mergeCell ref="AM418"/>
    <mergeCell ref="AM205"/>
    <mergeCell ref="AM417"/>
    <mergeCell ref="AM204"/>
    <mergeCell ref="AM416"/>
    <mergeCell ref="AM203"/>
    <mergeCell ref="AM296"/>
    <mergeCell ref="AM83"/>
    <mergeCell ref="AM425"/>
    <mergeCell ref="AM212"/>
    <mergeCell ref="AM424"/>
    <mergeCell ref="AM211"/>
    <mergeCell ref="AM423"/>
    <mergeCell ref="AM210"/>
    <mergeCell ref="AM422"/>
    <mergeCell ref="AM209"/>
    <mergeCell ref="AM421"/>
    <mergeCell ref="AM208"/>
    <mergeCell ref="AM420"/>
    <mergeCell ref="AM207"/>
    <mergeCell ref="AM419"/>
    <mergeCell ref="AM206"/>
    <mergeCell ref="AM299"/>
    <mergeCell ref="AM86"/>
    <mergeCell ref="AM298"/>
    <mergeCell ref="AM85"/>
    <mergeCell ref="AM297"/>
    <mergeCell ref="AM84"/>
    <mergeCell ref="AM302"/>
    <mergeCell ref="AM89"/>
    <mergeCell ref="AM400"/>
    <mergeCell ref="AM187"/>
    <mergeCell ref="AM399"/>
    <mergeCell ref="AM186"/>
    <mergeCell ref="AM398"/>
    <mergeCell ref="AM185"/>
    <mergeCell ref="AM403"/>
    <mergeCell ref="AM190"/>
    <mergeCell ref="AM402"/>
    <mergeCell ref="AM189"/>
    <mergeCell ref="AM401"/>
    <mergeCell ref="AM188"/>
    <mergeCell ref="AM406"/>
    <mergeCell ref="AM193"/>
    <mergeCell ref="AM405"/>
    <mergeCell ref="AM192"/>
    <mergeCell ref="AM404"/>
    <mergeCell ref="AM191"/>
    <mergeCell ref="AM409"/>
    <mergeCell ref="AM196"/>
    <mergeCell ref="AM408"/>
    <mergeCell ref="AM195"/>
    <mergeCell ref="AM407"/>
    <mergeCell ref="AM194"/>
    <mergeCell ref="AM388"/>
    <mergeCell ref="AM175"/>
    <mergeCell ref="AM387"/>
    <mergeCell ref="AM174"/>
    <mergeCell ref="AM386"/>
    <mergeCell ref="AM173"/>
    <mergeCell ref="AM391"/>
    <mergeCell ref="AM178"/>
    <mergeCell ref="AM390"/>
    <mergeCell ref="AM177"/>
    <mergeCell ref="AM389"/>
    <mergeCell ref="AM176"/>
    <mergeCell ref="AM394"/>
    <mergeCell ref="AM181"/>
    <mergeCell ref="AM393"/>
    <mergeCell ref="AM180"/>
    <mergeCell ref="AM392"/>
    <mergeCell ref="AM179"/>
    <mergeCell ref="AM397"/>
    <mergeCell ref="AM184"/>
    <mergeCell ref="AM396"/>
    <mergeCell ref="AM183"/>
    <mergeCell ref="AM395"/>
    <mergeCell ref="AM182"/>
    <mergeCell ref="AM376"/>
    <mergeCell ref="AM163"/>
    <mergeCell ref="AM375"/>
    <mergeCell ref="AM162"/>
    <mergeCell ref="AM374"/>
    <mergeCell ref="AM161"/>
    <mergeCell ref="AM379"/>
    <mergeCell ref="AM166"/>
    <mergeCell ref="AM378"/>
    <mergeCell ref="AM165"/>
    <mergeCell ref="AM377"/>
    <mergeCell ref="AM164"/>
    <mergeCell ref="AM382"/>
    <mergeCell ref="AM169"/>
    <mergeCell ref="AM381"/>
    <mergeCell ref="AM168"/>
    <mergeCell ref="AM380"/>
    <mergeCell ref="AM167"/>
    <mergeCell ref="AM385"/>
    <mergeCell ref="AM172"/>
    <mergeCell ref="AM384"/>
    <mergeCell ref="AM171"/>
    <mergeCell ref="AM383"/>
    <mergeCell ref="AM170"/>
    <mergeCell ref="AN290"/>
    <mergeCell ref="AN77"/>
    <mergeCell ref="AN291"/>
    <mergeCell ref="AN78"/>
    <mergeCell ref="AM367"/>
    <mergeCell ref="AM154"/>
    <mergeCell ref="AM366"/>
    <mergeCell ref="AM153"/>
    <mergeCell ref="AM365"/>
    <mergeCell ref="AM152"/>
    <mergeCell ref="AM370"/>
    <mergeCell ref="AM157"/>
    <mergeCell ref="AM369"/>
    <mergeCell ref="AM156"/>
    <mergeCell ref="AM368"/>
    <mergeCell ref="AM155"/>
    <mergeCell ref="AM373"/>
    <mergeCell ref="AM160"/>
    <mergeCell ref="AM372"/>
    <mergeCell ref="AM159"/>
    <mergeCell ref="AM371"/>
    <mergeCell ref="AM158"/>
    <mergeCell ref="AM301"/>
    <mergeCell ref="AM88"/>
    <mergeCell ref="AM300"/>
    <mergeCell ref="AM87"/>
    <mergeCell ref="AM305"/>
    <mergeCell ref="AM92"/>
    <mergeCell ref="AM304"/>
    <mergeCell ref="AM91"/>
    <mergeCell ref="AM303"/>
    <mergeCell ref="AM90"/>
    <mergeCell ref="AM308"/>
    <mergeCell ref="AM95"/>
    <mergeCell ref="AM307"/>
    <mergeCell ref="AM94"/>
    <mergeCell ref="AM306"/>
    <mergeCell ref="AM93"/>
    <mergeCell ref="AM311"/>
    <mergeCell ref="AN280"/>
    <mergeCell ref="AN332"/>
    <mergeCell ref="AN333"/>
    <mergeCell ref="AN330"/>
    <mergeCell ref="AN331"/>
    <mergeCell ref="AN65"/>
    <mergeCell ref="AN279"/>
    <mergeCell ref="AN66"/>
    <mergeCell ref="AN284"/>
    <mergeCell ref="AN71"/>
    <mergeCell ref="AN285"/>
    <mergeCell ref="AN72"/>
    <mergeCell ref="AN282"/>
    <mergeCell ref="AN69"/>
    <mergeCell ref="AN283"/>
    <mergeCell ref="AN70"/>
    <mergeCell ref="AN288"/>
    <mergeCell ref="AN75"/>
    <mergeCell ref="AN289"/>
    <mergeCell ref="AN76"/>
    <mergeCell ref="AN286"/>
    <mergeCell ref="AN73"/>
    <mergeCell ref="AN287"/>
    <mergeCell ref="AN74"/>
    <mergeCell ref="AN268"/>
    <mergeCell ref="AN55"/>
    <mergeCell ref="AN269"/>
    <mergeCell ref="AN56"/>
    <mergeCell ref="AN266"/>
    <mergeCell ref="AN53"/>
    <mergeCell ref="AN267"/>
    <mergeCell ref="AN54"/>
    <mergeCell ref="AN272"/>
    <mergeCell ref="AN59"/>
    <mergeCell ref="AN273"/>
    <mergeCell ref="AN60"/>
    <mergeCell ref="AN270"/>
    <mergeCell ref="AN57"/>
    <mergeCell ref="AN271"/>
    <mergeCell ref="AN58"/>
    <mergeCell ref="AN276"/>
    <mergeCell ref="AN63"/>
    <mergeCell ref="AN277"/>
    <mergeCell ref="AN64"/>
    <mergeCell ref="AN274"/>
    <mergeCell ref="AN61"/>
    <mergeCell ref="AN275"/>
    <mergeCell ref="AN62"/>
    <mergeCell ref="AN256"/>
    <mergeCell ref="AN79"/>
    <mergeCell ref="AN80"/>
    <mergeCell ref="AN43"/>
    <mergeCell ref="AN257"/>
    <mergeCell ref="AN44"/>
    <mergeCell ref="AN254"/>
    <mergeCell ref="AN41"/>
    <mergeCell ref="AN255"/>
    <mergeCell ref="AN42"/>
    <mergeCell ref="AN260"/>
    <mergeCell ref="AN47"/>
    <mergeCell ref="AN261"/>
    <mergeCell ref="AN48"/>
    <mergeCell ref="AN258"/>
    <mergeCell ref="AN45"/>
    <mergeCell ref="AN259"/>
    <mergeCell ref="AN46"/>
    <mergeCell ref="AN264"/>
    <mergeCell ref="AN51"/>
    <mergeCell ref="AN265"/>
    <mergeCell ref="AN52"/>
    <mergeCell ref="AN262"/>
    <mergeCell ref="AN49"/>
    <mergeCell ref="AN263"/>
    <mergeCell ref="AN50"/>
    <mergeCell ref="AN245"/>
    <mergeCell ref="AN32"/>
    <mergeCell ref="AN242"/>
    <mergeCell ref="AN29"/>
    <mergeCell ref="AN243"/>
    <mergeCell ref="AN30"/>
    <mergeCell ref="AN248"/>
    <mergeCell ref="AN35"/>
    <mergeCell ref="AN249"/>
    <mergeCell ref="AN36"/>
    <mergeCell ref="AN246"/>
    <mergeCell ref="AN33"/>
    <mergeCell ref="AN247"/>
    <mergeCell ref="AN34"/>
    <mergeCell ref="AN252"/>
    <mergeCell ref="AN39"/>
    <mergeCell ref="AN253"/>
    <mergeCell ref="AN40"/>
    <mergeCell ref="AN250"/>
    <mergeCell ref="AN37"/>
    <mergeCell ref="AN251"/>
    <mergeCell ref="AN38"/>
    <mergeCell ref="AN233"/>
    <mergeCell ref="AN119"/>
    <mergeCell ref="AN120"/>
    <mergeCell ref="AN117"/>
    <mergeCell ref="AN118"/>
    <mergeCell ref="AN162"/>
    <mergeCell ref="AN163"/>
    <mergeCell ref="AN160"/>
    <mergeCell ref="AN161"/>
    <mergeCell ref="AN166"/>
    <mergeCell ref="AN167"/>
    <mergeCell ref="AN164"/>
    <mergeCell ref="AN165"/>
    <mergeCell ref="AN170"/>
    <mergeCell ref="AN171"/>
    <mergeCell ref="AN168"/>
    <mergeCell ref="AN169"/>
    <mergeCell ref="AN67"/>
    <mergeCell ref="AN68"/>
    <mergeCell ref="AN20"/>
    <mergeCell ref="AN230"/>
    <mergeCell ref="AN17"/>
    <mergeCell ref="AN231"/>
    <mergeCell ref="AN18"/>
    <mergeCell ref="AN236"/>
    <mergeCell ref="AN23"/>
    <mergeCell ref="AN237"/>
    <mergeCell ref="AN24"/>
    <mergeCell ref="AN234"/>
    <mergeCell ref="AN21"/>
    <mergeCell ref="AN235"/>
    <mergeCell ref="AN22"/>
    <mergeCell ref="AN240"/>
    <mergeCell ref="AN27"/>
    <mergeCell ref="AN241"/>
    <mergeCell ref="AN28"/>
    <mergeCell ref="AN238"/>
    <mergeCell ref="AN25"/>
    <mergeCell ref="AN239"/>
    <mergeCell ref="AN26"/>
    <mergeCell ref="AN244"/>
    <mergeCell ref="AN31"/>
    <mergeCell ref="AN216"/>
    <mergeCell ref="AN3"/>
    <mergeCell ref="AN217"/>
    <mergeCell ref="AN4"/>
    <mergeCell ref="AN362"/>
    <mergeCell ref="AN149"/>
    <mergeCell ref="AN360"/>
    <mergeCell ref="AN147"/>
    <mergeCell ref="AN361"/>
    <mergeCell ref="AN148"/>
    <mergeCell ref="AN358"/>
    <mergeCell ref="AN145"/>
    <mergeCell ref="AN359"/>
    <mergeCell ref="AN146"/>
    <mergeCell ref="AN356"/>
    <mergeCell ref="AN143"/>
    <mergeCell ref="AN220"/>
    <mergeCell ref="AN7"/>
    <mergeCell ref="AN221"/>
    <mergeCell ref="AN8"/>
    <mergeCell ref="AN218"/>
    <mergeCell ref="AN5"/>
    <mergeCell ref="AN219"/>
    <mergeCell ref="AN6"/>
    <mergeCell ref="AN224"/>
    <mergeCell ref="AN11"/>
    <mergeCell ref="AN225"/>
    <mergeCell ref="AN12"/>
    <mergeCell ref="AN222"/>
    <mergeCell ref="AN9"/>
    <mergeCell ref="AN223"/>
    <mergeCell ref="AN10"/>
    <mergeCell ref="AN228"/>
    <mergeCell ref="AN15"/>
    <mergeCell ref="AN229"/>
    <mergeCell ref="AN16"/>
    <mergeCell ref="AN226"/>
    <mergeCell ref="AN13"/>
    <mergeCell ref="AN227"/>
    <mergeCell ref="AN14"/>
    <mergeCell ref="AN232"/>
    <mergeCell ref="AN19"/>
    <mergeCell ref="AN348"/>
    <mergeCell ref="AN135"/>
    <mergeCell ref="AN349"/>
    <mergeCell ref="AN136"/>
    <mergeCell ref="AN346"/>
    <mergeCell ref="AN133"/>
    <mergeCell ref="AN347"/>
    <mergeCell ref="AN134"/>
    <mergeCell ref="AN352"/>
    <mergeCell ref="AN139"/>
    <mergeCell ref="AN353"/>
    <mergeCell ref="AN140"/>
    <mergeCell ref="AN350"/>
    <mergeCell ref="AN137"/>
    <mergeCell ref="AN351"/>
    <mergeCell ref="AN138"/>
    <mergeCell ref="AN357"/>
    <mergeCell ref="AN144"/>
    <mergeCell ref="AN354"/>
    <mergeCell ref="AN141"/>
    <mergeCell ref="AN355"/>
    <mergeCell ref="AN142"/>
    <mergeCell ref="AN336"/>
    <mergeCell ref="AN123"/>
    <mergeCell ref="AN337"/>
    <mergeCell ref="AN124"/>
    <mergeCell ref="AN334"/>
    <mergeCell ref="AN121"/>
    <mergeCell ref="AN335"/>
    <mergeCell ref="AN122"/>
    <mergeCell ref="AN340"/>
    <mergeCell ref="AN127"/>
    <mergeCell ref="AN341"/>
    <mergeCell ref="AN128"/>
    <mergeCell ref="AN338"/>
    <mergeCell ref="AN125"/>
    <mergeCell ref="AN339"/>
    <mergeCell ref="AN126"/>
    <mergeCell ref="AN344"/>
    <mergeCell ref="AN131"/>
    <mergeCell ref="AN345"/>
    <mergeCell ref="AN132"/>
    <mergeCell ref="AN342"/>
    <mergeCell ref="AN129"/>
    <mergeCell ref="AN343"/>
    <mergeCell ref="AN130"/>
    <mergeCell ref="AN106"/>
    <mergeCell ref="AN324"/>
    <mergeCell ref="AN111"/>
    <mergeCell ref="AN325"/>
    <mergeCell ref="AN112"/>
    <mergeCell ref="AN322"/>
    <mergeCell ref="AN109"/>
    <mergeCell ref="AN323"/>
    <mergeCell ref="AN110"/>
    <mergeCell ref="AN328"/>
    <mergeCell ref="AN115"/>
    <mergeCell ref="AN329"/>
    <mergeCell ref="AN116"/>
    <mergeCell ref="AN326"/>
    <mergeCell ref="AN113"/>
    <mergeCell ref="AN327"/>
    <mergeCell ref="AN114"/>
    <mergeCell ref="AN425"/>
    <mergeCell ref="AN212"/>
    <mergeCell ref="AN423"/>
    <mergeCell ref="AN210"/>
    <mergeCell ref="AN424"/>
    <mergeCell ref="AN211"/>
    <mergeCell ref="AN421"/>
    <mergeCell ref="AN208"/>
    <mergeCell ref="AN422"/>
    <mergeCell ref="AN209"/>
    <mergeCell ref="AN419"/>
    <mergeCell ref="AN206"/>
    <mergeCell ref="AN300"/>
    <mergeCell ref="AN87"/>
    <mergeCell ref="AN301"/>
    <mergeCell ref="AN88"/>
    <mergeCell ref="AN298"/>
    <mergeCell ref="AN85"/>
    <mergeCell ref="AN299"/>
    <mergeCell ref="AN86"/>
    <mergeCell ref="AN304"/>
    <mergeCell ref="AN91"/>
    <mergeCell ref="AN305"/>
    <mergeCell ref="AN92"/>
    <mergeCell ref="AN302"/>
    <mergeCell ref="AN89"/>
    <mergeCell ref="AN303"/>
    <mergeCell ref="AN90"/>
    <mergeCell ref="AN308"/>
    <mergeCell ref="AN95"/>
    <mergeCell ref="AN309"/>
    <mergeCell ref="AN96"/>
    <mergeCell ref="AN306"/>
    <mergeCell ref="AN93"/>
    <mergeCell ref="AN307"/>
    <mergeCell ref="AN94"/>
    <mergeCell ref="AN312"/>
    <mergeCell ref="AN99"/>
    <mergeCell ref="AN313"/>
    <mergeCell ref="AN100"/>
    <mergeCell ref="AN310"/>
    <mergeCell ref="AN97"/>
    <mergeCell ref="AN411"/>
    <mergeCell ref="AN198"/>
    <mergeCell ref="AN412"/>
    <mergeCell ref="AN199"/>
    <mergeCell ref="AN409"/>
    <mergeCell ref="AN196"/>
    <mergeCell ref="AN410"/>
    <mergeCell ref="AN197"/>
    <mergeCell ref="AN415"/>
    <mergeCell ref="AN202"/>
    <mergeCell ref="AN416"/>
    <mergeCell ref="AN203"/>
    <mergeCell ref="AN413"/>
    <mergeCell ref="AN200"/>
    <mergeCell ref="AN414"/>
    <mergeCell ref="AN201"/>
    <mergeCell ref="AN420"/>
    <mergeCell ref="AN207"/>
    <mergeCell ref="AN417"/>
    <mergeCell ref="AN204"/>
    <mergeCell ref="AN418"/>
    <mergeCell ref="AN205"/>
    <mergeCell ref="AN399"/>
    <mergeCell ref="AN186"/>
    <mergeCell ref="AN400"/>
    <mergeCell ref="AN187"/>
    <mergeCell ref="AN397"/>
    <mergeCell ref="AN184"/>
    <mergeCell ref="AN398"/>
    <mergeCell ref="AN185"/>
    <mergeCell ref="AN403"/>
    <mergeCell ref="AN190"/>
    <mergeCell ref="AN404"/>
    <mergeCell ref="AN191"/>
    <mergeCell ref="AN401"/>
    <mergeCell ref="AN188"/>
    <mergeCell ref="AN402"/>
    <mergeCell ref="AN189"/>
    <mergeCell ref="AN407"/>
    <mergeCell ref="AN194"/>
    <mergeCell ref="AN408"/>
    <mergeCell ref="AN195"/>
    <mergeCell ref="AN405"/>
    <mergeCell ref="AN192"/>
    <mergeCell ref="AN406"/>
    <mergeCell ref="AN193"/>
    <mergeCell ref="AN387"/>
    <mergeCell ref="AN174"/>
    <mergeCell ref="AN388"/>
    <mergeCell ref="AN175"/>
    <mergeCell ref="AN385"/>
    <mergeCell ref="AN172"/>
    <mergeCell ref="AN386"/>
    <mergeCell ref="AN173"/>
    <mergeCell ref="AN391"/>
    <mergeCell ref="AN178"/>
    <mergeCell ref="AN392"/>
    <mergeCell ref="AN179"/>
    <mergeCell ref="AN389"/>
    <mergeCell ref="AN176"/>
    <mergeCell ref="AN390"/>
    <mergeCell ref="AN177"/>
    <mergeCell ref="AN395"/>
    <mergeCell ref="AN182"/>
    <mergeCell ref="AN396"/>
    <mergeCell ref="AN183"/>
    <mergeCell ref="AN393"/>
    <mergeCell ref="AN180"/>
    <mergeCell ref="AN394"/>
    <mergeCell ref="AN181"/>
    <mergeCell ref="AN375"/>
    <mergeCell ref="AN376"/>
    <mergeCell ref="AN373"/>
    <mergeCell ref="AN374"/>
    <mergeCell ref="AN379"/>
    <mergeCell ref="AN380"/>
    <mergeCell ref="AN377"/>
    <mergeCell ref="AN378"/>
    <mergeCell ref="AN383"/>
    <mergeCell ref="AN384"/>
    <mergeCell ref="AN381"/>
    <mergeCell ref="AN382"/>
    <mergeCell ref="AN281"/>
    <mergeCell ref="AN278"/>
    <mergeCell ref="AN292"/>
    <mergeCell ref="AN293"/>
    <mergeCell ref="AO293"/>
    <mergeCell ref="AO80"/>
    <mergeCell ref="AO292"/>
    <mergeCell ref="AO79"/>
    <mergeCell ref="AO291"/>
    <mergeCell ref="AO78"/>
    <mergeCell ref="AN367"/>
    <mergeCell ref="AN154"/>
    <mergeCell ref="AN368"/>
    <mergeCell ref="AN155"/>
    <mergeCell ref="AN365"/>
    <mergeCell ref="AN152"/>
    <mergeCell ref="AN366"/>
    <mergeCell ref="AN153"/>
    <mergeCell ref="AN371"/>
    <mergeCell ref="AN158"/>
    <mergeCell ref="AN372"/>
    <mergeCell ref="AN159"/>
    <mergeCell ref="AN369"/>
    <mergeCell ref="AN156"/>
    <mergeCell ref="AN370"/>
    <mergeCell ref="AN157"/>
    <mergeCell ref="AN296"/>
    <mergeCell ref="AN83"/>
    <mergeCell ref="AN297"/>
    <mergeCell ref="AN84"/>
    <mergeCell ref="AN311"/>
    <mergeCell ref="AN98"/>
    <mergeCell ref="AN316"/>
    <mergeCell ref="AN103"/>
    <mergeCell ref="AN317"/>
    <mergeCell ref="AN104"/>
    <mergeCell ref="AN314"/>
    <mergeCell ref="AN101"/>
    <mergeCell ref="AN315"/>
    <mergeCell ref="AN102"/>
    <mergeCell ref="AN320"/>
    <mergeCell ref="AN107"/>
    <mergeCell ref="AN321"/>
    <mergeCell ref="AN108"/>
    <mergeCell ref="AN318"/>
    <mergeCell ref="AN105"/>
    <mergeCell ref="AN319"/>
    <mergeCell ref="AO281"/>
    <mergeCell ref="AO362"/>
    <mergeCell ref="AO361"/>
    <mergeCell ref="AO360"/>
    <mergeCell ref="AO344"/>
    <mergeCell ref="AO343"/>
    <mergeCell ref="AO342"/>
    <mergeCell ref="AO347"/>
    <mergeCell ref="AO346"/>
    <mergeCell ref="AO345"/>
    <mergeCell ref="AO350"/>
    <mergeCell ref="AO349"/>
    <mergeCell ref="AO348"/>
    <mergeCell ref="AO353"/>
    <mergeCell ref="AO352"/>
    <mergeCell ref="AO351"/>
    <mergeCell ref="AO332"/>
    <mergeCell ref="AO331"/>
    <mergeCell ref="AO330"/>
    <mergeCell ref="AO335"/>
    <mergeCell ref="AO334"/>
    <mergeCell ref="AO285"/>
    <mergeCell ref="AO72"/>
    <mergeCell ref="AO290"/>
    <mergeCell ref="AO77"/>
    <mergeCell ref="AO289"/>
    <mergeCell ref="AO76"/>
    <mergeCell ref="AO288"/>
    <mergeCell ref="AO75"/>
    <mergeCell ref="AO269"/>
    <mergeCell ref="AO56"/>
    <mergeCell ref="AO268"/>
    <mergeCell ref="AO55"/>
    <mergeCell ref="AO267"/>
    <mergeCell ref="AO54"/>
    <mergeCell ref="AO272"/>
    <mergeCell ref="AO59"/>
    <mergeCell ref="AO271"/>
    <mergeCell ref="AO58"/>
    <mergeCell ref="AO270"/>
    <mergeCell ref="AO57"/>
    <mergeCell ref="AO275"/>
    <mergeCell ref="AO62"/>
    <mergeCell ref="AO274"/>
    <mergeCell ref="AO61"/>
    <mergeCell ref="AO273"/>
    <mergeCell ref="AO60"/>
    <mergeCell ref="AO278"/>
    <mergeCell ref="AO65"/>
    <mergeCell ref="AO277"/>
    <mergeCell ref="AO64"/>
    <mergeCell ref="AO276"/>
    <mergeCell ref="AO63"/>
    <mergeCell ref="AO257"/>
    <mergeCell ref="AO119"/>
    <mergeCell ref="AO118"/>
    <mergeCell ref="AO117"/>
    <mergeCell ref="AO122"/>
    <mergeCell ref="AO121"/>
    <mergeCell ref="AO91"/>
    <mergeCell ref="AO90"/>
    <mergeCell ref="AO95"/>
    <mergeCell ref="AO94"/>
    <mergeCell ref="AO93"/>
    <mergeCell ref="AO98"/>
    <mergeCell ref="AO97"/>
    <mergeCell ref="AO96"/>
    <mergeCell ref="AO101"/>
    <mergeCell ref="AO100"/>
    <mergeCell ref="AO99"/>
    <mergeCell ref="AO44"/>
    <mergeCell ref="AO256"/>
    <mergeCell ref="AO43"/>
    <mergeCell ref="AO255"/>
    <mergeCell ref="AO42"/>
    <mergeCell ref="AO260"/>
    <mergeCell ref="AO47"/>
    <mergeCell ref="AO259"/>
    <mergeCell ref="AO46"/>
    <mergeCell ref="AO258"/>
    <mergeCell ref="AO45"/>
    <mergeCell ref="AO263"/>
    <mergeCell ref="AO50"/>
    <mergeCell ref="AO262"/>
    <mergeCell ref="AO49"/>
    <mergeCell ref="AO261"/>
    <mergeCell ref="AO48"/>
    <mergeCell ref="AO266"/>
    <mergeCell ref="AO53"/>
    <mergeCell ref="AO265"/>
    <mergeCell ref="AO52"/>
    <mergeCell ref="AO264"/>
    <mergeCell ref="AO51"/>
    <mergeCell ref="AO241"/>
    <mergeCell ref="AO28"/>
    <mergeCell ref="AO240"/>
    <mergeCell ref="AO27"/>
    <mergeCell ref="AO245"/>
    <mergeCell ref="AO32"/>
    <mergeCell ref="AO244"/>
    <mergeCell ref="AO31"/>
    <mergeCell ref="AO243"/>
    <mergeCell ref="AO30"/>
    <mergeCell ref="AO248"/>
    <mergeCell ref="AO35"/>
    <mergeCell ref="AO247"/>
    <mergeCell ref="AO34"/>
    <mergeCell ref="AO246"/>
    <mergeCell ref="AO33"/>
    <mergeCell ref="AO251"/>
    <mergeCell ref="AO38"/>
    <mergeCell ref="AO250"/>
    <mergeCell ref="AO37"/>
    <mergeCell ref="AO249"/>
    <mergeCell ref="AO36"/>
    <mergeCell ref="AO254"/>
    <mergeCell ref="AO41"/>
    <mergeCell ref="AO253"/>
    <mergeCell ref="AO40"/>
    <mergeCell ref="AO252"/>
    <mergeCell ref="AO39"/>
    <mergeCell ref="AO216"/>
    <mergeCell ref="AO131"/>
    <mergeCell ref="AO130"/>
    <mergeCell ref="AO129"/>
    <mergeCell ref="AO134"/>
    <mergeCell ref="AO133"/>
    <mergeCell ref="AO132"/>
    <mergeCell ref="AO137"/>
    <mergeCell ref="AO136"/>
    <mergeCell ref="AO135"/>
    <mergeCell ref="AO140"/>
    <mergeCell ref="AO139"/>
    <mergeCell ref="AO138"/>
    <mergeCell ref="AO3"/>
    <mergeCell ref="AO221"/>
    <mergeCell ref="AO8"/>
    <mergeCell ref="AO220"/>
    <mergeCell ref="AO7"/>
    <mergeCell ref="AO219"/>
    <mergeCell ref="AO6"/>
    <mergeCell ref="AO224"/>
    <mergeCell ref="AO11"/>
    <mergeCell ref="AO223"/>
    <mergeCell ref="AO10"/>
    <mergeCell ref="AO222"/>
    <mergeCell ref="AO9"/>
    <mergeCell ref="AO227"/>
    <mergeCell ref="AO14"/>
    <mergeCell ref="AO226"/>
    <mergeCell ref="AO13"/>
    <mergeCell ref="AO225"/>
    <mergeCell ref="AO12"/>
    <mergeCell ref="AO230"/>
    <mergeCell ref="AO17"/>
    <mergeCell ref="AO229"/>
    <mergeCell ref="AO16"/>
    <mergeCell ref="AO228"/>
    <mergeCell ref="AO15"/>
    <mergeCell ref="AO356"/>
    <mergeCell ref="AO143"/>
    <mergeCell ref="AO355"/>
    <mergeCell ref="AO142"/>
    <mergeCell ref="AO354"/>
    <mergeCell ref="AO141"/>
    <mergeCell ref="AO359"/>
    <mergeCell ref="AO146"/>
    <mergeCell ref="AO358"/>
    <mergeCell ref="AO145"/>
    <mergeCell ref="AO357"/>
    <mergeCell ref="AO144"/>
    <mergeCell ref="AO149"/>
    <mergeCell ref="AO148"/>
    <mergeCell ref="AO147"/>
    <mergeCell ref="AO218"/>
    <mergeCell ref="AO5"/>
    <mergeCell ref="AO217"/>
    <mergeCell ref="AO4"/>
    <mergeCell ref="AO233"/>
    <mergeCell ref="AO20"/>
    <mergeCell ref="AO232"/>
    <mergeCell ref="AO19"/>
    <mergeCell ref="AO231"/>
    <mergeCell ref="AO18"/>
    <mergeCell ref="AO236"/>
    <mergeCell ref="AO23"/>
    <mergeCell ref="AO235"/>
    <mergeCell ref="AO22"/>
    <mergeCell ref="AO234"/>
    <mergeCell ref="AO21"/>
    <mergeCell ref="AO239"/>
    <mergeCell ref="AO26"/>
    <mergeCell ref="AO238"/>
    <mergeCell ref="AO25"/>
    <mergeCell ref="AO237"/>
    <mergeCell ref="AO24"/>
    <mergeCell ref="AO242"/>
    <mergeCell ref="AO29"/>
    <mergeCell ref="AO407"/>
    <mergeCell ref="AO333"/>
    <mergeCell ref="AO120"/>
    <mergeCell ref="AO338"/>
    <mergeCell ref="AO125"/>
    <mergeCell ref="AO337"/>
    <mergeCell ref="AO124"/>
    <mergeCell ref="AO336"/>
    <mergeCell ref="AO123"/>
    <mergeCell ref="AO341"/>
    <mergeCell ref="AO128"/>
    <mergeCell ref="AO340"/>
    <mergeCell ref="AO127"/>
    <mergeCell ref="AO339"/>
    <mergeCell ref="AO126"/>
    <mergeCell ref="AO320"/>
    <mergeCell ref="AO107"/>
    <mergeCell ref="AO319"/>
    <mergeCell ref="AO106"/>
    <mergeCell ref="AO318"/>
    <mergeCell ref="AO105"/>
    <mergeCell ref="AO323"/>
    <mergeCell ref="AO110"/>
    <mergeCell ref="AO322"/>
    <mergeCell ref="AO109"/>
    <mergeCell ref="AO321"/>
    <mergeCell ref="AO108"/>
    <mergeCell ref="AO326"/>
    <mergeCell ref="AO113"/>
    <mergeCell ref="AO325"/>
    <mergeCell ref="AO112"/>
    <mergeCell ref="AO324"/>
    <mergeCell ref="AO111"/>
    <mergeCell ref="AO329"/>
    <mergeCell ref="AO116"/>
    <mergeCell ref="AO328"/>
    <mergeCell ref="AO115"/>
    <mergeCell ref="AO327"/>
    <mergeCell ref="AO114"/>
    <mergeCell ref="AO304"/>
    <mergeCell ref="AO303"/>
    <mergeCell ref="AO308"/>
    <mergeCell ref="AO307"/>
    <mergeCell ref="AO306"/>
    <mergeCell ref="AO311"/>
    <mergeCell ref="AO310"/>
    <mergeCell ref="AO309"/>
    <mergeCell ref="AO314"/>
    <mergeCell ref="AO313"/>
    <mergeCell ref="AO312"/>
    <mergeCell ref="AO317"/>
    <mergeCell ref="AO194"/>
    <mergeCell ref="AO165"/>
    <mergeCell ref="AO164"/>
    <mergeCell ref="AO154"/>
    <mergeCell ref="AO153"/>
    <mergeCell ref="AO152"/>
    <mergeCell ref="AO157"/>
    <mergeCell ref="AO156"/>
    <mergeCell ref="AO155"/>
    <mergeCell ref="AO160"/>
    <mergeCell ref="AO159"/>
    <mergeCell ref="AO158"/>
    <mergeCell ref="AO163"/>
    <mergeCell ref="AO375"/>
    <mergeCell ref="AO374"/>
    <mergeCell ref="AO104"/>
    <mergeCell ref="AO316"/>
    <mergeCell ref="AO103"/>
    <mergeCell ref="AO315"/>
    <mergeCell ref="AO102"/>
    <mergeCell ref="AO415"/>
    <mergeCell ref="AO202"/>
    <mergeCell ref="AO414"/>
    <mergeCell ref="AO201"/>
    <mergeCell ref="AO413"/>
    <mergeCell ref="AO200"/>
    <mergeCell ref="AO418"/>
    <mergeCell ref="AO205"/>
    <mergeCell ref="AO417"/>
    <mergeCell ref="AO204"/>
    <mergeCell ref="AO416"/>
    <mergeCell ref="AO203"/>
    <mergeCell ref="AO296"/>
    <mergeCell ref="AO83"/>
    <mergeCell ref="AO425"/>
    <mergeCell ref="AO212"/>
    <mergeCell ref="AO424"/>
    <mergeCell ref="AO211"/>
    <mergeCell ref="AO423"/>
    <mergeCell ref="AO210"/>
    <mergeCell ref="AO422"/>
    <mergeCell ref="AO209"/>
    <mergeCell ref="AO421"/>
    <mergeCell ref="AO208"/>
    <mergeCell ref="AO420"/>
    <mergeCell ref="AO207"/>
    <mergeCell ref="AO419"/>
    <mergeCell ref="AO206"/>
    <mergeCell ref="AO299"/>
    <mergeCell ref="AO86"/>
    <mergeCell ref="AO298"/>
    <mergeCell ref="AO85"/>
    <mergeCell ref="AO297"/>
    <mergeCell ref="AO84"/>
    <mergeCell ref="AO302"/>
    <mergeCell ref="AO89"/>
    <mergeCell ref="AO301"/>
    <mergeCell ref="AO88"/>
    <mergeCell ref="AO300"/>
    <mergeCell ref="AO87"/>
    <mergeCell ref="AO305"/>
    <mergeCell ref="AO92"/>
    <mergeCell ref="AO403"/>
    <mergeCell ref="AO190"/>
    <mergeCell ref="AO402"/>
    <mergeCell ref="AO189"/>
    <mergeCell ref="AO401"/>
    <mergeCell ref="AO188"/>
    <mergeCell ref="AO406"/>
    <mergeCell ref="AO193"/>
    <mergeCell ref="AO405"/>
    <mergeCell ref="AO192"/>
    <mergeCell ref="AO404"/>
    <mergeCell ref="AO191"/>
    <mergeCell ref="AO409"/>
    <mergeCell ref="AO196"/>
    <mergeCell ref="AO408"/>
    <mergeCell ref="AP56"/>
    <mergeCell ref="AP268"/>
    <mergeCell ref="AO412"/>
    <mergeCell ref="AO199"/>
    <mergeCell ref="AO411"/>
    <mergeCell ref="AO198"/>
    <mergeCell ref="AO410"/>
    <mergeCell ref="AO197"/>
    <mergeCell ref="AO391"/>
    <mergeCell ref="AO178"/>
    <mergeCell ref="AO390"/>
    <mergeCell ref="AO177"/>
    <mergeCell ref="AO389"/>
    <mergeCell ref="AO176"/>
    <mergeCell ref="AO394"/>
    <mergeCell ref="AO181"/>
    <mergeCell ref="AO393"/>
    <mergeCell ref="AO180"/>
    <mergeCell ref="AO392"/>
    <mergeCell ref="AO179"/>
    <mergeCell ref="AO397"/>
    <mergeCell ref="AO184"/>
    <mergeCell ref="AO396"/>
    <mergeCell ref="AO183"/>
    <mergeCell ref="AO395"/>
    <mergeCell ref="AO182"/>
    <mergeCell ref="AO400"/>
    <mergeCell ref="AO187"/>
    <mergeCell ref="AO399"/>
    <mergeCell ref="AO186"/>
    <mergeCell ref="AO398"/>
    <mergeCell ref="AO185"/>
    <mergeCell ref="AO379"/>
    <mergeCell ref="AO166"/>
    <mergeCell ref="AO378"/>
    <mergeCell ref="AO377"/>
    <mergeCell ref="AO382"/>
    <mergeCell ref="AO169"/>
    <mergeCell ref="AO381"/>
    <mergeCell ref="AO168"/>
    <mergeCell ref="AO380"/>
    <mergeCell ref="AO167"/>
    <mergeCell ref="AO385"/>
    <mergeCell ref="AO172"/>
    <mergeCell ref="AO384"/>
    <mergeCell ref="AO171"/>
    <mergeCell ref="AO383"/>
    <mergeCell ref="AO170"/>
    <mergeCell ref="AO388"/>
    <mergeCell ref="AO175"/>
    <mergeCell ref="AO387"/>
    <mergeCell ref="AO174"/>
    <mergeCell ref="AO386"/>
    <mergeCell ref="AO173"/>
    <mergeCell ref="AO367"/>
    <mergeCell ref="AO366"/>
    <mergeCell ref="AO365"/>
    <mergeCell ref="AO370"/>
    <mergeCell ref="AO369"/>
    <mergeCell ref="AO368"/>
    <mergeCell ref="AO373"/>
    <mergeCell ref="AO372"/>
    <mergeCell ref="AO371"/>
    <mergeCell ref="AO376"/>
    <mergeCell ref="AP104"/>
    <mergeCell ref="AP103"/>
    <mergeCell ref="AP102"/>
    <mergeCell ref="AP154"/>
    <mergeCell ref="AP153"/>
    <mergeCell ref="AP152"/>
    <mergeCell ref="AP157"/>
    <mergeCell ref="AP156"/>
    <mergeCell ref="AP155"/>
    <mergeCell ref="AP160"/>
    <mergeCell ref="AP159"/>
    <mergeCell ref="AP158"/>
    <mergeCell ref="AP163"/>
    <mergeCell ref="AP162"/>
    <mergeCell ref="AP161"/>
    <mergeCell ref="AO161"/>
    <mergeCell ref="AP293"/>
    <mergeCell ref="AP80"/>
    <mergeCell ref="AP292"/>
    <mergeCell ref="AP79"/>
    <mergeCell ref="AP291"/>
    <mergeCell ref="AP78"/>
    <mergeCell ref="AP281"/>
    <mergeCell ref="AP68"/>
    <mergeCell ref="AP280"/>
    <mergeCell ref="AP67"/>
    <mergeCell ref="AP279"/>
    <mergeCell ref="AP66"/>
    <mergeCell ref="AP284"/>
    <mergeCell ref="AP71"/>
    <mergeCell ref="AP283"/>
    <mergeCell ref="AP70"/>
    <mergeCell ref="AP282"/>
    <mergeCell ref="AP69"/>
    <mergeCell ref="AP287"/>
    <mergeCell ref="AP74"/>
    <mergeCell ref="AP286"/>
    <mergeCell ref="AP73"/>
    <mergeCell ref="AP285"/>
    <mergeCell ref="AP72"/>
    <mergeCell ref="AP290"/>
    <mergeCell ref="AP77"/>
    <mergeCell ref="AP289"/>
    <mergeCell ref="AP76"/>
    <mergeCell ref="AP288"/>
    <mergeCell ref="AP75"/>
    <mergeCell ref="AP269"/>
    <mergeCell ref="AO195"/>
    <mergeCell ref="AO162"/>
    <mergeCell ref="AO68"/>
    <mergeCell ref="AO280"/>
    <mergeCell ref="AO67"/>
    <mergeCell ref="AO279"/>
    <mergeCell ref="AO66"/>
    <mergeCell ref="AO284"/>
    <mergeCell ref="AO71"/>
    <mergeCell ref="AO283"/>
    <mergeCell ref="AO70"/>
    <mergeCell ref="AO282"/>
    <mergeCell ref="AO69"/>
    <mergeCell ref="AO287"/>
    <mergeCell ref="AO74"/>
    <mergeCell ref="AO286"/>
    <mergeCell ref="AO73"/>
    <mergeCell ref="AP40"/>
    <mergeCell ref="AP252"/>
    <mergeCell ref="AP39"/>
    <mergeCell ref="AP216"/>
    <mergeCell ref="AP3"/>
    <mergeCell ref="AP221"/>
    <mergeCell ref="AP8"/>
    <mergeCell ref="AP220"/>
    <mergeCell ref="AP7"/>
    <mergeCell ref="AP219"/>
    <mergeCell ref="AP6"/>
    <mergeCell ref="AP224"/>
    <mergeCell ref="AP11"/>
    <mergeCell ref="AP223"/>
    <mergeCell ref="AP10"/>
    <mergeCell ref="AP222"/>
    <mergeCell ref="AP9"/>
    <mergeCell ref="AP227"/>
    <mergeCell ref="AP14"/>
    <mergeCell ref="AP226"/>
    <mergeCell ref="AP13"/>
    <mergeCell ref="AP225"/>
    <mergeCell ref="AP12"/>
    <mergeCell ref="AP230"/>
    <mergeCell ref="AP17"/>
    <mergeCell ref="AP229"/>
    <mergeCell ref="AP16"/>
    <mergeCell ref="AP228"/>
    <mergeCell ref="AP15"/>
    <mergeCell ref="AP91"/>
    <mergeCell ref="AP90"/>
    <mergeCell ref="AP95"/>
    <mergeCell ref="AP94"/>
    <mergeCell ref="AP93"/>
    <mergeCell ref="AP98"/>
    <mergeCell ref="AP97"/>
    <mergeCell ref="AP96"/>
    <mergeCell ref="AP101"/>
    <mergeCell ref="AP100"/>
    <mergeCell ref="AP99"/>
    <mergeCell ref="AP55"/>
    <mergeCell ref="AP54"/>
    <mergeCell ref="AP59"/>
    <mergeCell ref="AP58"/>
    <mergeCell ref="AP57"/>
    <mergeCell ref="AP62"/>
    <mergeCell ref="AP61"/>
    <mergeCell ref="AP60"/>
    <mergeCell ref="AP65"/>
    <mergeCell ref="AP64"/>
    <mergeCell ref="AP63"/>
    <mergeCell ref="AP44"/>
    <mergeCell ref="AP43"/>
    <mergeCell ref="AP42"/>
    <mergeCell ref="AP47"/>
    <mergeCell ref="AP46"/>
    <mergeCell ref="AP45"/>
    <mergeCell ref="AP50"/>
    <mergeCell ref="AP49"/>
    <mergeCell ref="AP48"/>
    <mergeCell ref="AP53"/>
    <mergeCell ref="AP52"/>
    <mergeCell ref="AP51"/>
    <mergeCell ref="AP241"/>
    <mergeCell ref="AP5"/>
    <mergeCell ref="AP217"/>
    <mergeCell ref="AP4"/>
    <mergeCell ref="AP233"/>
    <mergeCell ref="AP20"/>
    <mergeCell ref="AP232"/>
    <mergeCell ref="AP19"/>
    <mergeCell ref="AP231"/>
    <mergeCell ref="AP18"/>
    <mergeCell ref="AP236"/>
    <mergeCell ref="AP23"/>
    <mergeCell ref="AP235"/>
    <mergeCell ref="AP22"/>
    <mergeCell ref="AP234"/>
    <mergeCell ref="AP21"/>
    <mergeCell ref="AP239"/>
    <mergeCell ref="AP26"/>
    <mergeCell ref="AP238"/>
    <mergeCell ref="AP25"/>
    <mergeCell ref="AP237"/>
    <mergeCell ref="AP24"/>
    <mergeCell ref="AP242"/>
    <mergeCell ref="AP29"/>
    <mergeCell ref="AP344"/>
    <mergeCell ref="AP131"/>
    <mergeCell ref="AP343"/>
    <mergeCell ref="AP130"/>
    <mergeCell ref="AP342"/>
    <mergeCell ref="AP129"/>
    <mergeCell ref="AP347"/>
    <mergeCell ref="AP134"/>
    <mergeCell ref="AP346"/>
    <mergeCell ref="AP133"/>
    <mergeCell ref="AP345"/>
    <mergeCell ref="AP132"/>
    <mergeCell ref="AP137"/>
    <mergeCell ref="AP136"/>
    <mergeCell ref="AP135"/>
    <mergeCell ref="AP140"/>
    <mergeCell ref="AP139"/>
    <mergeCell ref="AP28"/>
    <mergeCell ref="AP240"/>
    <mergeCell ref="AP27"/>
    <mergeCell ref="AP245"/>
    <mergeCell ref="AP32"/>
    <mergeCell ref="AP244"/>
    <mergeCell ref="AP31"/>
    <mergeCell ref="AP243"/>
    <mergeCell ref="AP30"/>
    <mergeCell ref="AP248"/>
    <mergeCell ref="AP35"/>
    <mergeCell ref="AP247"/>
    <mergeCell ref="AP34"/>
    <mergeCell ref="AP246"/>
    <mergeCell ref="AP33"/>
    <mergeCell ref="AP251"/>
    <mergeCell ref="AP38"/>
    <mergeCell ref="AP250"/>
    <mergeCell ref="AP37"/>
    <mergeCell ref="AP249"/>
    <mergeCell ref="AP36"/>
    <mergeCell ref="AP254"/>
    <mergeCell ref="AP41"/>
    <mergeCell ref="AP253"/>
    <mergeCell ref="AP107"/>
    <mergeCell ref="AP319"/>
    <mergeCell ref="AP106"/>
    <mergeCell ref="AP318"/>
    <mergeCell ref="AP105"/>
    <mergeCell ref="AP323"/>
    <mergeCell ref="AP110"/>
    <mergeCell ref="AP322"/>
    <mergeCell ref="AP109"/>
    <mergeCell ref="AP321"/>
    <mergeCell ref="AP108"/>
    <mergeCell ref="AP326"/>
    <mergeCell ref="AP113"/>
    <mergeCell ref="AP325"/>
    <mergeCell ref="AP112"/>
    <mergeCell ref="AP324"/>
    <mergeCell ref="AP111"/>
    <mergeCell ref="AP329"/>
    <mergeCell ref="AP116"/>
    <mergeCell ref="AP328"/>
    <mergeCell ref="AP115"/>
    <mergeCell ref="AP327"/>
    <mergeCell ref="AP114"/>
    <mergeCell ref="AP304"/>
    <mergeCell ref="AP303"/>
    <mergeCell ref="AP308"/>
    <mergeCell ref="AP307"/>
    <mergeCell ref="AP306"/>
    <mergeCell ref="AP311"/>
    <mergeCell ref="AP310"/>
    <mergeCell ref="AP309"/>
    <mergeCell ref="AP314"/>
    <mergeCell ref="AP313"/>
    <mergeCell ref="AP312"/>
    <mergeCell ref="AP317"/>
    <mergeCell ref="AP316"/>
    <mergeCell ref="AP315"/>
    <mergeCell ref="AP143"/>
    <mergeCell ref="AP142"/>
    <mergeCell ref="AP141"/>
    <mergeCell ref="AP146"/>
    <mergeCell ref="AP145"/>
    <mergeCell ref="AP144"/>
    <mergeCell ref="AP149"/>
    <mergeCell ref="AP148"/>
    <mergeCell ref="AP147"/>
    <mergeCell ref="AP218"/>
    <mergeCell ref="AP267"/>
    <mergeCell ref="AP272"/>
    <mergeCell ref="AP271"/>
    <mergeCell ref="AP270"/>
    <mergeCell ref="AP275"/>
    <mergeCell ref="AP274"/>
    <mergeCell ref="AP273"/>
    <mergeCell ref="AP278"/>
    <mergeCell ref="AP277"/>
    <mergeCell ref="AP276"/>
    <mergeCell ref="AP257"/>
    <mergeCell ref="AP256"/>
    <mergeCell ref="AP255"/>
    <mergeCell ref="AP260"/>
    <mergeCell ref="AP259"/>
    <mergeCell ref="AP258"/>
    <mergeCell ref="AP263"/>
    <mergeCell ref="AP405"/>
    <mergeCell ref="AP192"/>
    <mergeCell ref="AP404"/>
    <mergeCell ref="AP191"/>
    <mergeCell ref="AP409"/>
    <mergeCell ref="AP196"/>
    <mergeCell ref="AP408"/>
    <mergeCell ref="AP195"/>
    <mergeCell ref="AP407"/>
    <mergeCell ref="AP194"/>
    <mergeCell ref="AP412"/>
    <mergeCell ref="AP199"/>
    <mergeCell ref="AP411"/>
    <mergeCell ref="AP198"/>
    <mergeCell ref="AP351"/>
    <mergeCell ref="AP138"/>
    <mergeCell ref="AP332"/>
    <mergeCell ref="AP119"/>
    <mergeCell ref="AP331"/>
    <mergeCell ref="AP118"/>
    <mergeCell ref="AP330"/>
    <mergeCell ref="AP117"/>
    <mergeCell ref="AP335"/>
    <mergeCell ref="AP122"/>
    <mergeCell ref="AP334"/>
    <mergeCell ref="AP121"/>
    <mergeCell ref="AP333"/>
    <mergeCell ref="AP120"/>
    <mergeCell ref="AP338"/>
    <mergeCell ref="AP125"/>
    <mergeCell ref="AP337"/>
    <mergeCell ref="AP124"/>
    <mergeCell ref="AP336"/>
    <mergeCell ref="AP123"/>
    <mergeCell ref="AP341"/>
    <mergeCell ref="AP128"/>
    <mergeCell ref="AP340"/>
    <mergeCell ref="AP127"/>
    <mergeCell ref="AP339"/>
    <mergeCell ref="AP126"/>
    <mergeCell ref="AP320"/>
    <mergeCell ref="AP356"/>
    <mergeCell ref="AP355"/>
    <mergeCell ref="AP354"/>
    <mergeCell ref="AP359"/>
    <mergeCell ref="AP358"/>
    <mergeCell ref="AP357"/>
    <mergeCell ref="AP362"/>
    <mergeCell ref="AP361"/>
    <mergeCell ref="AP360"/>
    <mergeCell ref="AP350"/>
    <mergeCell ref="AP349"/>
    <mergeCell ref="AP348"/>
    <mergeCell ref="AP353"/>
    <mergeCell ref="AP352"/>
    <mergeCell ref="AP262"/>
    <mergeCell ref="AP261"/>
    <mergeCell ref="AP266"/>
    <mergeCell ref="AP265"/>
    <mergeCell ref="AP264"/>
    <mergeCell ref="AP387"/>
    <mergeCell ref="AP174"/>
    <mergeCell ref="AP386"/>
    <mergeCell ref="AP173"/>
    <mergeCell ref="AP367"/>
    <mergeCell ref="AP366"/>
    <mergeCell ref="AP365"/>
    <mergeCell ref="AP370"/>
    <mergeCell ref="AP369"/>
    <mergeCell ref="AP368"/>
    <mergeCell ref="AP373"/>
    <mergeCell ref="AP372"/>
    <mergeCell ref="AP371"/>
    <mergeCell ref="AP376"/>
    <mergeCell ref="AP375"/>
    <mergeCell ref="AP374"/>
    <mergeCell ref="AP415"/>
    <mergeCell ref="AP202"/>
    <mergeCell ref="AP414"/>
    <mergeCell ref="AP201"/>
    <mergeCell ref="AP413"/>
    <mergeCell ref="AP200"/>
    <mergeCell ref="AP418"/>
    <mergeCell ref="AP205"/>
    <mergeCell ref="AP417"/>
    <mergeCell ref="AP204"/>
    <mergeCell ref="AP416"/>
    <mergeCell ref="AP203"/>
    <mergeCell ref="AP296"/>
    <mergeCell ref="AP83"/>
    <mergeCell ref="AP425"/>
    <mergeCell ref="AP212"/>
    <mergeCell ref="AP424"/>
    <mergeCell ref="AP211"/>
    <mergeCell ref="AP423"/>
    <mergeCell ref="AP210"/>
    <mergeCell ref="AP422"/>
    <mergeCell ref="AP209"/>
    <mergeCell ref="AP421"/>
    <mergeCell ref="AP208"/>
    <mergeCell ref="AP420"/>
    <mergeCell ref="AP207"/>
    <mergeCell ref="AP419"/>
    <mergeCell ref="AP206"/>
    <mergeCell ref="AP299"/>
    <mergeCell ref="AP86"/>
    <mergeCell ref="AP298"/>
    <mergeCell ref="AP85"/>
    <mergeCell ref="AP297"/>
    <mergeCell ref="AP84"/>
    <mergeCell ref="AP302"/>
    <mergeCell ref="AP89"/>
    <mergeCell ref="AP301"/>
    <mergeCell ref="AP88"/>
    <mergeCell ref="AP300"/>
    <mergeCell ref="AP87"/>
    <mergeCell ref="AP305"/>
    <mergeCell ref="AP92"/>
    <mergeCell ref="AP403"/>
    <mergeCell ref="AP190"/>
    <mergeCell ref="AP402"/>
    <mergeCell ref="AP189"/>
    <mergeCell ref="AP401"/>
    <mergeCell ref="AP188"/>
    <mergeCell ref="AP406"/>
    <mergeCell ref="AP193"/>
    <mergeCell ref="AQ62"/>
    <mergeCell ref="AQ274"/>
    <mergeCell ref="AQ61"/>
    <mergeCell ref="AQ273"/>
    <mergeCell ref="AQ60"/>
    <mergeCell ref="AQ278"/>
    <mergeCell ref="AQ65"/>
    <mergeCell ref="AQ277"/>
    <mergeCell ref="AQ64"/>
    <mergeCell ref="AQ276"/>
    <mergeCell ref="AQ63"/>
    <mergeCell ref="AQ281"/>
    <mergeCell ref="AQ68"/>
    <mergeCell ref="AQ280"/>
    <mergeCell ref="AQ67"/>
    <mergeCell ref="AQ279"/>
    <mergeCell ref="AQ66"/>
    <mergeCell ref="AQ260"/>
    <mergeCell ref="AP410"/>
    <mergeCell ref="AP197"/>
    <mergeCell ref="AP391"/>
    <mergeCell ref="AP178"/>
    <mergeCell ref="AP390"/>
    <mergeCell ref="AP177"/>
    <mergeCell ref="AP389"/>
    <mergeCell ref="AP176"/>
    <mergeCell ref="AP394"/>
    <mergeCell ref="AP181"/>
    <mergeCell ref="AP393"/>
    <mergeCell ref="AP180"/>
    <mergeCell ref="AP392"/>
    <mergeCell ref="AP179"/>
    <mergeCell ref="AP397"/>
    <mergeCell ref="AP184"/>
    <mergeCell ref="AP396"/>
    <mergeCell ref="AP183"/>
    <mergeCell ref="AP395"/>
    <mergeCell ref="AP182"/>
    <mergeCell ref="AP400"/>
    <mergeCell ref="AP187"/>
    <mergeCell ref="AP399"/>
    <mergeCell ref="AP186"/>
    <mergeCell ref="AP398"/>
    <mergeCell ref="AP185"/>
    <mergeCell ref="AP379"/>
    <mergeCell ref="AP166"/>
    <mergeCell ref="AP378"/>
    <mergeCell ref="AP165"/>
    <mergeCell ref="AP377"/>
    <mergeCell ref="AP164"/>
    <mergeCell ref="AP382"/>
    <mergeCell ref="AP169"/>
    <mergeCell ref="AP381"/>
    <mergeCell ref="AP168"/>
    <mergeCell ref="AP380"/>
    <mergeCell ref="AP167"/>
    <mergeCell ref="AP385"/>
    <mergeCell ref="AP172"/>
    <mergeCell ref="AP384"/>
    <mergeCell ref="AP171"/>
    <mergeCell ref="AP383"/>
    <mergeCell ref="AP170"/>
    <mergeCell ref="AP388"/>
    <mergeCell ref="AP175"/>
    <mergeCell ref="AQ47"/>
    <mergeCell ref="AQ259"/>
    <mergeCell ref="AQ46"/>
    <mergeCell ref="AQ258"/>
    <mergeCell ref="AQ45"/>
    <mergeCell ref="AQ263"/>
    <mergeCell ref="AQ50"/>
    <mergeCell ref="AQ262"/>
    <mergeCell ref="AQ49"/>
    <mergeCell ref="AQ261"/>
    <mergeCell ref="AQ48"/>
    <mergeCell ref="AQ266"/>
    <mergeCell ref="AQ53"/>
    <mergeCell ref="AQ265"/>
    <mergeCell ref="AQ52"/>
    <mergeCell ref="AQ264"/>
    <mergeCell ref="AQ51"/>
    <mergeCell ref="AQ269"/>
    <mergeCell ref="AQ56"/>
    <mergeCell ref="AQ268"/>
    <mergeCell ref="AQ55"/>
    <mergeCell ref="AQ267"/>
    <mergeCell ref="AQ54"/>
    <mergeCell ref="AQ248"/>
    <mergeCell ref="AQ35"/>
    <mergeCell ref="AQ247"/>
    <mergeCell ref="AQ34"/>
    <mergeCell ref="AQ246"/>
    <mergeCell ref="AQ33"/>
    <mergeCell ref="AQ251"/>
    <mergeCell ref="AQ38"/>
    <mergeCell ref="AQ250"/>
    <mergeCell ref="AQ37"/>
    <mergeCell ref="AQ249"/>
    <mergeCell ref="AQ36"/>
    <mergeCell ref="AQ254"/>
    <mergeCell ref="AQ41"/>
    <mergeCell ref="AQ253"/>
    <mergeCell ref="AQ40"/>
    <mergeCell ref="AQ252"/>
    <mergeCell ref="AQ39"/>
    <mergeCell ref="AQ257"/>
    <mergeCell ref="AQ44"/>
    <mergeCell ref="AQ256"/>
    <mergeCell ref="AQ43"/>
    <mergeCell ref="AQ255"/>
    <mergeCell ref="AQ42"/>
    <mergeCell ref="AQ236"/>
    <mergeCell ref="AQ118"/>
    <mergeCell ref="AQ71"/>
    <mergeCell ref="AQ70"/>
    <mergeCell ref="AQ69"/>
    <mergeCell ref="AQ74"/>
    <mergeCell ref="AQ73"/>
    <mergeCell ref="AQ72"/>
    <mergeCell ref="AQ77"/>
    <mergeCell ref="AQ76"/>
    <mergeCell ref="AQ75"/>
    <mergeCell ref="AQ80"/>
    <mergeCell ref="AQ79"/>
    <mergeCell ref="AQ78"/>
    <mergeCell ref="AQ59"/>
    <mergeCell ref="AQ58"/>
    <mergeCell ref="AQ57"/>
    <mergeCell ref="AQ23"/>
    <mergeCell ref="AQ235"/>
    <mergeCell ref="AQ22"/>
    <mergeCell ref="AQ234"/>
    <mergeCell ref="AQ21"/>
    <mergeCell ref="AQ239"/>
    <mergeCell ref="AQ26"/>
    <mergeCell ref="AQ238"/>
    <mergeCell ref="AQ25"/>
    <mergeCell ref="AQ237"/>
    <mergeCell ref="AQ24"/>
    <mergeCell ref="AQ242"/>
    <mergeCell ref="AQ29"/>
    <mergeCell ref="AQ241"/>
    <mergeCell ref="AQ28"/>
    <mergeCell ref="AQ240"/>
    <mergeCell ref="AQ27"/>
    <mergeCell ref="AQ245"/>
    <mergeCell ref="AQ32"/>
    <mergeCell ref="AQ244"/>
    <mergeCell ref="AQ31"/>
    <mergeCell ref="AQ243"/>
    <mergeCell ref="AQ30"/>
    <mergeCell ref="AQ362"/>
    <mergeCell ref="AQ149"/>
    <mergeCell ref="AQ361"/>
    <mergeCell ref="AQ148"/>
    <mergeCell ref="AQ360"/>
    <mergeCell ref="AQ147"/>
    <mergeCell ref="AQ218"/>
    <mergeCell ref="AQ5"/>
    <mergeCell ref="AQ217"/>
    <mergeCell ref="AQ4"/>
    <mergeCell ref="AQ216"/>
    <mergeCell ref="AQ353"/>
    <mergeCell ref="AQ352"/>
    <mergeCell ref="AQ351"/>
    <mergeCell ref="AQ356"/>
    <mergeCell ref="AQ355"/>
    <mergeCell ref="AQ354"/>
    <mergeCell ref="AQ359"/>
    <mergeCell ref="AQ358"/>
    <mergeCell ref="AQ357"/>
    <mergeCell ref="AQ347"/>
    <mergeCell ref="AQ134"/>
    <mergeCell ref="AQ346"/>
    <mergeCell ref="AQ133"/>
    <mergeCell ref="AQ345"/>
    <mergeCell ref="AQ132"/>
    <mergeCell ref="AQ326"/>
    <mergeCell ref="AQ113"/>
    <mergeCell ref="AQ325"/>
    <mergeCell ref="AQ112"/>
    <mergeCell ref="AQ324"/>
    <mergeCell ref="AQ111"/>
    <mergeCell ref="AQ329"/>
    <mergeCell ref="AQ116"/>
    <mergeCell ref="AQ328"/>
    <mergeCell ref="AQ115"/>
    <mergeCell ref="AQ327"/>
    <mergeCell ref="AQ114"/>
    <mergeCell ref="AQ332"/>
    <mergeCell ref="AQ119"/>
    <mergeCell ref="AQ331"/>
    <mergeCell ref="AQ3"/>
    <mergeCell ref="AQ221"/>
    <mergeCell ref="AQ8"/>
    <mergeCell ref="AQ220"/>
    <mergeCell ref="AQ7"/>
    <mergeCell ref="AQ219"/>
    <mergeCell ref="AQ6"/>
    <mergeCell ref="AQ224"/>
    <mergeCell ref="AQ11"/>
    <mergeCell ref="AQ223"/>
    <mergeCell ref="AQ10"/>
    <mergeCell ref="AQ222"/>
    <mergeCell ref="AQ9"/>
    <mergeCell ref="AQ227"/>
    <mergeCell ref="AQ14"/>
    <mergeCell ref="AQ226"/>
    <mergeCell ref="AQ13"/>
    <mergeCell ref="AQ225"/>
    <mergeCell ref="AQ12"/>
    <mergeCell ref="AQ230"/>
    <mergeCell ref="AQ17"/>
    <mergeCell ref="AQ229"/>
    <mergeCell ref="AQ16"/>
    <mergeCell ref="AQ228"/>
    <mergeCell ref="AQ15"/>
    <mergeCell ref="AQ233"/>
    <mergeCell ref="AQ20"/>
    <mergeCell ref="AQ232"/>
    <mergeCell ref="AQ19"/>
    <mergeCell ref="AQ231"/>
    <mergeCell ref="AQ18"/>
    <mergeCell ref="AQ350"/>
    <mergeCell ref="AQ137"/>
    <mergeCell ref="AQ349"/>
    <mergeCell ref="AQ136"/>
    <mergeCell ref="AQ348"/>
    <mergeCell ref="AQ135"/>
    <mergeCell ref="AQ140"/>
    <mergeCell ref="AQ139"/>
    <mergeCell ref="AQ138"/>
    <mergeCell ref="AQ143"/>
    <mergeCell ref="AQ142"/>
    <mergeCell ref="AQ141"/>
    <mergeCell ref="AQ146"/>
    <mergeCell ref="AQ145"/>
    <mergeCell ref="AQ144"/>
    <mergeCell ref="AQ338"/>
    <mergeCell ref="AQ125"/>
    <mergeCell ref="AQ337"/>
    <mergeCell ref="AQ124"/>
    <mergeCell ref="AQ336"/>
    <mergeCell ref="AQ123"/>
    <mergeCell ref="AQ341"/>
    <mergeCell ref="AQ128"/>
    <mergeCell ref="AQ340"/>
    <mergeCell ref="AQ127"/>
    <mergeCell ref="AQ339"/>
    <mergeCell ref="AQ126"/>
    <mergeCell ref="AQ344"/>
    <mergeCell ref="AQ131"/>
    <mergeCell ref="AQ343"/>
    <mergeCell ref="AQ130"/>
    <mergeCell ref="AQ342"/>
    <mergeCell ref="AQ129"/>
    <mergeCell ref="AQ412"/>
    <mergeCell ref="AQ199"/>
    <mergeCell ref="AQ411"/>
    <mergeCell ref="AQ198"/>
    <mergeCell ref="AQ410"/>
    <mergeCell ref="AQ197"/>
    <mergeCell ref="AQ415"/>
    <mergeCell ref="AQ202"/>
    <mergeCell ref="AQ414"/>
    <mergeCell ref="AQ201"/>
    <mergeCell ref="AQ413"/>
    <mergeCell ref="AQ200"/>
    <mergeCell ref="AQ418"/>
    <mergeCell ref="AQ205"/>
    <mergeCell ref="AQ417"/>
    <mergeCell ref="AQ204"/>
    <mergeCell ref="AQ416"/>
    <mergeCell ref="AQ203"/>
    <mergeCell ref="AQ296"/>
    <mergeCell ref="AQ83"/>
    <mergeCell ref="AQ425"/>
    <mergeCell ref="AQ212"/>
    <mergeCell ref="AQ424"/>
    <mergeCell ref="AQ211"/>
    <mergeCell ref="AQ423"/>
    <mergeCell ref="AQ210"/>
    <mergeCell ref="AQ422"/>
    <mergeCell ref="AQ209"/>
    <mergeCell ref="AQ421"/>
    <mergeCell ref="AQ208"/>
    <mergeCell ref="AQ420"/>
    <mergeCell ref="AQ207"/>
    <mergeCell ref="AQ419"/>
    <mergeCell ref="AQ206"/>
    <mergeCell ref="AQ299"/>
    <mergeCell ref="AQ86"/>
    <mergeCell ref="AQ298"/>
    <mergeCell ref="AQ85"/>
    <mergeCell ref="AQ297"/>
    <mergeCell ref="AQ84"/>
    <mergeCell ref="AQ302"/>
    <mergeCell ref="AQ89"/>
    <mergeCell ref="AQ400"/>
    <mergeCell ref="AQ187"/>
    <mergeCell ref="AQ399"/>
    <mergeCell ref="AQ186"/>
    <mergeCell ref="AQ398"/>
    <mergeCell ref="AQ185"/>
    <mergeCell ref="AQ403"/>
    <mergeCell ref="AQ190"/>
    <mergeCell ref="AQ402"/>
    <mergeCell ref="AQ189"/>
    <mergeCell ref="AQ401"/>
    <mergeCell ref="AQ188"/>
    <mergeCell ref="AQ406"/>
    <mergeCell ref="AQ193"/>
    <mergeCell ref="AQ405"/>
    <mergeCell ref="AQ192"/>
    <mergeCell ref="AQ404"/>
    <mergeCell ref="AQ191"/>
    <mergeCell ref="AQ409"/>
    <mergeCell ref="AQ196"/>
    <mergeCell ref="AQ408"/>
    <mergeCell ref="AQ195"/>
    <mergeCell ref="AQ407"/>
    <mergeCell ref="AQ194"/>
    <mergeCell ref="AQ388"/>
    <mergeCell ref="AQ175"/>
    <mergeCell ref="AQ387"/>
    <mergeCell ref="AQ174"/>
    <mergeCell ref="AQ386"/>
    <mergeCell ref="AQ173"/>
    <mergeCell ref="AQ391"/>
    <mergeCell ref="AQ178"/>
    <mergeCell ref="AQ390"/>
    <mergeCell ref="AQ177"/>
    <mergeCell ref="AQ389"/>
    <mergeCell ref="AQ176"/>
    <mergeCell ref="AQ394"/>
    <mergeCell ref="AQ181"/>
    <mergeCell ref="AQ393"/>
    <mergeCell ref="AQ180"/>
    <mergeCell ref="AQ392"/>
    <mergeCell ref="AQ179"/>
    <mergeCell ref="AQ397"/>
    <mergeCell ref="AQ184"/>
    <mergeCell ref="AQ396"/>
    <mergeCell ref="AQ183"/>
    <mergeCell ref="AQ395"/>
    <mergeCell ref="AQ182"/>
    <mergeCell ref="AQ376"/>
    <mergeCell ref="AQ163"/>
    <mergeCell ref="AQ375"/>
    <mergeCell ref="AQ162"/>
    <mergeCell ref="AQ374"/>
    <mergeCell ref="AQ161"/>
    <mergeCell ref="AQ379"/>
    <mergeCell ref="AQ166"/>
    <mergeCell ref="AQ378"/>
    <mergeCell ref="AQ165"/>
    <mergeCell ref="AQ377"/>
    <mergeCell ref="AQ164"/>
    <mergeCell ref="AQ382"/>
    <mergeCell ref="AQ169"/>
    <mergeCell ref="AQ381"/>
    <mergeCell ref="AQ168"/>
    <mergeCell ref="AQ380"/>
    <mergeCell ref="AQ167"/>
    <mergeCell ref="AQ385"/>
    <mergeCell ref="AQ172"/>
    <mergeCell ref="AQ384"/>
    <mergeCell ref="AQ171"/>
    <mergeCell ref="AQ383"/>
    <mergeCell ref="AQ170"/>
    <mergeCell ref="AQ330"/>
    <mergeCell ref="AQ335"/>
    <mergeCell ref="AQ334"/>
    <mergeCell ref="AQ333"/>
    <mergeCell ref="AQ310"/>
    <mergeCell ref="AQ309"/>
    <mergeCell ref="AQ314"/>
    <mergeCell ref="AQ313"/>
    <mergeCell ref="AQ312"/>
    <mergeCell ref="AQ317"/>
    <mergeCell ref="AQ316"/>
    <mergeCell ref="AQ315"/>
    <mergeCell ref="AQ320"/>
    <mergeCell ref="AQ319"/>
    <mergeCell ref="AQ373"/>
    <mergeCell ref="AQ160"/>
    <mergeCell ref="AQ372"/>
    <mergeCell ref="AQ159"/>
    <mergeCell ref="AQ371"/>
    <mergeCell ref="AQ158"/>
    <mergeCell ref="AQ301"/>
    <mergeCell ref="AQ88"/>
    <mergeCell ref="AQ300"/>
    <mergeCell ref="AQ87"/>
    <mergeCell ref="AQ305"/>
    <mergeCell ref="AQ92"/>
    <mergeCell ref="AQ304"/>
    <mergeCell ref="AQ91"/>
    <mergeCell ref="AQ303"/>
    <mergeCell ref="AQ90"/>
    <mergeCell ref="AQ308"/>
    <mergeCell ref="AQ95"/>
    <mergeCell ref="AQ307"/>
    <mergeCell ref="AQ94"/>
    <mergeCell ref="AQ306"/>
    <mergeCell ref="AQ93"/>
    <mergeCell ref="AQ311"/>
    <mergeCell ref="AQ98"/>
    <mergeCell ref="AR275"/>
    <mergeCell ref="AR352"/>
    <mergeCell ref="AR349"/>
    <mergeCell ref="AR350"/>
    <mergeCell ref="AR347"/>
    <mergeCell ref="AR348"/>
    <mergeCell ref="AR339"/>
    <mergeCell ref="AR340"/>
    <mergeCell ref="AR337"/>
    <mergeCell ref="AR338"/>
    <mergeCell ref="AR335"/>
    <mergeCell ref="AR336"/>
    <mergeCell ref="AR345"/>
    <mergeCell ref="AR346"/>
    <mergeCell ref="AR343"/>
    <mergeCell ref="AR344"/>
    <mergeCell ref="AR341"/>
    <mergeCell ref="AR342"/>
    <mergeCell ref="AQ117"/>
    <mergeCell ref="AQ122"/>
    <mergeCell ref="AQ121"/>
    <mergeCell ref="AQ120"/>
    <mergeCell ref="AQ97"/>
    <mergeCell ref="AQ96"/>
    <mergeCell ref="AQ101"/>
    <mergeCell ref="AQ100"/>
    <mergeCell ref="AQ99"/>
    <mergeCell ref="AQ104"/>
    <mergeCell ref="AQ103"/>
    <mergeCell ref="AQ102"/>
    <mergeCell ref="AQ107"/>
    <mergeCell ref="AQ106"/>
    <mergeCell ref="AQ318"/>
    <mergeCell ref="AQ105"/>
    <mergeCell ref="AQ323"/>
    <mergeCell ref="AQ110"/>
    <mergeCell ref="AQ322"/>
    <mergeCell ref="AQ109"/>
    <mergeCell ref="AQ321"/>
    <mergeCell ref="AQ108"/>
    <mergeCell ref="AR287"/>
    <mergeCell ref="AR74"/>
    <mergeCell ref="AR288"/>
    <mergeCell ref="AR75"/>
    <mergeCell ref="AR285"/>
    <mergeCell ref="AR72"/>
    <mergeCell ref="AR286"/>
    <mergeCell ref="AR73"/>
    <mergeCell ref="AR283"/>
    <mergeCell ref="AR70"/>
    <mergeCell ref="AR284"/>
    <mergeCell ref="AR71"/>
    <mergeCell ref="AR257"/>
    <mergeCell ref="AR293"/>
    <mergeCell ref="AR80"/>
    <mergeCell ref="AR291"/>
    <mergeCell ref="AR78"/>
    <mergeCell ref="AR292"/>
    <mergeCell ref="AR79"/>
    <mergeCell ref="AR289"/>
    <mergeCell ref="AR76"/>
    <mergeCell ref="AR290"/>
    <mergeCell ref="AR77"/>
    <mergeCell ref="AQ367"/>
    <mergeCell ref="AQ154"/>
    <mergeCell ref="AQ366"/>
    <mergeCell ref="AQ153"/>
    <mergeCell ref="AQ365"/>
    <mergeCell ref="AQ152"/>
    <mergeCell ref="AQ370"/>
    <mergeCell ref="AQ157"/>
    <mergeCell ref="AQ369"/>
    <mergeCell ref="AQ156"/>
    <mergeCell ref="AQ368"/>
    <mergeCell ref="AQ155"/>
    <mergeCell ref="AQ284"/>
    <mergeCell ref="AQ283"/>
    <mergeCell ref="AQ282"/>
    <mergeCell ref="AQ287"/>
    <mergeCell ref="AQ286"/>
    <mergeCell ref="AQ285"/>
    <mergeCell ref="AQ290"/>
    <mergeCell ref="AQ289"/>
    <mergeCell ref="AQ288"/>
    <mergeCell ref="AQ293"/>
    <mergeCell ref="AQ292"/>
    <mergeCell ref="AQ291"/>
    <mergeCell ref="AQ272"/>
    <mergeCell ref="AQ271"/>
    <mergeCell ref="AQ270"/>
    <mergeCell ref="AQ275"/>
    <mergeCell ref="AR44"/>
    <mergeCell ref="AR258"/>
    <mergeCell ref="AR45"/>
    <mergeCell ref="AR255"/>
    <mergeCell ref="AR42"/>
    <mergeCell ref="AR256"/>
    <mergeCell ref="AR43"/>
    <mergeCell ref="AR253"/>
    <mergeCell ref="AR40"/>
    <mergeCell ref="AR254"/>
    <mergeCell ref="AR41"/>
    <mergeCell ref="AR263"/>
    <mergeCell ref="AR50"/>
    <mergeCell ref="AR264"/>
    <mergeCell ref="AR51"/>
    <mergeCell ref="AR261"/>
    <mergeCell ref="AR48"/>
    <mergeCell ref="AR262"/>
    <mergeCell ref="AR49"/>
    <mergeCell ref="AR259"/>
    <mergeCell ref="AR46"/>
    <mergeCell ref="AR260"/>
    <mergeCell ref="AR47"/>
    <mergeCell ref="AR269"/>
    <mergeCell ref="AR56"/>
    <mergeCell ref="AR270"/>
    <mergeCell ref="AR57"/>
    <mergeCell ref="AR267"/>
    <mergeCell ref="AR54"/>
    <mergeCell ref="AR268"/>
    <mergeCell ref="AR55"/>
    <mergeCell ref="AR265"/>
    <mergeCell ref="AR52"/>
    <mergeCell ref="AR266"/>
    <mergeCell ref="AR53"/>
    <mergeCell ref="AR232"/>
    <mergeCell ref="AR164"/>
    <mergeCell ref="AR173"/>
    <mergeCell ref="AR174"/>
    <mergeCell ref="AR171"/>
    <mergeCell ref="AR172"/>
    <mergeCell ref="AR169"/>
    <mergeCell ref="AR170"/>
    <mergeCell ref="AR179"/>
    <mergeCell ref="AR180"/>
    <mergeCell ref="AR177"/>
    <mergeCell ref="AR178"/>
    <mergeCell ref="AR175"/>
    <mergeCell ref="AR176"/>
    <mergeCell ref="AR62"/>
    <mergeCell ref="AR63"/>
    <mergeCell ref="AR60"/>
    <mergeCell ref="AR61"/>
    <mergeCell ref="AR58"/>
    <mergeCell ref="AR59"/>
    <mergeCell ref="AR68"/>
    <mergeCell ref="AR69"/>
    <mergeCell ref="AR66"/>
    <mergeCell ref="AR67"/>
    <mergeCell ref="AR64"/>
    <mergeCell ref="AR65"/>
    <mergeCell ref="AR19"/>
    <mergeCell ref="AR229"/>
    <mergeCell ref="AR16"/>
    <mergeCell ref="AR230"/>
    <mergeCell ref="AR17"/>
    <mergeCell ref="AR239"/>
    <mergeCell ref="AR26"/>
    <mergeCell ref="AR240"/>
    <mergeCell ref="AR27"/>
    <mergeCell ref="AR237"/>
    <mergeCell ref="AR24"/>
    <mergeCell ref="AR238"/>
    <mergeCell ref="AR25"/>
    <mergeCell ref="AR235"/>
    <mergeCell ref="AR22"/>
    <mergeCell ref="AR236"/>
    <mergeCell ref="AR23"/>
    <mergeCell ref="AR245"/>
    <mergeCell ref="AR32"/>
    <mergeCell ref="AR246"/>
    <mergeCell ref="AR33"/>
    <mergeCell ref="AR243"/>
    <mergeCell ref="AR30"/>
    <mergeCell ref="AR244"/>
    <mergeCell ref="AR31"/>
    <mergeCell ref="AR241"/>
    <mergeCell ref="AR28"/>
    <mergeCell ref="AR242"/>
    <mergeCell ref="AR29"/>
    <mergeCell ref="AR251"/>
    <mergeCell ref="AR38"/>
    <mergeCell ref="AR252"/>
    <mergeCell ref="AR39"/>
    <mergeCell ref="AR249"/>
    <mergeCell ref="AR36"/>
    <mergeCell ref="AR250"/>
    <mergeCell ref="AR37"/>
    <mergeCell ref="AR247"/>
    <mergeCell ref="AR34"/>
    <mergeCell ref="AR248"/>
    <mergeCell ref="AR35"/>
    <mergeCell ref="AR139"/>
    <mergeCell ref="AR136"/>
    <mergeCell ref="AR137"/>
    <mergeCell ref="AR134"/>
    <mergeCell ref="AR135"/>
    <mergeCell ref="AR216"/>
    <mergeCell ref="AR117"/>
    <mergeCell ref="AR126"/>
    <mergeCell ref="AR127"/>
    <mergeCell ref="AR124"/>
    <mergeCell ref="AR125"/>
    <mergeCell ref="AR122"/>
    <mergeCell ref="AR123"/>
    <mergeCell ref="AR132"/>
    <mergeCell ref="AR133"/>
    <mergeCell ref="AR130"/>
    <mergeCell ref="AR131"/>
    <mergeCell ref="AR128"/>
    <mergeCell ref="AR129"/>
    <mergeCell ref="AR168"/>
    <mergeCell ref="AR165"/>
    <mergeCell ref="AR166"/>
    <mergeCell ref="AR163"/>
    <mergeCell ref="AR3"/>
    <mergeCell ref="AR361"/>
    <mergeCell ref="AR148"/>
    <mergeCell ref="AR362"/>
    <mergeCell ref="AR149"/>
    <mergeCell ref="AR359"/>
    <mergeCell ref="AR146"/>
    <mergeCell ref="AR360"/>
    <mergeCell ref="AR147"/>
    <mergeCell ref="AR357"/>
    <mergeCell ref="AR144"/>
    <mergeCell ref="AR358"/>
    <mergeCell ref="AR145"/>
    <mergeCell ref="AR355"/>
    <mergeCell ref="AR142"/>
    <mergeCell ref="AR356"/>
    <mergeCell ref="AR143"/>
    <mergeCell ref="AR353"/>
    <mergeCell ref="AR140"/>
    <mergeCell ref="AR354"/>
    <mergeCell ref="AR141"/>
    <mergeCell ref="AR351"/>
    <mergeCell ref="AR138"/>
    <mergeCell ref="AR221"/>
    <mergeCell ref="AR8"/>
    <mergeCell ref="AR222"/>
    <mergeCell ref="AR9"/>
    <mergeCell ref="AR219"/>
    <mergeCell ref="AR6"/>
    <mergeCell ref="AR220"/>
    <mergeCell ref="AR7"/>
    <mergeCell ref="AR217"/>
    <mergeCell ref="AR4"/>
    <mergeCell ref="AR218"/>
    <mergeCell ref="AR5"/>
    <mergeCell ref="AR227"/>
    <mergeCell ref="AR14"/>
    <mergeCell ref="AR228"/>
    <mergeCell ref="AR15"/>
    <mergeCell ref="AR225"/>
    <mergeCell ref="AR12"/>
    <mergeCell ref="AR226"/>
    <mergeCell ref="AR13"/>
    <mergeCell ref="AR223"/>
    <mergeCell ref="AR10"/>
    <mergeCell ref="AR224"/>
    <mergeCell ref="AR11"/>
    <mergeCell ref="AR233"/>
    <mergeCell ref="AR20"/>
    <mergeCell ref="AR234"/>
    <mergeCell ref="AR21"/>
    <mergeCell ref="AR231"/>
    <mergeCell ref="AR18"/>
    <mergeCell ref="AR333"/>
    <mergeCell ref="AR120"/>
    <mergeCell ref="AR334"/>
    <mergeCell ref="AR121"/>
    <mergeCell ref="AR331"/>
    <mergeCell ref="AR118"/>
    <mergeCell ref="AR332"/>
    <mergeCell ref="AR119"/>
    <mergeCell ref="AR329"/>
    <mergeCell ref="AR116"/>
    <mergeCell ref="AR330"/>
    <mergeCell ref="AR417"/>
    <mergeCell ref="AR204"/>
    <mergeCell ref="AR414"/>
    <mergeCell ref="AR201"/>
    <mergeCell ref="AR415"/>
    <mergeCell ref="AR202"/>
    <mergeCell ref="AR412"/>
    <mergeCell ref="AR199"/>
    <mergeCell ref="AR413"/>
    <mergeCell ref="AR200"/>
    <mergeCell ref="AR297"/>
    <mergeCell ref="AR84"/>
    <mergeCell ref="AR298"/>
    <mergeCell ref="AR85"/>
    <mergeCell ref="AR296"/>
    <mergeCell ref="AR83"/>
    <mergeCell ref="AR424"/>
    <mergeCell ref="AR211"/>
    <mergeCell ref="AR425"/>
    <mergeCell ref="AR212"/>
    <mergeCell ref="AR422"/>
    <mergeCell ref="AR209"/>
    <mergeCell ref="AR423"/>
    <mergeCell ref="AR210"/>
    <mergeCell ref="AR420"/>
    <mergeCell ref="AR207"/>
    <mergeCell ref="AR421"/>
    <mergeCell ref="AR208"/>
    <mergeCell ref="AR418"/>
    <mergeCell ref="AR205"/>
    <mergeCell ref="AR419"/>
    <mergeCell ref="AR206"/>
    <mergeCell ref="AR416"/>
    <mergeCell ref="AR203"/>
    <mergeCell ref="AR303"/>
    <mergeCell ref="AR90"/>
    <mergeCell ref="AR304"/>
    <mergeCell ref="AR91"/>
    <mergeCell ref="AR301"/>
    <mergeCell ref="AR88"/>
    <mergeCell ref="AR302"/>
    <mergeCell ref="AR89"/>
    <mergeCell ref="AR299"/>
    <mergeCell ref="AR86"/>
    <mergeCell ref="AR300"/>
    <mergeCell ref="AR87"/>
    <mergeCell ref="AR309"/>
    <mergeCell ref="AR96"/>
    <mergeCell ref="AR310"/>
    <mergeCell ref="AR97"/>
    <mergeCell ref="AR307"/>
    <mergeCell ref="AR94"/>
    <mergeCell ref="AR308"/>
    <mergeCell ref="AR95"/>
    <mergeCell ref="AR305"/>
    <mergeCell ref="AR92"/>
    <mergeCell ref="AR306"/>
    <mergeCell ref="AR93"/>
    <mergeCell ref="AR315"/>
    <mergeCell ref="AR102"/>
    <mergeCell ref="AR316"/>
    <mergeCell ref="AR103"/>
    <mergeCell ref="AR313"/>
    <mergeCell ref="AR100"/>
    <mergeCell ref="AR398"/>
    <mergeCell ref="AR185"/>
    <mergeCell ref="AR399"/>
    <mergeCell ref="AR186"/>
    <mergeCell ref="AR396"/>
    <mergeCell ref="AR183"/>
    <mergeCell ref="AR397"/>
    <mergeCell ref="AR184"/>
    <mergeCell ref="AR394"/>
    <mergeCell ref="AR181"/>
    <mergeCell ref="AR395"/>
    <mergeCell ref="AR182"/>
    <mergeCell ref="AR404"/>
    <mergeCell ref="AR191"/>
    <mergeCell ref="AR405"/>
    <mergeCell ref="AR192"/>
    <mergeCell ref="AR402"/>
    <mergeCell ref="AR189"/>
    <mergeCell ref="AR403"/>
    <mergeCell ref="AR190"/>
    <mergeCell ref="AR400"/>
    <mergeCell ref="AR187"/>
    <mergeCell ref="AR401"/>
    <mergeCell ref="AR188"/>
    <mergeCell ref="AR410"/>
    <mergeCell ref="AR197"/>
    <mergeCell ref="AR411"/>
    <mergeCell ref="AR198"/>
    <mergeCell ref="AR408"/>
    <mergeCell ref="AR195"/>
    <mergeCell ref="AR409"/>
    <mergeCell ref="AR196"/>
    <mergeCell ref="AR406"/>
    <mergeCell ref="AR193"/>
    <mergeCell ref="AR407"/>
    <mergeCell ref="AR194"/>
    <mergeCell ref="AR381"/>
    <mergeCell ref="AR378"/>
    <mergeCell ref="AR379"/>
    <mergeCell ref="AR376"/>
    <mergeCell ref="AR377"/>
    <mergeCell ref="AR386"/>
    <mergeCell ref="AR387"/>
    <mergeCell ref="AR384"/>
    <mergeCell ref="AR385"/>
    <mergeCell ref="AR382"/>
    <mergeCell ref="AR383"/>
    <mergeCell ref="AR392"/>
    <mergeCell ref="AR393"/>
    <mergeCell ref="AR390"/>
    <mergeCell ref="AR391"/>
    <mergeCell ref="AR388"/>
    <mergeCell ref="AR389"/>
    <mergeCell ref="AR276"/>
    <mergeCell ref="AR273"/>
    <mergeCell ref="AR274"/>
    <mergeCell ref="AR271"/>
    <mergeCell ref="AR272"/>
    <mergeCell ref="AR281"/>
    <mergeCell ref="AR282"/>
    <mergeCell ref="AR279"/>
    <mergeCell ref="AR280"/>
    <mergeCell ref="AR277"/>
    <mergeCell ref="AR278"/>
    <mergeCell ref="AS293"/>
    <mergeCell ref="AS80"/>
    <mergeCell ref="AS291"/>
    <mergeCell ref="AS78"/>
    <mergeCell ref="AS292"/>
    <mergeCell ref="AS79"/>
    <mergeCell ref="AS289"/>
    <mergeCell ref="AS76"/>
    <mergeCell ref="AS290"/>
    <mergeCell ref="AS77"/>
    <mergeCell ref="AR368"/>
    <mergeCell ref="AR155"/>
    <mergeCell ref="AR369"/>
    <mergeCell ref="AR156"/>
    <mergeCell ref="AR366"/>
    <mergeCell ref="AR153"/>
    <mergeCell ref="AR367"/>
    <mergeCell ref="AR154"/>
    <mergeCell ref="AR365"/>
    <mergeCell ref="AR152"/>
    <mergeCell ref="AR374"/>
    <mergeCell ref="AR161"/>
    <mergeCell ref="AR375"/>
    <mergeCell ref="AR162"/>
    <mergeCell ref="AR372"/>
    <mergeCell ref="AR159"/>
    <mergeCell ref="AR373"/>
    <mergeCell ref="AR160"/>
    <mergeCell ref="AR370"/>
    <mergeCell ref="AR157"/>
    <mergeCell ref="AR371"/>
    <mergeCell ref="AR158"/>
    <mergeCell ref="AR380"/>
    <mergeCell ref="AR167"/>
    <mergeCell ref="AR314"/>
    <mergeCell ref="AR101"/>
    <mergeCell ref="AR311"/>
    <mergeCell ref="AR98"/>
    <mergeCell ref="AR312"/>
    <mergeCell ref="AR99"/>
    <mergeCell ref="AR321"/>
    <mergeCell ref="AR108"/>
    <mergeCell ref="AR322"/>
    <mergeCell ref="AR109"/>
    <mergeCell ref="AR319"/>
    <mergeCell ref="AR106"/>
    <mergeCell ref="AR320"/>
    <mergeCell ref="AR107"/>
    <mergeCell ref="AR317"/>
    <mergeCell ref="AR104"/>
    <mergeCell ref="AR318"/>
    <mergeCell ref="AR105"/>
    <mergeCell ref="AR327"/>
    <mergeCell ref="AR114"/>
    <mergeCell ref="AR328"/>
    <mergeCell ref="AR115"/>
    <mergeCell ref="AR325"/>
    <mergeCell ref="AR112"/>
    <mergeCell ref="AR326"/>
    <mergeCell ref="AR113"/>
    <mergeCell ref="AR323"/>
    <mergeCell ref="AR110"/>
    <mergeCell ref="AR324"/>
    <mergeCell ref="AR111"/>
    <mergeCell ref="AS276"/>
    <mergeCell ref="AS63"/>
    <mergeCell ref="AS273"/>
    <mergeCell ref="AS60"/>
    <mergeCell ref="AS274"/>
    <mergeCell ref="AS61"/>
    <mergeCell ref="AS271"/>
    <mergeCell ref="AS58"/>
    <mergeCell ref="AS272"/>
    <mergeCell ref="AS59"/>
    <mergeCell ref="AS281"/>
    <mergeCell ref="AS68"/>
    <mergeCell ref="AS282"/>
    <mergeCell ref="AS69"/>
    <mergeCell ref="AS279"/>
    <mergeCell ref="AS66"/>
    <mergeCell ref="AS280"/>
    <mergeCell ref="AS67"/>
    <mergeCell ref="AS277"/>
    <mergeCell ref="AS64"/>
    <mergeCell ref="AS278"/>
    <mergeCell ref="AS65"/>
    <mergeCell ref="AS287"/>
    <mergeCell ref="AS74"/>
    <mergeCell ref="AS288"/>
    <mergeCell ref="AS75"/>
    <mergeCell ref="AS285"/>
    <mergeCell ref="AS72"/>
    <mergeCell ref="AS286"/>
    <mergeCell ref="AS73"/>
    <mergeCell ref="AS283"/>
    <mergeCell ref="AS70"/>
    <mergeCell ref="AS284"/>
    <mergeCell ref="AS71"/>
    <mergeCell ref="AS257"/>
    <mergeCell ref="AS25"/>
    <mergeCell ref="AS235"/>
    <mergeCell ref="AS22"/>
    <mergeCell ref="AS236"/>
    <mergeCell ref="AS23"/>
    <mergeCell ref="AS245"/>
    <mergeCell ref="AS32"/>
    <mergeCell ref="AS246"/>
    <mergeCell ref="AS33"/>
    <mergeCell ref="AS243"/>
    <mergeCell ref="AS30"/>
    <mergeCell ref="AS244"/>
    <mergeCell ref="AS31"/>
    <mergeCell ref="AS241"/>
    <mergeCell ref="AS28"/>
    <mergeCell ref="AS242"/>
    <mergeCell ref="AS29"/>
    <mergeCell ref="AS251"/>
    <mergeCell ref="AS38"/>
    <mergeCell ref="AS252"/>
    <mergeCell ref="AS39"/>
    <mergeCell ref="AS249"/>
    <mergeCell ref="AS36"/>
    <mergeCell ref="AS250"/>
    <mergeCell ref="AS37"/>
    <mergeCell ref="AS247"/>
    <mergeCell ref="AS34"/>
    <mergeCell ref="AS248"/>
    <mergeCell ref="AS35"/>
    <mergeCell ref="AS120"/>
    <mergeCell ref="AS44"/>
    <mergeCell ref="AS258"/>
    <mergeCell ref="AS45"/>
    <mergeCell ref="AS255"/>
    <mergeCell ref="AS42"/>
    <mergeCell ref="AS256"/>
    <mergeCell ref="AS43"/>
    <mergeCell ref="AS253"/>
    <mergeCell ref="AS40"/>
    <mergeCell ref="AS254"/>
    <mergeCell ref="AS41"/>
    <mergeCell ref="AS50"/>
    <mergeCell ref="AS51"/>
    <mergeCell ref="AS48"/>
    <mergeCell ref="AS49"/>
    <mergeCell ref="AS46"/>
    <mergeCell ref="AS47"/>
    <mergeCell ref="AS56"/>
    <mergeCell ref="AS57"/>
    <mergeCell ref="AS54"/>
    <mergeCell ref="AS55"/>
    <mergeCell ref="AS52"/>
    <mergeCell ref="AS53"/>
    <mergeCell ref="AS232"/>
    <mergeCell ref="AS121"/>
    <mergeCell ref="AS62"/>
    <mergeCell ref="AS3"/>
    <mergeCell ref="AS361"/>
    <mergeCell ref="AS148"/>
    <mergeCell ref="AS362"/>
    <mergeCell ref="AS149"/>
    <mergeCell ref="AS359"/>
    <mergeCell ref="AS146"/>
    <mergeCell ref="AS360"/>
    <mergeCell ref="AS147"/>
    <mergeCell ref="AS357"/>
    <mergeCell ref="AS144"/>
    <mergeCell ref="AS358"/>
    <mergeCell ref="AS145"/>
    <mergeCell ref="AS355"/>
    <mergeCell ref="AS142"/>
    <mergeCell ref="AS356"/>
    <mergeCell ref="AS143"/>
    <mergeCell ref="AS353"/>
    <mergeCell ref="AS140"/>
    <mergeCell ref="AS354"/>
    <mergeCell ref="AS141"/>
    <mergeCell ref="AS351"/>
    <mergeCell ref="AS138"/>
    <mergeCell ref="AS221"/>
    <mergeCell ref="AS8"/>
    <mergeCell ref="AS222"/>
    <mergeCell ref="AS9"/>
    <mergeCell ref="AS219"/>
    <mergeCell ref="AS6"/>
    <mergeCell ref="AS220"/>
    <mergeCell ref="AS7"/>
    <mergeCell ref="AS217"/>
    <mergeCell ref="AS4"/>
    <mergeCell ref="AS218"/>
    <mergeCell ref="AS5"/>
    <mergeCell ref="AS227"/>
    <mergeCell ref="AS14"/>
    <mergeCell ref="AS228"/>
    <mergeCell ref="AS15"/>
    <mergeCell ref="AS225"/>
    <mergeCell ref="AS12"/>
    <mergeCell ref="AS226"/>
    <mergeCell ref="AS13"/>
    <mergeCell ref="AS223"/>
    <mergeCell ref="AS10"/>
    <mergeCell ref="AS224"/>
    <mergeCell ref="AS11"/>
    <mergeCell ref="AS233"/>
    <mergeCell ref="AS20"/>
    <mergeCell ref="AS234"/>
    <mergeCell ref="AS21"/>
    <mergeCell ref="AS231"/>
    <mergeCell ref="AS18"/>
    <mergeCell ref="AS19"/>
    <mergeCell ref="AS229"/>
    <mergeCell ref="AS16"/>
    <mergeCell ref="AS230"/>
    <mergeCell ref="AS17"/>
    <mergeCell ref="AS239"/>
    <mergeCell ref="AS26"/>
    <mergeCell ref="AS240"/>
    <mergeCell ref="AS27"/>
    <mergeCell ref="AS237"/>
    <mergeCell ref="AS24"/>
    <mergeCell ref="AS331"/>
    <mergeCell ref="AS118"/>
    <mergeCell ref="AS332"/>
    <mergeCell ref="AS119"/>
    <mergeCell ref="AS329"/>
    <mergeCell ref="AS116"/>
    <mergeCell ref="AS330"/>
    <mergeCell ref="AS117"/>
    <mergeCell ref="AS339"/>
    <mergeCell ref="AS126"/>
    <mergeCell ref="AS340"/>
    <mergeCell ref="AS127"/>
    <mergeCell ref="AS337"/>
    <mergeCell ref="AS124"/>
    <mergeCell ref="AS338"/>
    <mergeCell ref="AS125"/>
    <mergeCell ref="AS335"/>
    <mergeCell ref="AS122"/>
    <mergeCell ref="AS336"/>
    <mergeCell ref="AS123"/>
    <mergeCell ref="AS345"/>
    <mergeCell ref="AS132"/>
    <mergeCell ref="AS346"/>
    <mergeCell ref="AS133"/>
    <mergeCell ref="AS343"/>
    <mergeCell ref="AS130"/>
    <mergeCell ref="AS344"/>
    <mergeCell ref="AS131"/>
    <mergeCell ref="AS341"/>
    <mergeCell ref="AS128"/>
    <mergeCell ref="AS342"/>
    <mergeCell ref="AS129"/>
    <mergeCell ref="AS168"/>
    <mergeCell ref="AS165"/>
    <mergeCell ref="AS166"/>
    <mergeCell ref="AS163"/>
    <mergeCell ref="AS164"/>
    <mergeCell ref="AS173"/>
    <mergeCell ref="AS174"/>
    <mergeCell ref="AS171"/>
    <mergeCell ref="AS172"/>
    <mergeCell ref="AS169"/>
    <mergeCell ref="AS170"/>
    <mergeCell ref="AS179"/>
    <mergeCell ref="AS180"/>
    <mergeCell ref="AS177"/>
    <mergeCell ref="AS178"/>
    <mergeCell ref="AS175"/>
    <mergeCell ref="AS176"/>
    <mergeCell ref="AS139"/>
    <mergeCell ref="AS136"/>
    <mergeCell ref="AS137"/>
    <mergeCell ref="AS134"/>
    <mergeCell ref="AS135"/>
    <mergeCell ref="AS216"/>
    <mergeCell ref="AS238"/>
    <mergeCell ref="AS263"/>
    <mergeCell ref="AS264"/>
    <mergeCell ref="AS261"/>
    <mergeCell ref="AS262"/>
    <mergeCell ref="AS259"/>
    <mergeCell ref="AS260"/>
    <mergeCell ref="AS269"/>
    <mergeCell ref="AS275"/>
    <mergeCell ref="AS417"/>
    <mergeCell ref="AS204"/>
    <mergeCell ref="AS414"/>
    <mergeCell ref="AS201"/>
    <mergeCell ref="AS415"/>
    <mergeCell ref="AS202"/>
    <mergeCell ref="AS412"/>
    <mergeCell ref="AS199"/>
    <mergeCell ref="AS413"/>
    <mergeCell ref="AS200"/>
    <mergeCell ref="AS297"/>
    <mergeCell ref="AS84"/>
    <mergeCell ref="AS298"/>
    <mergeCell ref="AS85"/>
    <mergeCell ref="AS296"/>
    <mergeCell ref="AS83"/>
    <mergeCell ref="AS424"/>
    <mergeCell ref="AS211"/>
    <mergeCell ref="AS425"/>
    <mergeCell ref="AS212"/>
    <mergeCell ref="AS422"/>
    <mergeCell ref="AS209"/>
    <mergeCell ref="AS423"/>
    <mergeCell ref="AS210"/>
    <mergeCell ref="AS420"/>
    <mergeCell ref="AS207"/>
    <mergeCell ref="AS421"/>
    <mergeCell ref="AS208"/>
    <mergeCell ref="AS418"/>
    <mergeCell ref="AS205"/>
    <mergeCell ref="AS419"/>
    <mergeCell ref="AS206"/>
    <mergeCell ref="AS416"/>
    <mergeCell ref="AS203"/>
    <mergeCell ref="AS303"/>
    <mergeCell ref="AS90"/>
    <mergeCell ref="AS304"/>
    <mergeCell ref="AS91"/>
    <mergeCell ref="AS301"/>
    <mergeCell ref="AS88"/>
    <mergeCell ref="AS302"/>
    <mergeCell ref="AS89"/>
    <mergeCell ref="AS299"/>
    <mergeCell ref="AS86"/>
    <mergeCell ref="AS300"/>
    <mergeCell ref="AS87"/>
    <mergeCell ref="AS309"/>
    <mergeCell ref="AS96"/>
    <mergeCell ref="AS310"/>
    <mergeCell ref="AS97"/>
    <mergeCell ref="AS307"/>
    <mergeCell ref="AS94"/>
    <mergeCell ref="AS308"/>
    <mergeCell ref="AS95"/>
    <mergeCell ref="AS305"/>
    <mergeCell ref="AS92"/>
    <mergeCell ref="AS306"/>
    <mergeCell ref="AS93"/>
    <mergeCell ref="AS315"/>
    <mergeCell ref="AS102"/>
    <mergeCell ref="AS316"/>
    <mergeCell ref="AS103"/>
    <mergeCell ref="AS313"/>
    <mergeCell ref="AS100"/>
    <mergeCell ref="AS398"/>
    <mergeCell ref="AS185"/>
    <mergeCell ref="AS399"/>
    <mergeCell ref="AS186"/>
    <mergeCell ref="AS396"/>
    <mergeCell ref="AS183"/>
    <mergeCell ref="AS397"/>
    <mergeCell ref="AS184"/>
    <mergeCell ref="AS394"/>
    <mergeCell ref="AS181"/>
    <mergeCell ref="AS395"/>
    <mergeCell ref="AS182"/>
    <mergeCell ref="AS404"/>
    <mergeCell ref="AS191"/>
    <mergeCell ref="AS405"/>
    <mergeCell ref="AS192"/>
    <mergeCell ref="AS402"/>
    <mergeCell ref="AS189"/>
    <mergeCell ref="AS403"/>
    <mergeCell ref="AS190"/>
    <mergeCell ref="AS400"/>
    <mergeCell ref="AS187"/>
    <mergeCell ref="AS401"/>
    <mergeCell ref="AS188"/>
    <mergeCell ref="AS410"/>
    <mergeCell ref="AS197"/>
    <mergeCell ref="AS411"/>
    <mergeCell ref="AS198"/>
    <mergeCell ref="AS408"/>
    <mergeCell ref="AS195"/>
    <mergeCell ref="AS409"/>
    <mergeCell ref="AS196"/>
    <mergeCell ref="AS406"/>
    <mergeCell ref="AS193"/>
    <mergeCell ref="AS407"/>
    <mergeCell ref="AS194"/>
    <mergeCell ref="AS381"/>
    <mergeCell ref="AS378"/>
    <mergeCell ref="AS379"/>
    <mergeCell ref="AS376"/>
    <mergeCell ref="AS377"/>
    <mergeCell ref="AS386"/>
    <mergeCell ref="AS387"/>
    <mergeCell ref="AS384"/>
    <mergeCell ref="AS385"/>
    <mergeCell ref="AS382"/>
    <mergeCell ref="AS383"/>
    <mergeCell ref="AS392"/>
    <mergeCell ref="AS393"/>
    <mergeCell ref="AS390"/>
    <mergeCell ref="AS391"/>
    <mergeCell ref="AS388"/>
    <mergeCell ref="AS389"/>
    <mergeCell ref="AS334"/>
    <mergeCell ref="AS352"/>
    <mergeCell ref="AS349"/>
    <mergeCell ref="AS350"/>
    <mergeCell ref="AS347"/>
    <mergeCell ref="AS348"/>
    <mergeCell ref="AS270"/>
    <mergeCell ref="AS267"/>
    <mergeCell ref="AS268"/>
    <mergeCell ref="AS265"/>
    <mergeCell ref="AS266"/>
    <mergeCell ref="AT293"/>
    <mergeCell ref="AT80"/>
    <mergeCell ref="AT292"/>
    <mergeCell ref="AT79"/>
    <mergeCell ref="AT291"/>
    <mergeCell ref="AT78"/>
    <mergeCell ref="AS368"/>
    <mergeCell ref="AS155"/>
    <mergeCell ref="AS369"/>
    <mergeCell ref="AS156"/>
    <mergeCell ref="AS366"/>
    <mergeCell ref="AS153"/>
    <mergeCell ref="AS367"/>
    <mergeCell ref="AS154"/>
    <mergeCell ref="AS365"/>
    <mergeCell ref="AS152"/>
    <mergeCell ref="AS374"/>
    <mergeCell ref="AS161"/>
    <mergeCell ref="AS375"/>
    <mergeCell ref="AS162"/>
    <mergeCell ref="AS372"/>
    <mergeCell ref="AS159"/>
    <mergeCell ref="AS373"/>
    <mergeCell ref="AS160"/>
    <mergeCell ref="AS370"/>
    <mergeCell ref="AS157"/>
    <mergeCell ref="AS371"/>
    <mergeCell ref="AS158"/>
    <mergeCell ref="AS380"/>
    <mergeCell ref="AS167"/>
    <mergeCell ref="AS314"/>
    <mergeCell ref="AS101"/>
    <mergeCell ref="AS311"/>
    <mergeCell ref="AS98"/>
    <mergeCell ref="AS312"/>
    <mergeCell ref="AS99"/>
    <mergeCell ref="AS321"/>
    <mergeCell ref="AS108"/>
    <mergeCell ref="AS322"/>
    <mergeCell ref="AS109"/>
    <mergeCell ref="AS319"/>
    <mergeCell ref="AS106"/>
    <mergeCell ref="AS320"/>
    <mergeCell ref="AS107"/>
    <mergeCell ref="AS317"/>
    <mergeCell ref="AS104"/>
    <mergeCell ref="AS318"/>
    <mergeCell ref="AS105"/>
    <mergeCell ref="AS327"/>
    <mergeCell ref="AS114"/>
    <mergeCell ref="AS328"/>
    <mergeCell ref="AS115"/>
    <mergeCell ref="AS325"/>
    <mergeCell ref="AS112"/>
    <mergeCell ref="AS326"/>
    <mergeCell ref="AS113"/>
    <mergeCell ref="AS323"/>
    <mergeCell ref="AS110"/>
    <mergeCell ref="AS324"/>
    <mergeCell ref="AS111"/>
    <mergeCell ref="AS333"/>
    <mergeCell ref="AT281"/>
    <mergeCell ref="AT362"/>
    <mergeCell ref="AT361"/>
    <mergeCell ref="AT280"/>
    <mergeCell ref="AT67"/>
    <mergeCell ref="AT279"/>
    <mergeCell ref="AT66"/>
    <mergeCell ref="AT284"/>
    <mergeCell ref="AT71"/>
    <mergeCell ref="AT283"/>
    <mergeCell ref="AT70"/>
    <mergeCell ref="AT282"/>
    <mergeCell ref="AT69"/>
    <mergeCell ref="AT287"/>
    <mergeCell ref="AT74"/>
    <mergeCell ref="AT286"/>
    <mergeCell ref="AT73"/>
    <mergeCell ref="AT285"/>
    <mergeCell ref="AT72"/>
    <mergeCell ref="AT290"/>
    <mergeCell ref="AT77"/>
    <mergeCell ref="AT289"/>
    <mergeCell ref="AT76"/>
    <mergeCell ref="AT288"/>
    <mergeCell ref="AT75"/>
    <mergeCell ref="AT269"/>
    <mergeCell ref="AT56"/>
    <mergeCell ref="AT268"/>
    <mergeCell ref="AT55"/>
    <mergeCell ref="AT267"/>
    <mergeCell ref="AT54"/>
    <mergeCell ref="AT272"/>
    <mergeCell ref="AT59"/>
    <mergeCell ref="AT271"/>
    <mergeCell ref="AT58"/>
    <mergeCell ref="AT270"/>
    <mergeCell ref="AT57"/>
    <mergeCell ref="AT275"/>
    <mergeCell ref="AT62"/>
    <mergeCell ref="AT274"/>
    <mergeCell ref="AT61"/>
    <mergeCell ref="AT273"/>
    <mergeCell ref="AT60"/>
    <mergeCell ref="AT278"/>
    <mergeCell ref="AT65"/>
    <mergeCell ref="AT277"/>
    <mergeCell ref="AT64"/>
    <mergeCell ref="AT276"/>
    <mergeCell ref="AT63"/>
    <mergeCell ref="AT257"/>
    <mergeCell ref="AT44"/>
    <mergeCell ref="AT256"/>
    <mergeCell ref="AT43"/>
    <mergeCell ref="AT255"/>
    <mergeCell ref="AT42"/>
    <mergeCell ref="AT260"/>
    <mergeCell ref="AT47"/>
    <mergeCell ref="AT259"/>
    <mergeCell ref="AT46"/>
    <mergeCell ref="AT258"/>
    <mergeCell ref="AT45"/>
    <mergeCell ref="AT263"/>
    <mergeCell ref="AT50"/>
    <mergeCell ref="AT262"/>
    <mergeCell ref="AT49"/>
    <mergeCell ref="AT261"/>
    <mergeCell ref="AT48"/>
    <mergeCell ref="AT266"/>
    <mergeCell ref="AT53"/>
    <mergeCell ref="AT265"/>
    <mergeCell ref="AT52"/>
    <mergeCell ref="AT264"/>
    <mergeCell ref="AT51"/>
    <mergeCell ref="AT241"/>
    <mergeCell ref="AT28"/>
    <mergeCell ref="AT240"/>
    <mergeCell ref="AT27"/>
    <mergeCell ref="AT245"/>
    <mergeCell ref="AT32"/>
    <mergeCell ref="AT244"/>
    <mergeCell ref="AT31"/>
    <mergeCell ref="AT243"/>
    <mergeCell ref="AT30"/>
    <mergeCell ref="AT248"/>
    <mergeCell ref="AT35"/>
    <mergeCell ref="AT247"/>
    <mergeCell ref="AT34"/>
    <mergeCell ref="AT246"/>
    <mergeCell ref="AT33"/>
    <mergeCell ref="AT251"/>
    <mergeCell ref="AT38"/>
    <mergeCell ref="AT250"/>
    <mergeCell ref="AT37"/>
    <mergeCell ref="AT249"/>
    <mergeCell ref="AT36"/>
    <mergeCell ref="AT254"/>
    <mergeCell ref="AT41"/>
    <mergeCell ref="AT253"/>
    <mergeCell ref="AT40"/>
    <mergeCell ref="AT252"/>
    <mergeCell ref="AT39"/>
    <mergeCell ref="AT216"/>
    <mergeCell ref="AT112"/>
    <mergeCell ref="AT68"/>
    <mergeCell ref="AT3"/>
    <mergeCell ref="AT221"/>
    <mergeCell ref="AT8"/>
    <mergeCell ref="AT220"/>
    <mergeCell ref="AT7"/>
    <mergeCell ref="AT219"/>
    <mergeCell ref="AT6"/>
    <mergeCell ref="AT224"/>
    <mergeCell ref="AT11"/>
    <mergeCell ref="AT223"/>
    <mergeCell ref="AT10"/>
    <mergeCell ref="AT222"/>
    <mergeCell ref="AT9"/>
    <mergeCell ref="AT227"/>
    <mergeCell ref="AT14"/>
    <mergeCell ref="AT226"/>
    <mergeCell ref="AT13"/>
    <mergeCell ref="AT225"/>
    <mergeCell ref="AT12"/>
    <mergeCell ref="AT230"/>
    <mergeCell ref="AT17"/>
    <mergeCell ref="AT229"/>
    <mergeCell ref="AT16"/>
    <mergeCell ref="AT228"/>
    <mergeCell ref="AT15"/>
    <mergeCell ref="AT356"/>
    <mergeCell ref="AT143"/>
    <mergeCell ref="AT355"/>
    <mergeCell ref="AT142"/>
    <mergeCell ref="AT354"/>
    <mergeCell ref="AT141"/>
    <mergeCell ref="AT359"/>
    <mergeCell ref="AT146"/>
    <mergeCell ref="AT358"/>
    <mergeCell ref="AT145"/>
    <mergeCell ref="AT357"/>
    <mergeCell ref="AT144"/>
    <mergeCell ref="AT149"/>
    <mergeCell ref="AT148"/>
    <mergeCell ref="AT337"/>
    <mergeCell ref="AT124"/>
    <mergeCell ref="AT336"/>
    <mergeCell ref="AT123"/>
    <mergeCell ref="AT341"/>
    <mergeCell ref="AT128"/>
    <mergeCell ref="AT340"/>
    <mergeCell ref="AT127"/>
    <mergeCell ref="AT339"/>
    <mergeCell ref="AT126"/>
    <mergeCell ref="AT320"/>
    <mergeCell ref="AT107"/>
    <mergeCell ref="AT319"/>
    <mergeCell ref="AT106"/>
    <mergeCell ref="AT318"/>
    <mergeCell ref="AT105"/>
    <mergeCell ref="AT323"/>
    <mergeCell ref="AT110"/>
    <mergeCell ref="AT322"/>
    <mergeCell ref="AT109"/>
    <mergeCell ref="AT321"/>
    <mergeCell ref="AT108"/>
    <mergeCell ref="AT326"/>
    <mergeCell ref="AT113"/>
    <mergeCell ref="AT325"/>
    <mergeCell ref="AT360"/>
    <mergeCell ref="AT147"/>
    <mergeCell ref="AT218"/>
    <mergeCell ref="AT5"/>
    <mergeCell ref="AT217"/>
    <mergeCell ref="AT4"/>
    <mergeCell ref="AT233"/>
    <mergeCell ref="AT20"/>
    <mergeCell ref="AT232"/>
    <mergeCell ref="AT19"/>
    <mergeCell ref="AT231"/>
    <mergeCell ref="AT18"/>
    <mergeCell ref="AT236"/>
    <mergeCell ref="AT23"/>
    <mergeCell ref="AT235"/>
    <mergeCell ref="AT22"/>
    <mergeCell ref="AT234"/>
    <mergeCell ref="AT21"/>
    <mergeCell ref="AT239"/>
    <mergeCell ref="AT26"/>
    <mergeCell ref="AT238"/>
    <mergeCell ref="AT25"/>
    <mergeCell ref="AT237"/>
    <mergeCell ref="AT24"/>
    <mergeCell ref="AT242"/>
    <mergeCell ref="AT29"/>
    <mergeCell ref="AT344"/>
    <mergeCell ref="AT131"/>
    <mergeCell ref="AT343"/>
    <mergeCell ref="AT130"/>
    <mergeCell ref="AT342"/>
    <mergeCell ref="AT129"/>
    <mergeCell ref="AT347"/>
    <mergeCell ref="AT134"/>
    <mergeCell ref="AT346"/>
    <mergeCell ref="AT133"/>
    <mergeCell ref="AT345"/>
    <mergeCell ref="AT132"/>
    <mergeCell ref="AT350"/>
    <mergeCell ref="AT137"/>
    <mergeCell ref="AT349"/>
    <mergeCell ref="AT136"/>
    <mergeCell ref="AT348"/>
    <mergeCell ref="AT135"/>
    <mergeCell ref="AT353"/>
    <mergeCell ref="AT140"/>
    <mergeCell ref="AT352"/>
    <mergeCell ref="AT139"/>
    <mergeCell ref="AT351"/>
    <mergeCell ref="AT138"/>
    <mergeCell ref="AT332"/>
    <mergeCell ref="AT119"/>
    <mergeCell ref="AT331"/>
    <mergeCell ref="AT118"/>
    <mergeCell ref="AT330"/>
    <mergeCell ref="AT117"/>
    <mergeCell ref="AT335"/>
    <mergeCell ref="AT122"/>
    <mergeCell ref="AT334"/>
    <mergeCell ref="AT121"/>
    <mergeCell ref="AT333"/>
    <mergeCell ref="AT120"/>
    <mergeCell ref="AT338"/>
    <mergeCell ref="AT125"/>
    <mergeCell ref="AT406"/>
    <mergeCell ref="AT193"/>
    <mergeCell ref="AT405"/>
    <mergeCell ref="AT192"/>
    <mergeCell ref="AT404"/>
    <mergeCell ref="AT191"/>
    <mergeCell ref="AT409"/>
    <mergeCell ref="AT196"/>
    <mergeCell ref="AT408"/>
    <mergeCell ref="AT195"/>
    <mergeCell ref="AT407"/>
    <mergeCell ref="AT194"/>
    <mergeCell ref="AT412"/>
    <mergeCell ref="AT199"/>
    <mergeCell ref="AT411"/>
    <mergeCell ref="AT198"/>
    <mergeCell ref="AT324"/>
    <mergeCell ref="AT111"/>
    <mergeCell ref="AT329"/>
    <mergeCell ref="AT116"/>
    <mergeCell ref="AT328"/>
    <mergeCell ref="AT115"/>
    <mergeCell ref="AT327"/>
    <mergeCell ref="AT114"/>
    <mergeCell ref="AT304"/>
    <mergeCell ref="AT91"/>
    <mergeCell ref="AT303"/>
    <mergeCell ref="AT90"/>
    <mergeCell ref="AT308"/>
    <mergeCell ref="AT95"/>
    <mergeCell ref="AT307"/>
    <mergeCell ref="AT94"/>
    <mergeCell ref="AT306"/>
    <mergeCell ref="AT93"/>
    <mergeCell ref="AT311"/>
    <mergeCell ref="AT98"/>
    <mergeCell ref="AT310"/>
    <mergeCell ref="AT97"/>
    <mergeCell ref="AT309"/>
    <mergeCell ref="AT96"/>
    <mergeCell ref="AT314"/>
    <mergeCell ref="AT101"/>
    <mergeCell ref="AT313"/>
    <mergeCell ref="AT100"/>
    <mergeCell ref="AT312"/>
    <mergeCell ref="AT99"/>
    <mergeCell ref="AT317"/>
    <mergeCell ref="AT104"/>
    <mergeCell ref="AT316"/>
    <mergeCell ref="AT103"/>
    <mergeCell ref="AT315"/>
    <mergeCell ref="AT102"/>
    <mergeCell ref="AT154"/>
    <mergeCell ref="AT153"/>
    <mergeCell ref="AT152"/>
    <mergeCell ref="AT157"/>
    <mergeCell ref="AT156"/>
    <mergeCell ref="AT155"/>
    <mergeCell ref="AT160"/>
    <mergeCell ref="AT159"/>
    <mergeCell ref="AT158"/>
    <mergeCell ref="AT163"/>
    <mergeCell ref="AT162"/>
    <mergeCell ref="AT161"/>
    <mergeCell ref="AT387"/>
    <mergeCell ref="AT174"/>
    <mergeCell ref="AT386"/>
    <mergeCell ref="AT173"/>
    <mergeCell ref="AT367"/>
    <mergeCell ref="AT366"/>
    <mergeCell ref="AT365"/>
    <mergeCell ref="AT370"/>
    <mergeCell ref="AT369"/>
    <mergeCell ref="AT368"/>
    <mergeCell ref="AT373"/>
    <mergeCell ref="AT372"/>
    <mergeCell ref="AT371"/>
    <mergeCell ref="AT376"/>
    <mergeCell ref="AT375"/>
    <mergeCell ref="AT374"/>
    <mergeCell ref="AT415"/>
    <mergeCell ref="AT202"/>
    <mergeCell ref="AT414"/>
    <mergeCell ref="AT201"/>
    <mergeCell ref="AT413"/>
    <mergeCell ref="AT200"/>
    <mergeCell ref="AT418"/>
    <mergeCell ref="AT205"/>
    <mergeCell ref="AT417"/>
    <mergeCell ref="AT204"/>
    <mergeCell ref="AT416"/>
    <mergeCell ref="AT203"/>
    <mergeCell ref="AT296"/>
    <mergeCell ref="AT83"/>
    <mergeCell ref="AT425"/>
    <mergeCell ref="AT212"/>
    <mergeCell ref="AT424"/>
    <mergeCell ref="AT211"/>
    <mergeCell ref="AT423"/>
    <mergeCell ref="AT210"/>
    <mergeCell ref="AT422"/>
    <mergeCell ref="AT209"/>
    <mergeCell ref="AT421"/>
    <mergeCell ref="AT208"/>
    <mergeCell ref="AT420"/>
    <mergeCell ref="AT207"/>
    <mergeCell ref="AT419"/>
    <mergeCell ref="AT206"/>
    <mergeCell ref="AT299"/>
    <mergeCell ref="AT86"/>
    <mergeCell ref="AT298"/>
    <mergeCell ref="AT85"/>
    <mergeCell ref="AT297"/>
    <mergeCell ref="AT84"/>
    <mergeCell ref="AT302"/>
    <mergeCell ref="AT89"/>
    <mergeCell ref="AT301"/>
    <mergeCell ref="AT88"/>
    <mergeCell ref="AT300"/>
    <mergeCell ref="AT87"/>
    <mergeCell ref="AT305"/>
    <mergeCell ref="AT92"/>
    <mergeCell ref="AT403"/>
    <mergeCell ref="AT190"/>
    <mergeCell ref="AT402"/>
    <mergeCell ref="AT189"/>
    <mergeCell ref="AT401"/>
    <mergeCell ref="AT188"/>
    <mergeCell ref="AU62"/>
    <mergeCell ref="AU274"/>
    <mergeCell ref="AU61"/>
    <mergeCell ref="AU273"/>
    <mergeCell ref="AU60"/>
    <mergeCell ref="AU278"/>
    <mergeCell ref="AU65"/>
    <mergeCell ref="AU277"/>
    <mergeCell ref="AU64"/>
    <mergeCell ref="AU276"/>
    <mergeCell ref="AU63"/>
    <mergeCell ref="AU281"/>
    <mergeCell ref="AU68"/>
    <mergeCell ref="AU280"/>
    <mergeCell ref="AU67"/>
    <mergeCell ref="AU279"/>
    <mergeCell ref="AU66"/>
    <mergeCell ref="AU260"/>
    <mergeCell ref="AT410"/>
    <mergeCell ref="AT197"/>
    <mergeCell ref="AT391"/>
    <mergeCell ref="AT178"/>
    <mergeCell ref="AT390"/>
    <mergeCell ref="AT177"/>
    <mergeCell ref="AT389"/>
    <mergeCell ref="AT176"/>
    <mergeCell ref="AT394"/>
    <mergeCell ref="AT181"/>
    <mergeCell ref="AT393"/>
    <mergeCell ref="AT180"/>
    <mergeCell ref="AT392"/>
    <mergeCell ref="AT179"/>
    <mergeCell ref="AT397"/>
    <mergeCell ref="AT184"/>
    <mergeCell ref="AT396"/>
    <mergeCell ref="AT183"/>
    <mergeCell ref="AT395"/>
    <mergeCell ref="AT182"/>
    <mergeCell ref="AT400"/>
    <mergeCell ref="AT187"/>
    <mergeCell ref="AT399"/>
    <mergeCell ref="AT186"/>
    <mergeCell ref="AT398"/>
    <mergeCell ref="AT185"/>
    <mergeCell ref="AT379"/>
    <mergeCell ref="AT166"/>
    <mergeCell ref="AT378"/>
    <mergeCell ref="AT165"/>
    <mergeCell ref="AT377"/>
    <mergeCell ref="AT164"/>
    <mergeCell ref="AT382"/>
    <mergeCell ref="AT169"/>
    <mergeCell ref="AT381"/>
    <mergeCell ref="AT168"/>
    <mergeCell ref="AT380"/>
    <mergeCell ref="AT167"/>
    <mergeCell ref="AT385"/>
    <mergeCell ref="AT172"/>
    <mergeCell ref="AT384"/>
    <mergeCell ref="AT171"/>
    <mergeCell ref="AT383"/>
    <mergeCell ref="AT170"/>
    <mergeCell ref="AT388"/>
    <mergeCell ref="AT175"/>
    <mergeCell ref="AU47"/>
    <mergeCell ref="AU259"/>
    <mergeCell ref="AU46"/>
    <mergeCell ref="AU258"/>
    <mergeCell ref="AU45"/>
    <mergeCell ref="AU263"/>
    <mergeCell ref="AU50"/>
    <mergeCell ref="AU262"/>
    <mergeCell ref="AU49"/>
    <mergeCell ref="AU261"/>
    <mergeCell ref="AU48"/>
    <mergeCell ref="AU266"/>
    <mergeCell ref="AU53"/>
    <mergeCell ref="AU265"/>
    <mergeCell ref="AU52"/>
    <mergeCell ref="AU264"/>
    <mergeCell ref="AU51"/>
    <mergeCell ref="AU269"/>
    <mergeCell ref="AU56"/>
    <mergeCell ref="AU268"/>
    <mergeCell ref="AU55"/>
    <mergeCell ref="AU267"/>
    <mergeCell ref="AU54"/>
    <mergeCell ref="AU248"/>
    <mergeCell ref="AU35"/>
    <mergeCell ref="AU247"/>
    <mergeCell ref="AU34"/>
    <mergeCell ref="AU246"/>
    <mergeCell ref="AU33"/>
    <mergeCell ref="AU251"/>
    <mergeCell ref="AU38"/>
    <mergeCell ref="AU250"/>
    <mergeCell ref="AU37"/>
    <mergeCell ref="AU249"/>
    <mergeCell ref="AU36"/>
    <mergeCell ref="AU254"/>
    <mergeCell ref="AU41"/>
    <mergeCell ref="AU253"/>
    <mergeCell ref="AU40"/>
    <mergeCell ref="AU252"/>
    <mergeCell ref="AU39"/>
    <mergeCell ref="AU257"/>
    <mergeCell ref="AU44"/>
    <mergeCell ref="AU256"/>
    <mergeCell ref="AU43"/>
    <mergeCell ref="AU255"/>
    <mergeCell ref="AU42"/>
    <mergeCell ref="AU236"/>
    <mergeCell ref="AU118"/>
    <mergeCell ref="AU71"/>
    <mergeCell ref="AU70"/>
    <mergeCell ref="AU69"/>
    <mergeCell ref="AU74"/>
    <mergeCell ref="AU73"/>
    <mergeCell ref="AU72"/>
    <mergeCell ref="AU77"/>
    <mergeCell ref="AU76"/>
    <mergeCell ref="AU75"/>
    <mergeCell ref="AU80"/>
    <mergeCell ref="AU79"/>
    <mergeCell ref="AU78"/>
    <mergeCell ref="AU59"/>
    <mergeCell ref="AU58"/>
    <mergeCell ref="AU57"/>
    <mergeCell ref="AU23"/>
    <mergeCell ref="AU235"/>
    <mergeCell ref="AU22"/>
    <mergeCell ref="AU234"/>
    <mergeCell ref="AU21"/>
    <mergeCell ref="AU239"/>
    <mergeCell ref="AU26"/>
    <mergeCell ref="AU238"/>
    <mergeCell ref="AU25"/>
    <mergeCell ref="AU237"/>
    <mergeCell ref="AU24"/>
    <mergeCell ref="AU242"/>
    <mergeCell ref="AU29"/>
    <mergeCell ref="AU241"/>
    <mergeCell ref="AU28"/>
    <mergeCell ref="AU240"/>
    <mergeCell ref="AU27"/>
    <mergeCell ref="AU245"/>
    <mergeCell ref="AU32"/>
    <mergeCell ref="AU244"/>
    <mergeCell ref="AU31"/>
    <mergeCell ref="AU243"/>
    <mergeCell ref="AU30"/>
    <mergeCell ref="AU362"/>
    <mergeCell ref="AU149"/>
    <mergeCell ref="AU361"/>
    <mergeCell ref="AU148"/>
    <mergeCell ref="AU360"/>
    <mergeCell ref="AU147"/>
    <mergeCell ref="AU218"/>
    <mergeCell ref="AU5"/>
    <mergeCell ref="AU217"/>
    <mergeCell ref="AU4"/>
    <mergeCell ref="AU216"/>
    <mergeCell ref="AU353"/>
    <mergeCell ref="AU352"/>
    <mergeCell ref="AU351"/>
    <mergeCell ref="AU356"/>
    <mergeCell ref="AU355"/>
    <mergeCell ref="AU354"/>
    <mergeCell ref="AU359"/>
    <mergeCell ref="AU358"/>
    <mergeCell ref="AU357"/>
    <mergeCell ref="AU347"/>
    <mergeCell ref="AU134"/>
    <mergeCell ref="AU346"/>
    <mergeCell ref="AU133"/>
    <mergeCell ref="AU345"/>
    <mergeCell ref="AU132"/>
    <mergeCell ref="AU326"/>
    <mergeCell ref="AU113"/>
    <mergeCell ref="AU325"/>
    <mergeCell ref="AU112"/>
    <mergeCell ref="AU324"/>
    <mergeCell ref="AU111"/>
    <mergeCell ref="AU329"/>
    <mergeCell ref="AU116"/>
    <mergeCell ref="AU328"/>
    <mergeCell ref="AU115"/>
    <mergeCell ref="AU327"/>
    <mergeCell ref="AU114"/>
    <mergeCell ref="AU332"/>
    <mergeCell ref="AU119"/>
    <mergeCell ref="AU331"/>
    <mergeCell ref="AU3"/>
    <mergeCell ref="AU221"/>
    <mergeCell ref="AU8"/>
    <mergeCell ref="AU220"/>
    <mergeCell ref="AU7"/>
    <mergeCell ref="AU219"/>
    <mergeCell ref="AU6"/>
    <mergeCell ref="AU224"/>
    <mergeCell ref="AU11"/>
    <mergeCell ref="AU223"/>
    <mergeCell ref="AU10"/>
    <mergeCell ref="AU222"/>
    <mergeCell ref="AU9"/>
    <mergeCell ref="AU227"/>
    <mergeCell ref="AU14"/>
    <mergeCell ref="AU226"/>
    <mergeCell ref="AU13"/>
    <mergeCell ref="AU225"/>
    <mergeCell ref="AU12"/>
    <mergeCell ref="AU230"/>
    <mergeCell ref="AU17"/>
    <mergeCell ref="AU229"/>
    <mergeCell ref="AU16"/>
    <mergeCell ref="AU228"/>
    <mergeCell ref="AU15"/>
    <mergeCell ref="AU233"/>
    <mergeCell ref="AU20"/>
    <mergeCell ref="AU232"/>
    <mergeCell ref="AU19"/>
    <mergeCell ref="AU231"/>
    <mergeCell ref="AU18"/>
    <mergeCell ref="AU350"/>
    <mergeCell ref="AU137"/>
    <mergeCell ref="AU349"/>
    <mergeCell ref="AU136"/>
    <mergeCell ref="AU348"/>
    <mergeCell ref="AU135"/>
    <mergeCell ref="AU140"/>
    <mergeCell ref="AU139"/>
    <mergeCell ref="AU138"/>
    <mergeCell ref="AU143"/>
    <mergeCell ref="AU142"/>
    <mergeCell ref="AU141"/>
    <mergeCell ref="AU146"/>
    <mergeCell ref="AU145"/>
    <mergeCell ref="AU144"/>
    <mergeCell ref="AU338"/>
    <mergeCell ref="AU125"/>
    <mergeCell ref="AU337"/>
    <mergeCell ref="AU124"/>
    <mergeCell ref="AU336"/>
    <mergeCell ref="AU123"/>
    <mergeCell ref="AU341"/>
    <mergeCell ref="AU128"/>
    <mergeCell ref="AU340"/>
    <mergeCell ref="AU127"/>
    <mergeCell ref="AU339"/>
    <mergeCell ref="AU126"/>
    <mergeCell ref="AU344"/>
    <mergeCell ref="AU131"/>
    <mergeCell ref="AU343"/>
    <mergeCell ref="AU130"/>
    <mergeCell ref="AU342"/>
    <mergeCell ref="AU129"/>
    <mergeCell ref="AU412"/>
    <mergeCell ref="AU199"/>
    <mergeCell ref="AU411"/>
    <mergeCell ref="AU198"/>
    <mergeCell ref="AU410"/>
    <mergeCell ref="AU197"/>
    <mergeCell ref="AU415"/>
    <mergeCell ref="AU202"/>
    <mergeCell ref="AU414"/>
    <mergeCell ref="AU201"/>
    <mergeCell ref="AU413"/>
    <mergeCell ref="AU200"/>
    <mergeCell ref="AU418"/>
    <mergeCell ref="AU205"/>
    <mergeCell ref="AU417"/>
    <mergeCell ref="AU204"/>
    <mergeCell ref="AU416"/>
    <mergeCell ref="AU203"/>
    <mergeCell ref="AU296"/>
    <mergeCell ref="AU83"/>
    <mergeCell ref="AU425"/>
    <mergeCell ref="AU212"/>
    <mergeCell ref="AU424"/>
    <mergeCell ref="AU211"/>
    <mergeCell ref="AU423"/>
    <mergeCell ref="AU210"/>
    <mergeCell ref="AU422"/>
    <mergeCell ref="AU209"/>
    <mergeCell ref="AU421"/>
    <mergeCell ref="AU208"/>
    <mergeCell ref="AU420"/>
    <mergeCell ref="AU207"/>
    <mergeCell ref="AU419"/>
    <mergeCell ref="AU206"/>
    <mergeCell ref="AU299"/>
    <mergeCell ref="AU86"/>
    <mergeCell ref="AU298"/>
    <mergeCell ref="AU85"/>
    <mergeCell ref="AU297"/>
    <mergeCell ref="AU84"/>
    <mergeCell ref="AU302"/>
    <mergeCell ref="AU89"/>
    <mergeCell ref="AU400"/>
    <mergeCell ref="AU187"/>
    <mergeCell ref="AU399"/>
    <mergeCell ref="AU186"/>
    <mergeCell ref="AU398"/>
    <mergeCell ref="AU185"/>
    <mergeCell ref="AU403"/>
    <mergeCell ref="AU190"/>
    <mergeCell ref="AU402"/>
    <mergeCell ref="AU189"/>
    <mergeCell ref="AU401"/>
    <mergeCell ref="AU188"/>
    <mergeCell ref="AU406"/>
    <mergeCell ref="AU193"/>
    <mergeCell ref="AU405"/>
    <mergeCell ref="AU192"/>
    <mergeCell ref="AU404"/>
    <mergeCell ref="AU191"/>
    <mergeCell ref="AU409"/>
    <mergeCell ref="AU196"/>
    <mergeCell ref="AU408"/>
    <mergeCell ref="AU195"/>
    <mergeCell ref="AU407"/>
    <mergeCell ref="AU194"/>
    <mergeCell ref="AU388"/>
    <mergeCell ref="AU175"/>
    <mergeCell ref="AU387"/>
    <mergeCell ref="AU174"/>
    <mergeCell ref="AU386"/>
    <mergeCell ref="AU173"/>
    <mergeCell ref="AU391"/>
    <mergeCell ref="AU178"/>
    <mergeCell ref="AU390"/>
    <mergeCell ref="AU177"/>
    <mergeCell ref="AU389"/>
    <mergeCell ref="AU176"/>
    <mergeCell ref="AU394"/>
    <mergeCell ref="AU181"/>
    <mergeCell ref="AU393"/>
    <mergeCell ref="AU180"/>
    <mergeCell ref="AU392"/>
    <mergeCell ref="AU179"/>
    <mergeCell ref="AU397"/>
    <mergeCell ref="AU184"/>
    <mergeCell ref="AU396"/>
    <mergeCell ref="AU183"/>
    <mergeCell ref="AU395"/>
    <mergeCell ref="AU182"/>
    <mergeCell ref="AU376"/>
    <mergeCell ref="AU163"/>
    <mergeCell ref="AU375"/>
    <mergeCell ref="AU162"/>
    <mergeCell ref="AU374"/>
    <mergeCell ref="AU161"/>
    <mergeCell ref="AU379"/>
    <mergeCell ref="AU166"/>
    <mergeCell ref="AU378"/>
    <mergeCell ref="AU165"/>
    <mergeCell ref="AU377"/>
    <mergeCell ref="AU164"/>
    <mergeCell ref="AU382"/>
    <mergeCell ref="AU169"/>
    <mergeCell ref="AU381"/>
    <mergeCell ref="AU168"/>
    <mergeCell ref="AU380"/>
    <mergeCell ref="AU167"/>
    <mergeCell ref="AU385"/>
    <mergeCell ref="AU172"/>
    <mergeCell ref="AU384"/>
    <mergeCell ref="AU171"/>
    <mergeCell ref="AU383"/>
    <mergeCell ref="AU170"/>
    <mergeCell ref="AU330"/>
    <mergeCell ref="AU335"/>
    <mergeCell ref="AU334"/>
    <mergeCell ref="AU333"/>
    <mergeCell ref="AU309"/>
    <mergeCell ref="AU314"/>
    <mergeCell ref="AU313"/>
    <mergeCell ref="AU312"/>
    <mergeCell ref="AU317"/>
    <mergeCell ref="AU316"/>
    <mergeCell ref="AU315"/>
    <mergeCell ref="AU320"/>
    <mergeCell ref="AU319"/>
    <mergeCell ref="AU318"/>
    <mergeCell ref="AU370"/>
    <mergeCell ref="AU157"/>
    <mergeCell ref="AU369"/>
    <mergeCell ref="AU156"/>
    <mergeCell ref="AU368"/>
    <mergeCell ref="AU155"/>
    <mergeCell ref="AU373"/>
    <mergeCell ref="AU160"/>
    <mergeCell ref="AU372"/>
    <mergeCell ref="AU159"/>
    <mergeCell ref="AU371"/>
    <mergeCell ref="AU158"/>
    <mergeCell ref="AU301"/>
    <mergeCell ref="AU88"/>
    <mergeCell ref="AU300"/>
    <mergeCell ref="AU87"/>
    <mergeCell ref="AU305"/>
    <mergeCell ref="AU92"/>
    <mergeCell ref="AU304"/>
    <mergeCell ref="AU91"/>
    <mergeCell ref="AU303"/>
    <mergeCell ref="AU90"/>
    <mergeCell ref="AU308"/>
    <mergeCell ref="AU95"/>
    <mergeCell ref="AU307"/>
    <mergeCell ref="AU94"/>
    <mergeCell ref="AU306"/>
    <mergeCell ref="AU93"/>
    <mergeCell ref="AU311"/>
    <mergeCell ref="AU98"/>
    <mergeCell ref="AU310"/>
    <mergeCell ref="AV281"/>
    <mergeCell ref="AV362"/>
    <mergeCell ref="AV361"/>
    <mergeCell ref="AV360"/>
    <mergeCell ref="AV344"/>
    <mergeCell ref="AV343"/>
    <mergeCell ref="AV342"/>
    <mergeCell ref="AV347"/>
    <mergeCell ref="AV346"/>
    <mergeCell ref="AV345"/>
    <mergeCell ref="AV350"/>
    <mergeCell ref="AV349"/>
    <mergeCell ref="AV348"/>
    <mergeCell ref="AV353"/>
    <mergeCell ref="AV352"/>
    <mergeCell ref="AV351"/>
    <mergeCell ref="AV332"/>
    <mergeCell ref="AV331"/>
    <mergeCell ref="AV330"/>
    <mergeCell ref="AV335"/>
    <mergeCell ref="AV334"/>
    <mergeCell ref="AU117"/>
    <mergeCell ref="AU122"/>
    <mergeCell ref="AU121"/>
    <mergeCell ref="AU120"/>
    <mergeCell ref="AU97"/>
    <mergeCell ref="AU96"/>
    <mergeCell ref="AU101"/>
    <mergeCell ref="AU100"/>
    <mergeCell ref="AU99"/>
    <mergeCell ref="AU104"/>
    <mergeCell ref="AU103"/>
    <mergeCell ref="AU102"/>
    <mergeCell ref="AV90"/>
    <mergeCell ref="AV95"/>
    <mergeCell ref="AV94"/>
    <mergeCell ref="AV93"/>
    <mergeCell ref="AV98"/>
    <mergeCell ref="AV97"/>
    <mergeCell ref="AV96"/>
    <mergeCell ref="AV101"/>
    <mergeCell ref="AV100"/>
    <mergeCell ref="AV99"/>
    <mergeCell ref="AV161"/>
    <mergeCell ref="AV104"/>
    <mergeCell ref="AV120"/>
    <mergeCell ref="AV68"/>
    <mergeCell ref="AV67"/>
    <mergeCell ref="AV66"/>
    <mergeCell ref="AV284"/>
    <mergeCell ref="AV71"/>
    <mergeCell ref="AV283"/>
    <mergeCell ref="AV70"/>
    <mergeCell ref="AV282"/>
    <mergeCell ref="AV69"/>
    <mergeCell ref="AV287"/>
    <mergeCell ref="AV74"/>
    <mergeCell ref="AV293"/>
    <mergeCell ref="AV80"/>
    <mergeCell ref="AV292"/>
    <mergeCell ref="AV79"/>
    <mergeCell ref="AV291"/>
    <mergeCell ref="AV78"/>
    <mergeCell ref="AU367"/>
    <mergeCell ref="AU154"/>
    <mergeCell ref="AU366"/>
    <mergeCell ref="AU153"/>
    <mergeCell ref="AU365"/>
    <mergeCell ref="AU152"/>
    <mergeCell ref="AU107"/>
    <mergeCell ref="AU106"/>
    <mergeCell ref="AU105"/>
    <mergeCell ref="AU323"/>
    <mergeCell ref="AU110"/>
    <mergeCell ref="AU322"/>
    <mergeCell ref="AU109"/>
    <mergeCell ref="AU321"/>
    <mergeCell ref="AU108"/>
    <mergeCell ref="AU284"/>
    <mergeCell ref="AU283"/>
    <mergeCell ref="AU282"/>
    <mergeCell ref="AU287"/>
    <mergeCell ref="AU286"/>
    <mergeCell ref="AU285"/>
    <mergeCell ref="AU290"/>
    <mergeCell ref="AU289"/>
    <mergeCell ref="AU288"/>
    <mergeCell ref="AU293"/>
    <mergeCell ref="AU292"/>
    <mergeCell ref="AU291"/>
    <mergeCell ref="AU272"/>
    <mergeCell ref="AU271"/>
    <mergeCell ref="AU270"/>
    <mergeCell ref="AU275"/>
    <mergeCell ref="AV38"/>
    <mergeCell ref="AV250"/>
    <mergeCell ref="AV37"/>
    <mergeCell ref="AV249"/>
    <mergeCell ref="AV36"/>
    <mergeCell ref="AV254"/>
    <mergeCell ref="AV41"/>
    <mergeCell ref="AV253"/>
    <mergeCell ref="AV40"/>
    <mergeCell ref="AV252"/>
    <mergeCell ref="AV39"/>
    <mergeCell ref="AV216"/>
    <mergeCell ref="AV131"/>
    <mergeCell ref="AV130"/>
    <mergeCell ref="AV129"/>
    <mergeCell ref="AV134"/>
    <mergeCell ref="AV133"/>
    <mergeCell ref="AV132"/>
    <mergeCell ref="AV137"/>
    <mergeCell ref="AV136"/>
    <mergeCell ref="AV135"/>
    <mergeCell ref="AV140"/>
    <mergeCell ref="AV139"/>
    <mergeCell ref="AV138"/>
    <mergeCell ref="AV73"/>
    <mergeCell ref="AV285"/>
    <mergeCell ref="AV72"/>
    <mergeCell ref="AV290"/>
    <mergeCell ref="AV77"/>
    <mergeCell ref="AV289"/>
    <mergeCell ref="AV76"/>
    <mergeCell ref="AV288"/>
    <mergeCell ref="AV75"/>
    <mergeCell ref="AV269"/>
    <mergeCell ref="AV56"/>
    <mergeCell ref="AV268"/>
    <mergeCell ref="AV55"/>
    <mergeCell ref="AV267"/>
    <mergeCell ref="AV54"/>
    <mergeCell ref="AV272"/>
    <mergeCell ref="AV59"/>
    <mergeCell ref="AV271"/>
    <mergeCell ref="AV58"/>
    <mergeCell ref="AV270"/>
    <mergeCell ref="AV57"/>
    <mergeCell ref="AV275"/>
    <mergeCell ref="AV62"/>
    <mergeCell ref="AV274"/>
    <mergeCell ref="AV61"/>
    <mergeCell ref="AV273"/>
    <mergeCell ref="AV60"/>
    <mergeCell ref="AV278"/>
    <mergeCell ref="AV65"/>
    <mergeCell ref="AV277"/>
    <mergeCell ref="AV64"/>
    <mergeCell ref="AV276"/>
    <mergeCell ref="AV63"/>
    <mergeCell ref="AV257"/>
    <mergeCell ref="AV119"/>
    <mergeCell ref="AV118"/>
    <mergeCell ref="AV117"/>
    <mergeCell ref="AV122"/>
    <mergeCell ref="AV121"/>
    <mergeCell ref="AV91"/>
    <mergeCell ref="AV356"/>
    <mergeCell ref="AV143"/>
    <mergeCell ref="AV355"/>
    <mergeCell ref="AV142"/>
    <mergeCell ref="AV354"/>
    <mergeCell ref="AV141"/>
    <mergeCell ref="AV359"/>
    <mergeCell ref="AV146"/>
    <mergeCell ref="AV358"/>
    <mergeCell ref="AV145"/>
    <mergeCell ref="AV357"/>
    <mergeCell ref="AV144"/>
    <mergeCell ref="AV149"/>
    <mergeCell ref="AV148"/>
    <mergeCell ref="AV147"/>
    <mergeCell ref="AV218"/>
    <mergeCell ref="AV5"/>
    <mergeCell ref="AV217"/>
    <mergeCell ref="AV4"/>
    <mergeCell ref="AV233"/>
    <mergeCell ref="AV20"/>
    <mergeCell ref="AV232"/>
    <mergeCell ref="AV19"/>
    <mergeCell ref="AV231"/>
    <mergeCell ref="AV18"/>
    <mergeCell ref="AV236"/>
    <mergeCell ref="AV23"/>
    <mergeCell ref="AV235"/>
    <mergeCell ref="AV22"/>
    <mergeCell ref="AV234"/>
    <mergeCell ref="AV21"/>
    <mergeCell ref="AV239"/>
    <mergeCell ref="AV26"/>
    <mergeCell ref="AV238"/>
    <mergeCell ref="AV25"/>
    <mergeCell ref="AV237"/>
    <mergeCell ref="AV24"/>
    <mergeCell ref="AV242"/>
    <mergeCell ref="AV29"/>
    <mergeCell ref="AV44"/>
    <mergeCell ref="AV256"/>
    <mergeCell ref="AV43"/>
    <mergeCell ref="AV255"/>
    <mergeCell ref="AV42"/>
    <mergeCell ref="AV260"/>
    <mergeCell ref="AV47"/>
    <mergeCell ref="AV259"/>
    <mergeCell ref="AV46"/>
    <mergeCell ref="AV258"/>
    <mergeCell ref="AV45"/>
    <mergeCell ref="AV263"/>
    <mergeCell ref="AV50"/>
    <mergeCell ref="AV262"/>
    <mergeCell ref="AV49"/>
    <mergeCell ref="AV261"/>
    <mergeCell ref="AV48"/>
    <mergeCell ref="AV266"/>
    <mergeCell ref="AV53"/>
    <mergeCell ref="AV265"/>
    <mergeCell ref="AV52"/>
    <mergeCell ref="AV264"/>
    <mergeCell ref="AV51"/>
    <mergeCell ref="AV241"/>
    <mergeCell ref="AV28"/>
    <mergeCell ref="AV306"/>
    <mergeCell ref="AV311"/>
    <mergeCell ref="AV310"/>
    <mergeCell ref="AV309"/>
    <mergeCell ref="AV314"/>
    <mergeCell ref="AV313"/>
    <mergeCell ref="AV312"/>
    <mergeCell ref="AV317"/>
    <mergeCell ref="AV194"/>
    <mergeCell ref="AV165"/>
    <mergeCell ref="AV164"/>
    <mergeCell ref="AV154"/>
    <mergeCell ref="AV153"/>
    <mergeCell ref="AV152"/>
    <mergeCell ref="AV157"/>
    <mergeCell ref="AV156"/>
    <mergeCell ref="AV155"/>
    <mergeCell ref="AV160"/>
    <mergeCell ref="AV159"/>
    <mergeCell ref="AV158"/>
    <mergeCell ref="AV163"/>
    <mergeCell ref="AV162"/>
    <mergeCell ref="AV280"/>
    <mergeCell ref="AV279"/>
    <mergeCell ref="AV3"/>
    <mergeCell ref="AV221"/>
    <mergeCell ref="AV8"/>
    <mergeCell ref="AV220"/>
    <mergeCell ref="AV7"/>
    <mergeCell ref="AV219"/>
    <mergeCell ref="AV6"/>
    <mergeCell ref="AV224"/>
    <mergeCell ref="AV11"/>
    <mergeCell ref="AV223"/>
    <mergeCell ref="AV10"/>
    <mergeCell ref="AV222"/>
    <mergeCell ref="AV9"/>
    <mergeCell ref="AV227"/>
    <mergeCell ref="AV14"/>
    <mergeCell ref="AV226"/>
    <mergeCell ref="AV13"/>
    <mergeCell ref="AV225"/>
    <mergeCell ref="AV12"/>
    <mergeCell ref="AV230"/>
    <mergeCell ref="AV17"/>
    <mergeCell ref="AV229"/>
    <mergeCell ref="AV16"/>
    <mergeCell ref="AV228"/>
    <mergeCell ref="AV15"/>
    <mergeCell ref="AV240"/>
    <mergeCell ref="AV27"/>
    <mergeCell ref="AV245"/>
    <mergeCell ref="AV32"/>
    <mergeCell ref="AV244"/>
    <mergeCell ref="AV31"/>
    <mergeCell ref="AV243"/>
    <mergeCell ref="AV30"/>
    <mergeCell ref="AV248"/>
    <mergeCell ref="AV35"/>
    <mergeCell ref="AV247"/>
    <mergeCell ref="AV34"/>
    <mergeCell ref="AV246"/>
    <mergeCell ref="AV33"/>
    <mergeCell ref="AV251"/>
    <mergeCell ref="AV418"/>
    <mergeCell ref="AV205"/>
    <mergeCell ref="AV417"/>
    <mergeCell ref="AV204"/>
    <mergeCell ref="AV416"/>
    <mergeCell ref="AV203"/>
    <mergeCell ref="AV296"/>
    <mergeCell ref="AV83"/>
    <mergeCell ref="AV425"/>
    <mergeCell ref="AV212"/>
    <mergeCell ref="AV424"/>
    <mergeCell ref="AV211"/>
    <mergeCell ref="AV423"/>
    <mergeCell ref="AV210"/>
    <mergeCell ref="AV422"/>
    <mergeCell ref="AV209"/>
    <mergeCell ref="AV421"/>
    <mergeCell ref="AV208"/>
    <mergeCell ref="AV420"/>
    <mergeCell ref="AV207"/>
    <mergeCell ref="AV419"/>
    <mergeCell ref="AV206"/>
    <mergeCell ref="AV299"/>
    <mergeCell ref="AV86"/>
    <mergeCell ref="AV298"/>
    <mergeCell ref="AV85"/>
    <mergeCell ref="AV297"/>
    <mergeCell ref="AV84"/>
    <mergeCell ref="AV302"/>
    <mergeCell ref="AV89"/>
    <mergeCell ref="AV301"/>
    <mergeCell ref="AV88"/>
    <mergeCell ref="AV300"/>
    <mergeCell ref="AV87"/>
    <mergeCell ref="AV305"/>
    <mergeCell ref="AV92"/>
    <mergeCell ref="AV403"/>
    <mergeCell ref="AV190"/>
    <mergeCell ref="AV402"/>
    <mergeCell ref="AV189"/>
    <mergeCell ref="AV401"/>
    <mergeCell ref="AV188"/>
    <mergeCell ref="AV406"/>
    <mergeCell ref="AV193"/>
    <mergeCell ref="AV405"/>
    <mergeCell ref="AV192"/>
    <mergeCell ref="AV404"/>
    <mergeCell ref="AV191"/>
    <mergeCell ref="AV409"/>
    <mergeCell ref="AV196"/>
    <mergeCell ref="AV408"/>
    <mergeCell ref="AV195"/>
    <mergeCell ref="AV407"/>
    <mergeCell ref="AV333"/>
    <mergeCell ref="AV338"/>
    <mergeCell ref="AV125"/>
    <mergeCell ref="AV337"/>
    <mergeCell ref="AV124"/>
    <mergeCell ref="AV336"/>
    <mergeCell ref="AV123"/>
    <mergeCell ref="AV341"/>
    <mergeCell ref="AV128"/>
    <mergeCell ref="AV340"/>
    <mergeCell ref="AV127"/>
    <mergeCell ref="AV385"/>
    <mergeCell ref="AV172"/>
    <mergeCell ref="AV384"/>
    <mergeCell ref="AV171"/>
    <mergeCell ref="AV383"/>
    <mergeCell ref="AV170"/>
    <mergeCell ref="AV388"/>
    <mergeCell ref="AV175"/>
    <mergeCell ref="AV387"/>
    <mergeCell ref="AV174"/>
    <mergeCell ref="AV386"/>
    <mergeCell ref="AV173"/>
    <mergeCell ref="AV367"/>
    <mergeCell ref="AV366"/>
    <mergeCell ref="AV365"/>
    <mergeCell ref="AV370"/>
    <mergeCell ref="AV369"/>
    <mergeCell ref="AV368"/>
    <mergeCell ref="AV373"/>
    <mergeCell ref="AV372"/>
    <mergeCell ref="AV371"/>
    <mergeCell ref="AV376"/>
    <mergeCell ref="AV375"/>
    <mergeCell ref="AV374"/>
    <mergeCell ref="AV316"/>
    <mergeCell ref="AV103"/>
    <mergeCell ref="AV315"/>
    <mergeCell ref="AV102"/>
    <mergeCell ref="AV415"/>
    <mergeCell ref="AV202"/>
    <mergeCell ref="AV414"/>
    <mergeCell ref="AV201"/>
    <mergeCell ref="AV413"/>
    <mergeCell ref="AV200"/>
    <mergeCell ref="AV339"/>
    <mergeCell ref="AV126"/>
    <mergeCell ref="AV320"/>
    <mergeCell ref="AV107"/>
    <mergeCell ref="AV319"/>
    <mergeCell ref="AV106"/>
    <mergeCell ref="AV318"/>
    <mergeCell ref="AV105"/>
    <mergeCell ref="AV323"/>
    <mergeCell ref="AV110"/>
    <mergeCell ref="AV322"/>
    <mergeCell ref="AV109"/>
    <mergeCell ref="AV321"/>
    <mergeCell ref="AV108"/>
    <mergeCell ref="AV326"/>
    <mergeCell ref="AV113"/>
    <mergeCell ref="AV325"/>
    <mergeCell ref="AV112"/>
    <mergeCell ref="AV324"/>
    <mergeCell ref="AV111"/>
    <mergeCell ref="AV329"/>
    <mergeCell ref="AV116"/>
    <mergeCell ref="AV328"/>
    <mergeCell ref="AV115"/>
    <mergeCell ref="AV327"/>
    <mergeCell ref="AV114"/>
    <mergeCell ref="AV304"/>
    <mergeCell ref="AV303"/>
    <mergeCell ref="AV308"/>
    <mergeCell ref="AV307"/>
    <mergeCell ref="AW59"/>
    <mergeCell ref="AW271"/>
    <mergeCell ref="AW58"/>
    <mergeCell ref="AW270"/>
    <mergeCell ref="AW57"/>
    <mergeCell ref="AW275"/>
    <mergeCell ref="AW62"/>
    <mergeCell ref="AW274"/>
    <mergeCell ref="AW61"/>
    <mergeCell ref="AW273"/>
    <mergeCell ref="AW60"/>
    <mergeCell ref="AW278"/>
    <mergeCell ref="AW65"/>
    <mergeCell ref="AW277"/>
    <mergeCell ref="AW64"/>
    <mergeCell ref="AW276"/>
    <mergeCell ref="AW63"/>
    <mergeCell ref="AW281"/>
    <mergeCell ref="AW68"/>
    <mergeCell ref="AW280"/>
    <mergeCell ref="AW67"/>
    <mergeCell ref="AW279"/>
    <mergeCell ref="AW66"/>
    <mergeCell ref="AW260"/>
    <mergeCell ref="AV412"/>
    <mergeCell ref="AV199"/>
    <mergeCell ref="AV411"/>
    <mergeCell ref="AV198"/>
    <mergeCell ref="AV410"/>
    <mergeCell ref="AV197"/>
    <mergeCell ref="AV391"/>
    <mergeCell ref="AV178"/>
    <mergeCell ref="AV390"/>
    <mergeCell ref="AV177"/>
    <mergeCell ref="AV389"/>
    <mergeCell ref="AV176"/>
    <mergeCell ref="AV394"/>
    <mergeCell ref="AV181"/>
    <mergeCell ref="AV393"/>
    <mergeCell ref="AV180"/>
    <mergeCell ref="AV392"/>
    <mergeCell ref="AV179"/>
    <mergeCell ref="AV397"/>
    <mergeCell ref="AV184"/>
    <mergeCell ref="AV396"/>
    <mergeCell ref="AV183"/>
    <mergeCell ref="AV395"/>
    <mergeCell ref="AV182"/>
    <mergeCell ref="AV400"/>
    <mergeCell ref="AV187"/>
    <mergeCell ref="AV399"/>
    <mergeCell ref="AV186"/>
    <mergeCell ref="AV398"/>
    <mergeCell ref="AV185"/>
    <mergeCell ref="AV379"/>
    <mergeCell ref="AV166"/>
    <mergeCell ref="AV378"/>
    <mergeCell ref="AV377"/>
    <mergeCell ref="AV382"/>
    <mergeCell ref="AV169"/>
    <mergeCell ref="AV381"/>
    <mergeCell ref="AV168"/>
    <mergeCell ref="AV380"/>
    <mergeCell ref="AV167"/>
    <mergeCell ref="AV286"/>
    <mergeCell ref="AW47"/>
    <mergeCell ref="AW259"/>
    <mergeCell ref="AW46"/>
    <mergeCell ref="AW258"/>
    <mergeCell ref="AW45"/>
    <mergeCell ref="AW263"/>
    <mergeCell ref="AW50"/>
    <mergeCell ref="AW262"/>
    <mergeCell ref="AW49"/>
    <mergeCell ref="AW261"/>
    <mergeCell ref="AW48"/>
    <mergeCell ref="AW266"/>
    <mergeCell ref="AW53"/>
    <mergeCell ref="AW265"/>
    <mergeCell ref="AW52"/>
    <mergeCell ref="AW264"/>
    <mergeCell ref="AW51"/>
    <mergeCell ref="AW269"/>
    <mergeCell ref="AW56"/>
    <mergeCell ref="AW268"/>
    <mergeCell ref="AW55"/>
    <mergeCell ref="AW267"/>
    <mergeCell ref="AW54"/>
    <mergeCell ref="AW248"/>
    <mergeCell ref="AW35"/>
    <mergeCell ref="AW247"/>
    <mergeCell ref="AW34"/>
    <mergeCell ref="AW246"/>
    <mergeCell ref="AW33"/>
    <mergeCell ref="AW251"/>
    <mergeCell ref="AW38"/>
    <mergeCell ref="AW250"/>
    <mergeCell ref="AW37"/>
    <mergeCell ref="AW249"/>
    <mergeCell ref="AW36"/>
    <mergeCell ref="AW254"/>
    <mergeCell ref="AW41"/>
    <mergeCell ref="AW253"/>
    <mergeCell ref="AW40"/>
    <mergeCell ref="AW252"/>
    <mergeCell ref="AW39"/>
    <mergeCell ref="AW257"/>
    <mergeCell ref="AW44"/>
    <mergeCell ref="AW256"/>
    <mergeCell ref="AW43"/>
    <mergeCell ref="AW255"/>
    <mergeCell ref="AW42"/>
    <mergeCell ref="AW236"/>
    <mergeCell ref="AW118"/>
    <mergeCell ref="AW117"/>
    <mergeCell ref="AW284"/>
    <mergeCell ref="AW71"/>
    <mergeCell ref="AW283"/>
    <mergeCell ref="AW70"/>
    <mergeCell ref="AW282"/>
    <mergeCell ref="AW69"/>
    <mergeCell ref="AW74"/>
    <mergeCell ref="AW286"/>
    <mergeCell ref="AW73"/>
    <mergeCell ref="AW285"/>
    <mergeCell ref="AW72"/>
    <mergeCell ref="AW77"/>
    <mergeCell ref="AW76"/>
    <mergeCell ref="AW23"/>
    <mergeCell ref="AW235"/>
    <mergeCell ref="AW22"/>
    <mergeCell ref="AW234"/>
    <mergeCell ref="AW21"/>
    <mergeCell ref="AW239"/>
    <mergeCell ref="AW26"/>
    <mergeCell ref="AW238"/>
    <mergeCell ref="AW25"/>
    <mergeCell ref="AW237"/>
    <mergeCell ref="AW24"/>
    <mergeCell ref="AW242"/>
    <mergeCell ref="AW29"/>
    <mergeCell ref="AW241"/>
    <mergeCell ref="AW28"/>
    <mergeCell ref="AW240"/>
    <mergeCell ref="AW27"/>
    <mergeCell ref="AW245"/>
    <mergeCell ref="AW32"/>
    <mergeCell ref="AW244"/>
    <mergeCell ref="AW31"/>
    <mergeCell ref="AW243"/>
    <mergeCell ref="AW30"/>
    <mergeCell ref="AW362"/>
    <mergeCell ref="AW149"/>
    <mergeCell ref="AW361"/>
    <mergeCell ref="AW148"/>
    <mergeCell ref="AW360"/>
    <mergeCell ref="AW147"/>
    <mergeCell ref="AW218"/>
    <mergeCell ref="AW5"/>
    <mergeCell ref="AW217"/>
    <mergeCell ref="AW4"/>
    <mergeCell ref="AW216"/>
    <mergeCell ref="AW353"/>
    <mergeCell ref="AW352"/>
    <mergeCell ref="AW351"/>
    <mergeCell ref="AW356"/>
    <mergeCell ref="AW355"/>
    <mergeCell ref="AW354"/>
    <mergeCell ref="AW359"/>
    <mergeCell ref="AW358"/>
    <mergeCell ref="AW357"/>
    <mergeCell ref="AW347"/>
    <mergeCell ref="AW134"/>
    <mergeCell ref="AW346"/>
    <mergeCell ref="AW133"/>
    <mergeCell ref="AW345"/>
    <mergeCell ref="AW132"/>
    <mergeCell ref="AW326"/>
    <mergeCell ref="AW113"/>
    <mergeCell ref="AW325"/>
    <mergeCell ref="AW112"/>
    <mergeCell ref="AW324"/>
    <mergeCell ref="AW111"/>
    <mergeCell ref="AW329"/>
    <mergeCell ref="AW116"/>
    <mergeCell ref="AW328"/>
    <mergeCell ref="AW115"/>
    <mergeCell ref="AW327"/>
    <mergeCell ref="AW114"/>
    <mergeCell ref="AW332"/>
    <mergeCell ref="AW119"/>
    <mergeCell ref="AW331"/>
    <mergeCell ref="AW3"/>
    <mergeCell ref="AW221"/>
    <mergeCell ref="AW8"/>
    <mergeCell ref="AW220"/>
    <mergeCell ref="AW7"/>
    <mergeCell ref="AW219"/>
    <mergeCell ref="AW6"/>
    <mergeCell ref="AW224"/>
    <mergeCell ref="AW11"/>
    <mergeCell ref="AW223"/>
    <mergeCell ref="AW10"/>
    <mergeCell ref="AW222"/>
    <mergeCell ref="AW9"/>
    <mergeCell ref="AW227"/>
    <mergeCell ref="AW14"/>
    <mergeCell ref="AW226"/>
    <mergeCell ref="AW13"/>
    <mergeCell ref="AW225"/>
    <mergeCell ref="AW12"/>
    <mergeCell ref="AW230"/>
    <mergeCell ref="AW17"/>
    <mergeCell ref="AW229"/>
    <mergeCell ref="AW16"/>
    <mergeCell ref="AW228"/>
    <mergeCell ref="AW15"/>
    <mergeCell ref="AW233"/>
    <mergeCell ref="AW20"/>
    <mergeCell ref="AW232"/>
    <mergeCell ref="AW19"/>
    <mergeCell ref="AW231"/>
    <mergeCell ref="AW18"/>
    <mergeCell ref="AW350"/>
    <mergeCell ref="AW137"/>
    <mergeCell ref="AW349"/>
    <mergeCell ref="AW136"/>
    <mergeCell ref="AW348"/>
    <mergeCell ref="AW135"/>
    <mergeCell ref="AW140"/>
    <mergeCell ref="AW139"/>
    <mergeCell ref="AW138"/>
    <mergeCell ref="AW143"/>
    <mergeCell ref="AW142"/>
    <mergeCell ref="AW141"/>
    <mergeCell ref="AW146"/>
    <mergeCell ref="AW145"/>
    <mergeCell ref="AW144"/>
    <mergeCell ref="AW338"/>
    <mergeCell ref="AW125"/>
    <mergeCell ref="AW337"/>
    <mergeCell ref="AW124"/>
    <mergeCell ref="AW336"/>
    <mergeCell ref="AW123"/>
    <mergeCell ref="AW341"/>
    <mergeCell ref="AW128"/>
    <mergeCell ref="AW340"/>
    <mergeCell ref="AW127"/>
    <mergeCell ref="AW339"/>
    <mergeCell ref="AW126"/>
    <mergeCell ref="AW344"/>
    <mergeCell ref="AW131"/>
    <mergeCell ref="AW343"/>
    <mergeCell ref="AW130"/>
    <mergeCell ref="AW342"/>
    <mergeCell ref="AW129"/>
    <mergeCell ref="AW412"/>
    <mergeCell ref="AW199"/>
    <mergeCell ref="AW411"/>
    <mergeCell ref="AW198"/>
    <mergeCell ref="AW410"/>
    <mergeCell ref="AW197"/>
    <mergeCell ref="AW415"/>
    <mergeCell ref="AW202"/>
    <mergeCell ref="AW414"/>
    <mergeCell ref="AW201"/>
    <mergeCell ref="AW413"/>
    <mergeCell ref="AW200"/>
    <mergeCell ref="AW418"/>
    <mergeCell ref="AW205"/>
    <mergeCell ref="AW417"/>
    <mergeCell ref="AW204"/>
    <mergeCell ref="AW416"/>
    <mergeCell ref="AW203"/>
    <mergeCell ref="AW296"/>
    <mergeCell ref="AW83"/>
    <mergeCell ref="AW425"/>
    <mergeCell ref="AW212"/>
    <mergeCell ref="AW424"/>
    <mergeCell ref="AW211"/>
    <mergeCell ref="AW423"/>
    <mergeCell ref="AW210"/>
    <mergeCell ref="AW422"/>
    <mergeCell ref="AW209"/>
    <mergeCell ref="AW421"/>
    <mergeCell ref="AW208"/>
    <mergeCell ref="AW420"/>
    <mergeCell ref="AW207"/>
    <mergeCell ref="AW419"/>
    <mergeCell ref="AW206"/>
    <mergeCell ref="AW299"/>
    <mergeCell ref="AW86"/>
    <mergeCell ref="AW298"/>
    <mergeCell ref="AW85"/>
    <mergeCell ref="AW297"/>
    <mergeCell ref="AW84"/>
    <mergeCell ref="AW302"/>
    <mergeCell ref="AW89"/>
    <mergeCell ref="AW400"/>
    <mergeCell ref="AW187"/>
    <mergeCell ref="AW399"/>
    <mergeCell ref="AW186"/>
    <mergeCell ref="AW398"/>
    <mergeCell ref="AW185"/>
    <mergeCell ref="AW403"/>
    <mergeCell ref="AW190"/>
    <mergeCell ref="AW402"/>
    <mergeCell ref="AW189"/>
    <mergeCell ref="AW401"/>
    <mergeCell ref="AW188"/>
    <mergeCell ref="AW406"/>
    <mergeCell ref="AW193"/>
    <mergeCell ref="AW405"/>
    <mergeCell ref="AW192"/>
    <mergeCell ref="AW404"/>
    <mergeCell ref="AW191"/>
    <mergeCell ref="AW409"/>
    <mergeCell ref="AW196"/>
    <mergeCell ref="AW408"/>
    <mergeCell ref="AW195"/>
    <mergeCell ref="AW407"/>
    <mergeCell ref="AW194"/>
    <mergeCell ref="AW388"/>
    <mergeCell ref="AW175"/>
    <mergeCell ref="AW387"/>
    <mergeCell ref="AW174"/>
    <mergeCell ref="AW386"/>
    <mergeCell ref="AW173"/>
    <mergeCell ref="AW391"/>
    <mergeCell ref="AW178"/>
    <mergeCell ref="AW390"/>
    <mergeCell ref="AW177"/>
    <mergeCell ref="AW389"/>
    <mergeCell ref="AW176"/>
    <mergeCell ref="AW394"/>
    <mergeCell ref="AW181"/>
    <mergeCell ref="AW393"/>
    <mergeCell ref="AW180"/>
    <mergeCell ref="AW392"/>
    <mergeCell ref="AW179"/>
    <mergeCell ref="AW397"/>
    <mergeCell ref="AW184"/>
    <mergeCell ref="AW396"/>
    <mergeCell ref="AW183"/>
    <mergeCell ref="AW395"/>
    <mergeCell ref="AW182"/>
    <mergeCell ref="AW376"/>
    <mergeCell ref="AW163"/>
    <mergeCell ref="AW375"/>
    <mergeCell ref="AW162"/>
    <mergeCell ref="AW374"/>
    <mergeCell ref="AW161"/>
    <mergeCell ref="AW379"/>
    <mergeCell ref="AW166"/>
    <mergeCell ref="AW378"/>
    <mergeCell ref="AW165"/>
    <mergeCell ref="AW377"/>
    <mergeCell ref="AW164"/>
    <mergeCell ref="AW382"/>
    <mergeCell ref="AW169"/>
    <mergeCell ref="AW381"/>
    <mergeCell ref="AW168"/>
    <mergeCell ref="AW380"/>
    <mergeCell ref="AW167"/>
    <mergeCell ref="AW385"/>
    <mergeCell ref="AW172"/>
    <mergeCell ref="AW384"/>
    <mergeCell ref="AW171"/>
    <mergeCell ref="AW383"/>
    <mergeCell ref="AW170"/>
    <mergeCell ref="AW330"/>
    <mergeCell ref="AW335"/>
    <mergeCell ref="AW334"/>
    <mergeCell ref="AW333"/>
    <mergeCell ref="AW309"/>
    <mergeCell ref="AW314"/>
    <mergeCell ref="AW313"/>
    <mergeCell ref="AW312"/>
    <mergeCell ref="AW317"/>
    <mergeCell ref="AW316"/>
    <mergeCell ref="AW315"/>
    <mergeCell ref="AW320"/>
    <mergeCell ref="AW319"/>
    <mergeCell ref="AW318"/>
    <mergeCell ref="AW370"/>
    <mergeCell ref="AW157"/>
    <mergeCell ref="AW369"/>
    <mergeCell ref="AW156"/>
    <mergeCell ref="AW368"/>
    <mergeCell ref="AW155"/>
    <mergeCell ref="AW373"/>
    <mergeCell ref="AW160"/>
    <mergeCell ref="AW372"/>
    <mergeCell ref="AW159"/>
    <mergeCell ref="AW371"/>
    <mergeCell ref="AW158"/>
    <mergeCell ref="AW301"/>
    <mergeCell ref="AW88"/>
    <mergeCell ref="AW300"/>
    <mergeCell ref="AW87"/>
    <mergeCell ref="AW305"/>
    <mergeCell ref="AW92"/>
    <mergeCell ref="AW304"/>
    <mergeCell ref="AW91"/>
    <mergeCell ref="AW303"/>
    <mergeCell ref="AW90"/>
    <mergeCell ref="AW308"/>
    <mergeCell ref="AW95"/>
    <mergeCell ref="AW307"/>
    <mergeCell ref="AW94"/>
    <mergeCell ref="AW306"/>
    <mergeCell ref="AW93"/>
    <mergeCell ref="AW311"/>
    <mergeCell ref="AW98"/>
    <mergeCell ref="AW310"/>
    <mergeCell ref="AX281"/>
    <mergeCell ref="AX362"/>
    <mergeCell ref="AX361"/>
    <mergeCell ref="AX360"/>
    <mergeCell ref="AX344"/>
    <mergeCell ref="AX343"/>
    <mergeCell ref="AX342"/>
    <mergeCell ref="AX347"/>
    <mergeCell ref="AX346"/>
    <mergeCell ref="AX345"/>
    <mergeCell ref="AX350"/>
    <mergeCell ref="AX349"/>
    <mergeCell ref="AX348"/>
    <mergeCell ref="AX353"/>
    <mergeCell ref="AX352"/>
    <mergeCell ref="AX351"/>
    <mergeCell ref="AX332"/>
    <mergeCell ref="AX331"/>
    <mergeCell ref="AX330"/>
    <mergeCell ref="AX335"/>
    <mergeCell ref="AX334"/>
    <mergeCell ref="AW122"/>
    <mergeCell ref="AW121"/>
    <mergeCell ref="AW120"/>
    <mergeCell ref="AW97"/>
    <mergeCell ref="AW96"/>
    <mergeCell ref="AW101"/>
    <mergeCell ref="AW100"/>
    <mergeCell ref="AW99"/>
    <mergeCell ref="AW104"/>
    <mergeCell ref="AW103"/>
    <mergeCell ref="AW102"/>
    <mergeCell ref="AW107"/>
    <mergeCell ref="AX90"/>
    <mergeCell ref="AX95"/>
    <mergeCell ref="AX94"/>
    <mergeCell ref="AX93"/>
    <mergeCell ref="AX98"/>
    <mergeCell ref="AX97"/>
    <mergeCell ref="AX96"/>
    <mergeCell ref="AX101"/>
    <mergeCell ref="AX100"/>
    <mergeCell ref="AX99"/>
    <mergeCell ref="AX161"/>
    <mergeCell ref="AX104"/>
    <mergeCell ref="AX120"/>
    <mergeCell ref="AX68"/>
    <mergeCell ref="AX67"/>
    <mergeCell ref="AX66"/>
    <mergeCell ref="AX284"/>
    <mergeCell ref="AX71"/>
    <mergeCell ref="AX283"/>
    <mergeCell ref="AX70"/>
    <mergeCell ref="AX282"/>
    <mergeCell ref="AX69"/>
    <mergeCell ref="AX287"/>
    <mergeCell ref="AX74"/>
    <mergeCell ref="AX293"/>
    <mergeCell ref="AX80"/>
    <mergeCell ref="AX292"/>
    <mergeCell ref="AX79"/>
    <mergeCell ref="AX291"/>
    <mergeCell ref="AX78"/>
    <mergeCell ref="AW367"/>
    <mergeCell ref="AW154"/>
    <mergeCell ref="AW366"/>
    <mergeCell ref="AW153"/>
    <mergeCell ref="AW365"/>
    <mergeCell ref="AW152"/>
    <mergeCell ref="AW106"/>
    <mergeCell ref="AW105"/>
    <mergeCell ref="AW323"/>
    <mergeCell ref="AW110"/>
    <mergeCell ref="AW322"/>
    <mergeCell ref="AW109"/>
    <mergeCell ref="AW321"/>
    <mergeCell ref="AW108"/>
    <mergeCell ref="AW287"/>
    <mergeCell ref="AW290"/>
    <mergeCell ref="AW289"/>
    <mergeCell ref="AW288"/>
    <mergeCell ref="AW75"/>
    <mergeCell ref="AW293"/>
    <mergeCell ref="AW80"/>
    <mergeCell ref="AW292"/>
    <mergeCell ref="AW79"/>
    <mergeCell ref="AW291"/>
    <mergeCell ref="AW78"/>
    <mergeCell ref="AW272"/>
    <mergeCell ref="AX38"/>
    <mergeCell ref="AX250"/>
    <mergeCell ref="AX37"/>
    <mergeCell ref="AX249"/>
    <mergeCell ref="AX36"/>
    <mergeCell ref="AX254"/>
    <mergeCell ref="AX41"/>
    <mergeCell ref="AX253"/>
    <mergeCell ref="AX40"/>
    <mergeCell ref="AX252"/>
    <mergeCell ref="AX39"/>
    <mergeCell ref="AX216"/>
    <mergeCell ref="AX131"/>
    <mergeCell ref="AX130"/>
    <mergeCell ref="AX129"/>
    <mergeCell ref="AX134"/>
    <mergeCell ref="AX133"/>
    <mergeCell ref="AX132"/>
    <mergeCell ref="AX137"/>
    <mergeCell ref="AX136"/>
    <mergeCell ref="AX135"/>
    <mergeCell ref="AX140"/>
    <mergeCell ref="AX139"/>
    <mergeCell ref="AX138"/>
    <mergeCell ref="AX73"/>
    <mergeCell ref="AX285"/>
    <mergeCell ref="AX72"/>
    <mergeCell ref="AX290"/>
    <mergeCell ref="AX77"/>
    <mergeCell ref="AX289"/>
    <mergeCell ref="AX76"/>
    <mergeCell ref="AX288"/>
    <mergeCell ref="AX75"/>
    <mergeCell ref="AX269"/>
    <mergeCell ref="AX56"/>
    <mergeCell ref="AX268"/>
    <mergeCell ref="AX55"/>
    <mergeCell ref="AX267"/>
    <mergeCell ref="AX54"/>
    <mergeCell ref="AX272"/>
    <mergeCell ref="AX59"/>
    <mergeCell ref="AX271"/>
    <mergeCell ref="AX58"/>
    <mergeCell ref="AX270"/>
    <mergeCell ref="AX57"/>
    <mergeCell ref="AX275"/>
    <mergeCell ref="AX62"/>
    <mergeCell ref="AX274"/>
    <mergeCell ref="AX61"/>
    <mergeCell ref="AX273"/>
    <mergeCell ref="AX60"/>
    <mergeCell ref="AX278"/>
    <mergeCell ref="AX65"/>
    <mergeCell ref="AX277"/>
    <mergeCell ref="AX64"/>
    <mergeCell ref="AX276"/>
    <mergeCell ref="AX63"/>
    <mergeCell ref="AX257"/>
    <mergeCell ref="AX119"/>
    <mergeCell ref="AX118"/>
    <mergeCell ref="AX117"/>
    <mergeCell ref="AX122"/>
    <mergeCell ref="AX121"/>
    <mergeCell ref="AX91"/>
    <mergeCell ref="AX356"/>
    <mergeCell ref="AX143"/>
    <mergeCell ref="AX355"/>
    <mergeCell ref="AX142"/>
    <mergeCell ref="AX354"/>
    <mergeCell ref="AX141"/>
    <mergeCell ref="AX359"/>
    <mergeCell ref="AX146"/>
    <mergeCell ref="AX358"/>
    <mergeCell ref="AX145"/>
    <mergeCell ref="AX357"/>
    <mergeCell ref="AX144"/>
    <mergeCell ref="AX149"/>
    <mergeCell ref="AX148"/>
    <mergeCell ref="AX147"/>
    <mergeCell ref="AX218"/>
    <mergeCell ref="AX5"/>
    <mergeCell ref="AX217"/>
    <mergeCell ref="AX4"/>
    <mergeCell ref="AX233"/>
    <mergeCell ref="AX20"/>
    <mergeCell ref="AX232"/>
    <mergeCell ref="AX19"/>
    <mergeCell ref="AX231"/>
    <mergeCell ref="AX18"/>
    <mergeCell ref="AX236"/>
    <mergeCell ref="AX23"/>
    <mergeCell ref="AX235"/>
    <mergeCell ref="AX22"/>
    <mergeCell ref="AX234"/>
    <mergeCell ref="AX21"/>
    <mergeCell ref="AX239"/>
    <mergeCell ref="AX26"/>
    <mergeCell ref="AX238"/>
    <mergeCell ref="AX25"/>
    <mergeCell ref="AX237"/>
    <mergeCell ref="AX24"/>
    <mergeCell ref="AX242"/>
    <mergeCell ref="AX29"/>
    <mergeCell ref="AX44"/>
    <mergeCell ref="AX256"/>
    <mergeCell ref="AX43"/>
    <mergeCell ref="AX255"/>
    <mergeCell ref="AX42"/>
    <mergeCell ref="AX260"/>
    <mergeCell ref="AX47"/>
    <mergeCell ref="AX259"/>
    <mergeCell ref="AX46"/>
    <mergeCell ref="AX258"/>
    <mergeCell ref="AX45"/>
    <mergeCell ref="AX263"/>
    <mergeCell ref="AX50"/>
    <mergeCell ref="AX262"/>
    <mergeCell ref="AX49"/>
    <mergeCell ref="AX261"/>
    <mergeCell ref="AX48"/>
    <mergeCell ref="AX266"/>
    <mergeCell ref="AX53"/>
    <mergeCell ref="AX265"/>
    <mergeCell ref="AX52"/>
    <mergeCell ref="AX264"/>
    <mergeCell ref="AX51"/>
    <mergeCell ref="AX241"/>
    <mergeCell ref="AX28"/>
    <mergeCell ref="AX306"/>
    <mergeCell ref="AX311"/>
    <mergeCell ref="AX310"/>
    <mergeCell ref="AX309"/>
    <mergeCell ref="AX314"/>
    <mergeCell ref="AX313"/>
    <mergeCell ref="AX312"/>
    <mergeCell ref="AX317"/>
    <mergeCell ref="AX194"/>
    <mergeCell ref="AX165"/>
    <mergeCell ref="AX164"/>
    <mergeCell ref="AX154"/>
    <mergeCell ref="AX153"/>
    <mergeCell ref="AX152"/>
    <mergeCell ref="AX157"/>
    <mergeCell ref="AX156"/>
    <mergeCell ref="AX155"/>
    <mergeCell ref="AX160"/>
    <mergeCell ref="AX159"/>
    <mergeCell ref="AX158"/>
    <mergeCell ref="AX163"/>
    <mergeCell ref="AX162"/>
    <mergeCell ref="AX280"/>
    <mergeCell ref="AX279"/>
    <mergeCell ref="AX3"/>
    <mergeCell ref="AX221"/>
    <mergeCell ref="AX8"/>
    <mergeCell ref="AX220"/>
    <mergeCell ref="AX7"/>
    <mergeCell ref="AX219"/>
    <mergeCell ref="AX6"/>
    <mergeCell ref="AX224"/>
    <mergeCell ref="AX11"/>
    <mergeCell ref="AX223"/>
    <mergeCell ref="AX10"/>
    <mergeCell ref="AX222"/>
    <mergeCell ref="AX9"/>
    <mergeCell ref="AX227"/>
    <mergeCell ref="AX14"/>
    <mergeCell ref="AX226"/>
    <mergeCell ref="AX13"/>
    <mergeCell ref="AX225"/>
    <mergeCell ref="AX12"/>
    <mergeCell ref="AX230"/>
    <mergeCell ref="AX17"/>
    <mergeCell ref="AX229"/>
    <mergeCell ref="AX16"/>
    <mergeCell ref="AX228"/>
    <mergeCell ref="AX15"/>
    <mergeCell ref="AX240"/>
    <mergeCell ref="AX27"/>
    <mergeCell ref="AX245"/>
    <mergeCell ref="AX32"/>
    <mergeCell ref="AX244"/>
    <mergeCell ref="AX31"/>
    <mergeCell ref="AX243"/>
    <mergeCell ref="AX30"/>
    <mergeCell ref="AX248"/>
    <mergeCell ref="AX35"/>
    <mergeCell ref="AX247"/>
    <mergeCell ref="AX34"/>
    <mergeCell ref="AX246"/>
    <mergeCell ref="AX33"/>
    <mergeCell ref="AX251"/>
    <mergeCell ref="AX418"/>
    <mergeCell ref="AX205"/>
    <mergeCell ref="AX417"/>
    <mergeCell ref="AX204"/>
    <mergeCell ref="AX416"/>
    <mergeCell ref="AX203"/>
    <mergeCell ref="AX296"/>
    <mergeCell ref="AX83"/>
    <mergeCell ref="AX425"/>
    <mergeCell ref="AX212"/>
    <mergeCell ref="AX424"/>
    <mergeCell ref="AX211"/>
    <mergeCell ref="AX423"/>
    <mergeCell ref="AX210"/>
    <mergeCell ref="AX422"/>
    <mergeCell ref="AX209"/>
    <mergeCell ref="AX421"/>
    <mergeCell ref="AX208"/>
    <mergeCell ref="AX420"/>
    <mergeCell ref="AX207"/>
    <mergeCell ref="AX419"/>
    <mergeCell ref="AX206"/>
    <mergeCell ref="AX299"/>
    <mergeCell ref="AX86"/>
    <mergeCell ref="AX298"/>
    <mergeCell ref="AX85"/>
    <mergeCell ref="AX297"/>
    <mergeCell ref="AX84"/>
    <mergeCell ref="AX302"/>
    <mergeCell ref="AX89"/>
    <mergeCell ref="AX301"/>
    <mergeCell ref="AX88"/>
    <mergeCell ref="AX300"/>
    <mergeCell ref="AX87"/>
    <mergeCell ref="AX305"/>
    <mergeCell ref="AX92"/>
    <mergeCell ref="AX403"/>
    <mergeCell ref="AX190"/>
    <mergeCell ref="AX402"/>
    <mergeCell ref="AX189"/>
    <mergeCell ref="AX401"/>
    <mergeCell ref="AX188"/>
    <mergeCell ref="AX406"/>
    <mergeCell ref="AX193"/>
    <mergeCell ref="AX405"/>
    <mergeCell ref="AX192"/>
    <mergeCell ref="AX404"/>
    <mergeCell ref="AX191"/>
    <mergeCell ref="AX409"/>
    <mergeCell ref="AX196"/>
    <mergeCell ref="AX408"/>
    <mergeCell ref="AX195"/>
    <mergeCell ref="AX407"/>
    <mergeCell ref="AX333"/>
    <mergeCell ref="AX338"/>
    <mergeCell ref="AX125"/>
    <mergeCell ref="AX337"/>
    <mergeCell ref="AX124"/>
    <mergeCell ref="AX336"/>
    <mergeCell ref="AX123"/>
    <mergeCell ref="AX341"/>
    <mergeCell ref="AX128"/>
    <mergeCell ref="AX340"/>
    <mergeCell ref="AX127"/>
    <mergeCell ref="AX385"/>
    <mergeCell ref="AX172"/>
    <mergeCell ref="AX384"/>
    <mergeCell ref="AX171"/>
    <mergeCell ref="AX383"/>
    <mergeCell ref="AX170"/>
    <mergeCell ref="AX388"/>
    <mergeCell ref="AX175"/>
    <mergeCell ref="AX387"/>
    <mergeCell ref="AX174"/>
    <mergeCell ref="AX386"/>
    <mergeCell ref="AX173"/>
    <mergeCell ref="AX367"/>
    <mergeCell ref="AX366"/>
    <mergeCell ref="AX365"/>
    <mergeCell ref="AX370"/>
    <mergeCell ref="AX369"/>
    <mergeCell ref="AX368"/>
    <mergeCell ref="AX373"/>
    <mergeCell ref="AX372"/>
    <mergeCell ref="AX371"/>
    <mergeCell ref="AX376"/>
    <mergeCell ref="AX375"/>
    <mergeCell ref="AX374"/>
    <mergeCell ref="AX316"/>
    <mergeCell ref="AX103"/>
    <mergeCell ref="AX315"/>
    <mergeCell ref="AX102"/>
    <mergeCell ref="AX415"/>
    <mergeCell ref="AX202"/>
    <mergeCell ref="AX414"/>
    <mergeCell ref="AX201"/>
    <mergeCell ref="AX413"/>
    <mergeCell ref="AX200"/>
    <mergeCell ref="AX339"/>
    <mergeCell ref="AX126"/>
    <mergeCell ref="AX320"/>
    <mergeCell ref="AX107"/>
    <mergeCell ref="AX319"/>
    <mergeCell ref="AX106"/>
    <mergeCell ref="AX318"/>
    <mergeCell ref="AX105"/>
    <mergeCell ref="AX323"/>
    <mergeCell ref="AX110"/>
    <mergeCell ref="AX322"/>
    <mergeCell ref="AX109"/>
    <mergeCell ref="AX321"/>
    <mergeCell ref="AX108"/>
    <mergeCell ref="AX326"/>
    <mergeCell ref="AX113"/>
    <mergeCell ref="AX325"/>
    <mergeCell ref="AX112"/>
    <mergeCell ref="AX324"/>
    <mergeCell ref="AX111"/>
    <mergeCell ref="AX329"/>
    <mergeCell ref="AX116"/>
    <mergeCell ref="AX328"/>
    <mergeCell ref="AX115"/>
    <mergeCell ref="AX327"/>
    <mergeCell ref="AX114"/>
    <mergeCell ref="AX304"/>
    <mergeCell ref="AX303"/>
    <mergeCell ref="AX308"/>
    <mergeCell ref="AX307"/>
    <mergeCell ref="AY59"/>
    <mergeCell ref="AY271"/>
    <mergeCell ref="AY58"/>
    <mergeCell ref="AY270"/>
    <mergeCell ref="AY57"/>
    <mergeCell ref="AY275"/>
    <mergeCell ref="AY62"/>
    <mergeCell ref="AY274"/>
    <mergeCell ref="AY61"/>
    <mergeCell ref="AY273"/>
    <mergeCell ref="AY60"/>
    <mergeCell ref="AY278"/>
    <mergeCell ref="AY65"/>
    <mergeCell ref="AY277"/>
    <mergeCell ref="AY64"/>
    <mergeCell ref="AY276"/>
    <mergeCell ref="AY63"/>
    <mergeCell ref="AY281"/>
    <mergeCell ref="AY68"/>
    <mergeCell ref="AY280"/>
    <mergeCell ref="AY67"/>
    <mergeCell ref="AY279"/>
    <mergeCell ref="AY66"/>
    <mergeCell ref="AY260"/>
    <mergeCell ref="AX412"/>
    <mergeCell ref="AX199"/>
    <mergeCell ref="AX411"/>
    <mergeCell ref="AX198"/>
    <mergeCell ref="AX410"/>
    <mergeCell ref="AX197"/>
    <mergeCell ref="AX391"/>
    <mergeCell ref="AX178"/>
    <mergeCell ref="AX390"/>
    <mergeCell ref="AX177"/>
    <mergeCell ref="AX389"/>
    <mergeCell ref="AX176"/>
    <mergeCell ref="AX394"/>
    <mergeCell ref="AX181"/>
    <mergeCell ref="AX393"/>
    <mergeCell ref="AX180"/>
    <mergeCell ref="AX392"/>
    <mergeCell ref="AX179"/>
    <mergeCell ref="AX397"/>
    <mergeCell ref="AX184"/>
    <mergeCell ref="AX396"/>
    <mergeCell ref="AX183"/>
    <mergeCell ref="AX395"/>
    <mergeCell ref="AX182"/>
    <mergeCell ref="AX400"/>
    <mergeCell ref="AX187"/>
    <mergeCell ref="AX399"/>
    <mergeCell ref="AX186"/>
    <mergeCell ref="AX398"/>
    <mergeCell ref="AX185"/>
    <mergeCell ref="AX379"/>
    <mergeCell ref="AX166"/>
    <mergeCell ref="AX378"/>
    <mergeCell ref="AX377"/>
    <mergeCell ref="AX382"/>
    <mergeCell ref="AX169"/>
    <mergeCell ref="AX381"/>
    <mergeCell ref="AX168"/>
    <mergeCell ref="AX380"/>
    <mergeCell ref="AX167"/>
    <mergeCell ref="AX286"/>
    <mergeCell ref="AY47"/>
    <mergeCell ref="AY259"/>
    <mergeCell ref="AY46"/>
    <mergeCell ref="AY258"/>
    <mergeCell ref="AY45"/>
    <mergeCell ref="AY263"/>
    <mergeCell ref="AY50"/>
    <mergeCell ref="AY262"/>
    <mergeCell ref="AY49"/>
    <mergeCell ref="AY261"/>
    <mergeCell ref="AY48"/>
    <mergeCell ref="AY266"/>
    <mergeCell ref="AY53"/>
    <mergeCell ref="AY265"/>
    <mergeCell ref="AY52"/>
    <mergeCell ref="AY264"/>
    <mergeCell ref="AY51"/>
    <mergeCell ref="AY269"/>
    <mergeCell ref="AY56"/>
    <mergeCell ref="AY268"/>
    <mergeCell ref="AY55"/>
    <mergeCell ref="AY267"/>
    <mergeCell ref="AY54"/>
    <mergeCell ref="AY248"/>
    <mergeCell ref="AY35"/>
    <mergeCell ref="AY247"/>
    <mergeCell ref="AY34"/>
    <mergeCell ref="AY246"/>
    <mergeCell ref="AY33"/>
    <mergeCell ref="AY251"/>
    <mergeCell ref="AY38"/>
    <mergeCell ref="AY250"/>
    <mergeCell ref="AY37"/>
    <mergeCell ref="AY249"/>
    <mergeCell ref="AY36"/>
    <mergeCell ref="AY254"/>
    <mergeCell ref="AY41"/>
    <mergeCell ref="AY253"/>
    <mergeCell ref="AY40"/>
    <mergeCell ref="AY252"/>
    <mergeCell ref="AY39"/>
    <mergeCell ref="AY257"/>
    <mergeCell ref="AY44"/>
    <mergeCell ref="AY256"/>
    <mergeCell ref="AY43"/>
    <mergeCell ref="AY255"/>
    <mergeCell ref="AY42"/>
    <mergeCell ref="AY236"/>
    <mergeCell ref="AY118"/>
    <mergeCell ref="AY284"/>
    <mergeCell ref="AY71"/>
    <mergeCell ref="AY283"/>
    <mergeCell ref="AY70"/>
    <mergeCell ref="AY282"/>
    <mergeCell ref="AY69"/>
    <mergeCell ref="AY74"/>
    <mergeCell ref="AY286"/>
    <mergeCell ref="AY73"/>
    <mergeCell ref="AY285"/>
    <mergeCell ref="AY72"/>
    <mergeCell ref="AY77"/>
    <mergeCell ref="AY76"/>
    <mergeCell ref="AY75"/>
    <mergeCell ref="AY23"/>
    <mergeCell ref="AY235"/>
    <mergeCell ref="AY22"/>
    <mergeCell ref="AY234"/>
    <mergeCell ref="AY21"/>
    <mergeCell ref="AY239"/>
    <mergeCell ref="AY26"/>
    <mergeCell ref="AY238"/>
    <mergeCell ref="AY25"/>
    <mergeCell ref="AY237"/>
    <mergeCell ref="AY24"/>
    <mergeCell ref="AY242"/>
    <mergeCell ref="AY29"/>
    <mergeCell ref="AY241"/>
    <mergeCell ref="AY28"/>
    <mergeCell ref="AY240"/>
    <mergeCell ref="AY27"/>
    <mergeCell ref="AY245"/>
    <mergeCell ref="AY32"/>
    <mergeCell ref="AY244"/>
    <mergeCell ref="AY31"/>
    <mergeCell ref="AY243"/>
    <mergeCell ref="AY30"/>
    <mergeCell ref="AY362"/>
    <mergeCell ref="AY149"/>
    <mergeCell ref="AY361"/>
    <mergeCell ref="AY148"/>
    <mergeCell ref="AY360"/>
    <mergeCell ref="AY147"/>
    <mergeCell ref="AY218"/>
    <mergeCell ref="AY5"/>
    <mergeCell ref="AY217"/>
    <mergeCell ref="AY4"/>
    <mergeCell ref="AY216"/>
    <mergeCell ref="AY353"/>
    <mergeCell ref="AY352"/>
    <mergeCell ref="AY351"/>
    <mergeCell ref="AY356"/>
    <mergeCell ref="AY355"/>
    <mergeCell ref="AY354"/>
    <mergeCell ref="AY359"/>
    <mergeCell ref="AY358"/>
    <mergeCell ref="AY357"/>
    <mergeCell ref="AY347"/>
    <mergeCell ref="AY134"/>
    <mergeCell ref="AY346"/>
    <mergeCell ref="AY133"/>
    <mergeCell ref="AY345"/>
    <mergeCell ref="AY132"/>
    <mergeCell ref="AY326"/>
    <mergeCell ref="AY113"/>
    <mergeCell ref="AY325"/>
    <mergeCell ref="AY112"/>
    <mergeCell ref="AY324"/>
    <mergeCell ref="AY111"/>
    <mergeCell ref="AY329"/>
    <mergeCell ref="AY116"/>
    <mergeCell ref="AY328"/>
    <mergeCell ref="AY115"/>
    <mergeCell ref="AY327"/>
    <mergeCell ref="AY114"/>
    <mergeCell ref="AY332"/>
    <mergeCell ref="AY119"/>
    <mergeCell ref="AY331"/>
    <mergeCell ref="AY3"/>
    <mergeCell ref="AY221"/>
    <mergeCell ref="AY8"/>
    <mergeCell ref="AY220"/>
    <mergeCell ref="AY7"/>
    <mergeCell ref="AY219"/>
    <mergeCell ref="AY6"/>
    <mergeCell ref="AY224"/>
    <mergeCell ref="AY11"/>
    <mergeCell ref="AY223"/>
    <mergeCell ref="AY10"/>
    <mergeCell ref="AY222"/>
    <mergeCell ref="AY9"/>
    <mergeCell ref="AY227"/>
    <mergeCell ref="AY14"/>
    <mergeCell ref="AY226"/>
    <mergeCell ref="AY13"/>
    <mergeCell ref="AY225"/>
    <mergeCell ref="AY12"/>
    <mergeCell ref="AY230"/>
    <mergeCell ref="AY17"/>
    <mergeCell ref="AY229"/>
    <mergeCell ref="AY16"/>
    <mergeCell ref="AY228"/>
    <mergeCell ref="AY15"/>
    <mergeCell ref="AY233"/>
    <mergeCell ref="AY20"/>
    <mergeCell ref="AY232"/>
    <mergeCell ref="AY19"/>
    <mergeCell ref="AY231"/>
    <mergeCell ref="AY18"/>
    <mergeCell ref="AY350"/>
    <mergeCell ref="AY137"/>
    <mergeCell ref="AY349"/>
    <mergeCell ref="AY136"/>
    <mergeCell ref="AY348"/>
    <mergeCell ref="AY135"/>
    <mergeCell ref="AY140"/>
    <mergeCell ref="AY139"/>
    <mergeCell ref="AY138"/>
    <mergeCell ref="AY143"/>
    <mergeCell ref="AY142"/>
    <mergeCell ref="AY141"/>
    <mergeCell ref="AY146"/>
    <mergeCell ref="AY145"/>
    <mergeCell ref="AY144"/>
    <mergeCell ref="AY338"/>
    <mergeCell ref="AY125"/>
    <mergeCell ref="AY337"/>
    <mergeCell ref="AY124"/>
    <mergeCell ref="AY336"/>
    <mergeCell ref="AY123"/>
    <mergeCell ref="AY341"/>
    <mergeCell ref="AY128"/>
    <mergeCell ref="AY340"/>
    <mergeCell ref="AY127"/>
    <mergeCell ref="AY339"/>
    <mergeCell ref="AY126"/>
    <mergeCell ref="AY344"/>
    <mergeCell ref="AY131"/>
    <mergeCell ref="AY343"/>
    <mergeCell ref="AY130"/>
    <mergeCell ref="AY342"/>
    <mergeCell ref="AY129"/>
    <mergeCell ref="AY412"/>
    <mergeCell ref="AY199"/>
    <mergeCell ref="AY411"/>
    <mergeCell ref="AY198"/>
    <mergeCell ref="AY410"/>
    <mergeCell ref="AY197"/>
    <mergeCell ref="AY415"/>
    <mergeCell ref="AY202"/>
    <mergeCell ref="AY414"/>
    <mergeCell ref="AY201"/>
    <mergeCell ref="AY413"/>
    <mergeCell ref="AY200"/>
    <mergeCell ref="AY418"/>
    <mergeCell ref="AY205"/>
    <mergeCell ref="AY417"/>
    <mergeCell ref="AY204"/>
    <mergeCell ref="AY416"/>
    <mergeCell ref="AY203"/>
    <mergeCell ref="AY296"/>
    <mergeCell ref="AY83"/>
    <mergeCell ref="AY425"/>
    <mergeCell ref="AY212"/>
    <mergeCell ref="AY424"/>
    <mergeCell ref="AY211"/>
    <mergeCell ref="AY423"/>
    <mergeCell ref="AY210"/>
    <mergeCell ref="AY422"/>
    <mergeCell ref="AY209"/>
    <mergeCell ref="AY421"/>
    <mergeCell ref="AY208"/>
    <mergeCell ref="AY420"/>
    <mergeCell ref="AY207"/>
    <mergeCell ref="AY419"/>
    <mergeCell ref="AY206"/>
    <mergeCell ref="AY299"/>
    <mergeCell ref="AY86"/>
    <mergeCell ref="AY298"/>
    <mergeCell ref="AY85"/>
    <mergeCell ref="AY297"/>
    <mergeCell ref="AY84"/>
    <mergeCell ref="AY302"/>
    <mergeCell ref="AY89"/>
    <mergeCell ref="AY400"/>
    <mergeCell ref="AY187"/>
    <mergeCell ref="AY399"/>
    <mergeCell ref="AY186"/>
    <mergeCell ref="AY398"/>
    <mergeCell ref="AY185"/>
    <mergeCell ref="AY403"/>
    <mergeCell ref="AY190"/>
    <mergeCell ref="AY402"/>
    <mergeCell ref="AY189"/>
    <mergeCell ref="AY401"/>
    <mergeCell ref="AY188"/>
    <mergeCell ref="AY406"/>
    <mergeCell ref="AY193"/>
    <mergeCell ref="AY405"/>
    <mergeCell ref="AY192"/>
    <mergeCell ref="AY404"/>
    <mergeCell ref="AY191"/>
    <mergeCell ref="AY409"/>
    <mergeCell ref="AY196"/>
    <mergeCell ref="AY408"/>
    <mergeCell ref="AY195"/>
    <mergeCell ref="AY407"/>
    <mergeCell ref="AY194"/>
    <mergeCell ref="AY388"/>
    <mergeCell ref="AY175"/>
    <mergeCell ref="AY387"/>
    <mergeCell ref="AY174"/>
    <mergeCell ref="AY386"/>
    <mergeCell ref="AY173"/>
    <mergeCell ref="AY391"/>
    <mergeCell ref="AY178"/>
    <mergeCell ref="AY390"/>
    <mergeCell ref="AY177"/>
    <mergeCell ref="AY389"/>
    <mergeCell ref="AY176"/>
    <mergeCell ref="AY394"/>
    <mergeCell ref="AY181"/>
    <mergeCell ref="AY393"/>
    <mergeCell ref="AY180"/>
    <mergeCell ref="AY392"/>
    <mergeCell ref="AY179"/>
    <mergeCell ref="AY397"/>
    <mergeCell ref="AY184"/>
    <mergeCell ref="AY396"/>
    <mergeCell ref="AY183"/>
    <mergeCell ref="AY395"/>
    <mergeCell ref="AY182"/>
    <mergeCell ref="AY376"/>
    <mergeCell ref="AY163"/>
    <mergeCell ref="AY375"/>
    <mergeCell ref="AY162"/>
    <mergeCell ref="AY374"/>
    <mergeCell ref="AY161"/>
    <mergeCell ref="AY379"/>
    <mergeCell ref="AY166"/>
    <mergeCell ref="AY378"/>
    <mergeCell ref="AY165"/>
    <mergeCell ref="AY377"/>
    <mergeCell ref="AY164"/>
    <mergeCell ref="AY382"/>
    <mergeCell ref="AY169"/>
    <mergeCell ref="AY381"/>
    <mergeCell ref="AY168"/>
    <mergeCell ref="AY380"/>
    <mergeCell ref="AY167"/>
    <mergeCell ref="AY385"/>
    <mergeCell ref="AY172"/>
    <mergeCell ref="AY384"/>
    <mergeCell ref="AY171"/>
    <mergeCell ref="AY383"/>
    <mergeCell ref="AY170"/>
    <mergeCell ref="AY330"/>
    <mergeCell ref="AY335"/>
    <mergeCell ref="AY334"/>
    <mergeCell ref="AY333"/>
    <mergeCell ref="AY310"/>
    <mergeCell ref="AY309"/>
    <mergeCell ref="AY314"/>
    <mergeCell ref="AY313"/>
    <mergeCell ref="AY312"/>
    <mergeCell ref="AY317"/>
    <mergeCell ref="AY316"/>
    <mergeCell ref="AY315"/>
    <mergeCell ref="AY320"/>
    <mergeCell ref="AY319"/>
    <mergeCell ref="AY373"/>
    <mergeCell ref="AY160"/>
    <mergeCell ref="AY372"/>
    <mergeCell ref="AY159"/>
    <mergeCell ref="AY371"/>
    <mergeCell ref="AY158"/>
    <mergeCell ref="AY301"/>
    <mergeCell ref="AY88"/>
    <mergeCell ref="AY300"/>
    <mergeCell ref="AY87"/>
    <mergeCell ref="AY305"/>
    <mergeCell ref="AY92"/>
    <mergeCell ref="AY304"/>
    <mergeCell ref="AY91"/>
    <mergeCell ref="AY303"/>
    <mergeCell ref="AY90"/>
    <mergeCell ref="AY308"/>
    <mergeCell ref="AY95"/>
    <mergeCell ref="AY307"/>
    <mergeCell ref="AY94"/>
    <mergeCell ref="AY306"/>
    <mergeCell ref="AY93"/>
    <mergeCell ref="AY311"/>
    <mergeCell ref="AY98"/>
    <mergeCell ref="AZ275"/>
    <mergeCell ref="AZ352"/>
    <mergeCell ref="AZ349"/>
    <mergeCell ref="AZ350"/>
    <mergeCell ref="AZ347"/>
    <mergeCell ref="AZ348"/>
    <mergeCell ref="AZ339"/>
    <mergeCell ref="AZ340"/>
    <mergeCell ref="AZ337"/>
    <mergeCell ref="AZ338"/>
    <mergeCell ref="AZ335"/>
    <mergeCell ref="AZ336"/>
    <mergeCell ref="AZ345"/>
    <mergeCell ref="AZ346"/>
    <mergeCell ref="AZ343"/>
    <mergeCell ref="AZ344"/>
    <mergeCell ref="AZ341"/>
    <mergeCell ref="AZ342"/>
    <mergeCell ref="AY117"/>
    <mergeCell ref="AY122"/>
    <mergeCell ref="AY121"/>
    <mergeCell ref="AY120"/>
    <mergeCell ref="AY97"/>
    <mergeCell ref="AY96"/>
    <mergeCell ref="AY101"/>
    <mergeCell ref="AY100"/>
    <mergeCell ref="AY99"/>
    <mergeCell ref="AY104"/>
    <mergeCell ref="AY103"/>
    <mergeCell ref="AY102"/>
    <mergeCell ref="AY107"/>
    <mergeCell ref="AY106"/>
    <mergeCell ref="AY318"/>
    <mergeCell ref="AY105"/>
    <mergeCell ref="AY323"/>
    <mergeCell ref="AY110"/>
    <mergeCell ref="AY322"/>
    <mergeCell ref="AY109"/>
    <mergeCell ref="AY321"/>
    <mergeCell ref="AY108"/>
    <mergeCell ref="AZ287"/>
    <mergeCell ref="AZ74"/>
    <mergeCell ref="AZ288"/>
    <mergeCell ref="AZ75"/>
    <mergeCell ref="AZ285"/>
    <mergeCell ref="AZ72"/>
    <mergeCell ref="AZ286"/>
    <mergeCell ref="AZ73"/>
    <mergeCell ref="AZ283"/>
    <mergeCell ref="AZ70"/>
    <mergeCell ref="AZ284"/>
    <mergeCell ref="AZ71"/>
    <mergeCell ref="AZ257"/>
    <mergeCell ref="AZ293"/>
    <mergeCell ref="AZ80"/>
    <mergeCell ref="AZ291"/>
    <mergeCell ref="AZ78"/>
    <mergeCell ref="AZ292"/>
    <mergeCell ref="AZ79"/>
    <mergeCell ref="AZ289"/>
    <mergeCell ref="AZ76"/>
    <mergeCell ref="AZ290"/>
    <mergeCell ref="AZ77"/>
    <mergeCell ref="AY367"/>
    <mergeCell ref="AY154"/>
    <mergeCell ref="AY366"/>
    <mergeCell ref="AY153"/>
    <mergeCell ref="AY365"/>
    <mergeCell ref="AY152"/>
    <mergeCell ref="AY370"/>
    <mergeCell ref="AY157"/>
    <mergeCell ref="AY369"/>
    <mergeCell ref="AY156"/>
    <mergeCell ref="AY368"/>
    <mergeCell ref="AY155"/>
    <mergeCell ref="AY287"/>
    <mergeCell ref="AY290"/>
    <mergeCell ref="AY289"/>
    <mergeCell ref="AY288"/>
    <mergeCell ref="AY293"/>
    <mergeCell ref="AY80"/>
    <mergeCell ref="AY292"/>
    <mergeCell ref="AY79"/>
    <mergeCell ref="AY291"/>
    <mergeCell ref="AY78"/>
    <mergeCell ref="AY272"/>
    <mergeCell ref="AZ44"/>
    <mergeCell ref="AZ258"/>
    <mergeCell ref="AZ45"/>
    <mergeCell ref="AZ255"/>
    <mergeCell ref="AZ42"/>
    <mergeCell ref="AZ256"/>
    <mergeCell ref="AZ43"/>
    <mergeCell ref="AZ253"/>
    <mergeCell ref="AZ40"/>
    <mergeCell ref="AZ254"/>
    <mergeCell ref="AZ41"/>
    <mergeCell ref="AZ263"/>
    <mergeCell ref="AZ50"/>
    <mergeCell ref="AZ264"/>
    <mergeCell ref="AZ51"/>
    <mergeCell ref="AZ261"/>
    <mergeCell ref="AZ48"/>
    <mergeCell ref="AZ262"/>
    <mergeCell ref="AZ49"/>
    <mergeCell ref="AZ259"/>
    <mergeCell ref="AZ46"/>
    <mergeCell ref="AZ260"/>
    <mergeCell ref="AZ47"/>
    <mergeCell ref="AZ269"/>
    <mergeCell ref="AZ56"/>
    <mergeCell ref="AZ270"/>
    <mergeCell ref="AZ57"/>
    <mergeCell ref="AZ267"/>
    <mergeCell ref="AZ54"/>
    <mergeCell ref="AZ268"/>
    <mergeCell ref="AZ55"/>
    <mergeCell ref="AZ265"/>
    <mergeCell ref="AZ52"/>
    <mergeCell ref="AZ266"/>
    <mergeCell ref="AZ53"/>
    <mergeCell ref="AZ232"/>
    <mergeCell ref="AZ173"/>
    <mergeCell ref="AZ174"/>
    <mergeCell ref="AZ171"/>
    <mergeCell ref="AZ172"/>
    <mergeCell ref="AZ169"/>
    <mergeCell ref="AZ170"/>
    <mergeCell ref="AZ179"/>
    <mergeCell ref="AZ180"/>
    <mergeCell ref="AZ177"/>
    <mergeCell ref="AZ178"/>
    <mergeCell ref="AZ175"/>
    <mergeCell ref="AZ176"/>
    <mergeCell ref="AZ62"/>
    <mergeCell ref="AZ63"/>
    <mergeCell ref="AZ60"/>
    <mergeCell ref="AZ61"/>
    <mergeCell ref="AZ58"/>
    <mergeCell ref="AZ59"/>
    <mergeCell ref="AZ68"/>
    <mergeCell ref="AZ69"/>
    <mergeCell ref="AZ66"/>
    <mergeCell ref="AZ67"/>
    <mergeCell ref="AZ64"/>
    <mergeCell ref="AZ65"/>
    <mergeCell ref="AZ19"/>
    <mergeCell ref="AZ229"/>
    <mergeCell ref="AZ16"/>
    <mergeCell ref="AZ230"/>
    <mergeCell ref="AZ17"/>
    <mergeCell ref="AZ239"/>
    <mergeCell ref="AZ26"/>
    <mergeCell ref="AZ240"/>
    <mergeCell ref="AZ27"/>
    <mergeCell ref="AZ237"/>
    <mergeCell ref="AZ24"/>
    <mergeCell ref="AZ238"/>
    <mergeCell ref="AZ25"/>
    <mergeCell ref="AZ235"/>
    <mergeCell ref="AZ22"/>
    <mergeCell ref="AZ236"/>
    <mergeCell ref="AZ23"/>
    <mergeCell ref="AZ245"/>
    <mergeCell ref="AZ32"/>
    <mergeCell ref="AZ246"/>
    <mergeCell ref="AZ33"/>
    <mergeCell ref="AZ243"/>
    <mergeCell ref="AZ30"/>
    <mergeCell ref="AZ244"/>
    <mergeCell ref="AZ31"/>
    <mergeCell ref="AZ241"/>
    <mergeCell ref="AZ28"/>
    <mergeCell ref="AZ242"/>
    <mergeCell ref="AZ29"/>
    <mergeCell ref="AZ251"/>
    <mergeCell ref="AZ38"/>
    <mergeCell ref="AZ252"/>
    <mergeCell ref="AZ39"/>
    <mergeCell ref="AZ249"/>
    <mergeCell ref="AZ36"/>
    <mergeCell ref="AZ250"/>
    <mergeCell ref="AZ37"/>
    <mergeCell ref="AZ247"/>
    <mergeCell ref="AZ34"/>
    <mergeCell ref="AZ248"/>
    <mergeCell ref="AZ35"/>
    <mergeCell ref="AZ139"/>
    <mergeCell ref="AZ136"/>
    <mergeCell ref="AZ137"/>
    <mergeCell ref="AZ134"/>
    <mergeCell ref="AZ135"/>
    <mergeCell ref="AZ216"/>
    <mergeCell ref="AZ126"/>
    <mergeCell ref="AZ127"/>
    <mergeCell ref="AZ124"/>
    <mergeCell ref="AZ125"/>
    <mergeCell ref="AZ122"/>
    <mergeCell ref="AZ123"/>
    <mergeCell ref="AZ132"/>
    <mergeCell ref="AZ133"/>
    <mergeCell ref="AZ130"/>
    <mergeCell ref="AZ131"/>
    <mergeCell ref="AZ128"/>
    <mergeCell ref="AZ129"/>
    <mergeCell ref="AZ168"/>
    <mergeCell ref="AZ165"/>
    <mergeCell ref="AZ166"/>
    <mergeCell ref="AZ163"/>
    <mergeCell ref="AZ164"/>
    <mergeCell ref="AZ3"/>
    <mergeCell ref="AZ361"/>
    <mergeCell ref="AZ148"/>
    <mergeCell ref="AZ362"/>
    <mergeCell ref="AZ149"/>
    <mergeCell ref="AZ359"/>
    <mergeCell ref="AZ146"/>
    <mergeCell ref="AZ360"/>
    <mergeCell ref="AZ147"/>
    <mergeCell ref="AZ357"/>
    <mergeCell ref="AZ144"/>
    <mergeCell ref="AZ358"/>
    <mergeCell ref="AZ145"/>
    <mergeCell ref="AZ355"/>
    <mergeCell ref="AZ142"/>
    <mergeCell ref="AZ356"/>
    <mergeCell ref="AZ143"/>
    <mergeCell ref="AZ353"/>
    <mergeCell ref="AZ140"/>
    <mergeCell ref="AZ354"/>
    <mergeCell ref="AZ141"/>
    <mergeCell ref="AZ351"/>
    <mergeCell ref="AZ138"/>
    <mergeCell ref="AZ221"/>
    <mergeCell ref="AZ8"/>
    <mergeCell ref="AZ222"/>
    <mergeCell ref="AZ9"/>
    <mergeCell ref="AZ219"/>
    <mergeCell ref="AZ6"/>
    <mergeCell ref="AZ220"/>
    <mergeCell ref="AZ7"/>
    <mergeCell ref="AZ217"/>
    <mergeCell ref="AZ4"/>
    <mergeCell ref="AZ218"/>
    <mergeCell ref="AZ5"/>
    <mergeCell ref="AZ227"/>
    <mergeCell ref="AZ14"/>
    <mergeCell ref="AZ228"/>
    <mergeCell ref="AZ15"/>
    <mergeCell ref="AZ225"/>
    <mergeCell ref="AZ12"/>
    <mergeCell ref="AZ226"/>
    <mergeCell ref="AZ13"/>
    <mergeCell ref="AZ223"/>
    <mergeCell ref="AZ10"/>
    <mergeCell ref="AZ224"/>
    <mergeCell ref="AZ11"/>
    <mergeCell ref="AZ233"/>
    <mergeCell ref="AZ20"/>
    <mergeCell ref="AZ234"/>
    <mergeCell ref="AZ21"/>
    <mergeCell ref="AZ231"/>
    <mergeCell ref="AZ18"/>
    <mergeCell ref="AZ120"/>
    <mergeCell ref="AZ334"/>
    <mergeCell ref="AZ121"/>
    <mergeCell ref="AZ331"/>
    <mergeCell ref="AZ118"/>
    <mergeCell ref="AZ332"/>
    <mergeCell ref="AZ119"/>
    <mergeCell ref="AZ329"/>
    <mergeCell ref="AZ116"/>
    <mergeCell ref="AZ330"/>
    <mergeCell ref="AZ117"/>
    <mergeCell ref="AZ417"/>
    <mergeCell ref="AZ204"/>
    <mergeCell ref="AZ414"/>
    <mergeCell ref="AZ201"/>
    <mergeCell ref="AZ415"/>
    <mergeCell ref="AZ202"/>
    <mergeCell ref="AZ412"/>
    <mergeCell ref="AZ199"/>
    <mergeCell ref="AZ413"/>
    <mergeCell ref="AZ200"/>
    <mergeCell ref="AZ297"/>
    <mergeCell ref="AZ84"/>
    <mergeCell ref="AZ298"/>
    <mergeCell ref="AZ85"/>
    <mergeCell ref="AZ296"/>
    <mergeCell ref="AZ83"/>
    <mergeCell ref="AZ424"/>
    <mergeCell ref="AZ211"/>
    <mergeCell ref="AZ425"/>
    <mergeCell ref="AZ212"/>
    <mergeCell ref="AZ422"/>
    <mergeCell ref="AZ209"/>
    <mergeCell ref="AZ423"/>
    <mergeCell ref="AZ210"/>
    <mergeCell ref="AZ420"/>
    <mergeCell ref="AZ207"/>
    <mergeCell ref="AZ421"/>
    <mergeCell ref="AZ208"/>
    <mergeCell ref="AZ418"/>
    <mergeCell ref="AZ205"/>
    <mergeCell ref="AZ419"/>
    <mergeCell ref="AZ206"/>
    <mergeCell ref="AZ416"/>
    <mergeCell ref="AZ203"/>
    <mergeCell ref="AZ303"/>
    <mergeCell ref="AZ90"/>
    <mergeCell ref="AZ304"/>
    <mergeCell ref="AZ91"/>
    <mergeCell ref="AZ301"/>
    <mergeCell ref="AZ88"/>
    <mergeCell ref="AZ302"/>
    <mergeCell ref="AZ89"/>
    <mergeCell ref="AZ299"/>
    <mergeCell ref="AZ86"/>
    <mergeCell ref="AZ300"/>
    <mergeCell ref="AZ87"/>
    <mergeCell ref="AZ309"/>
    <mergeCell ref="AZ96"/>
    <mergeCell ref="AZ310"/>
    <mergeCell ref="AZ97"/>
    <mergeCell ref="AZ307"/>
    <mergeCell ref="AZ94"/>
    <mergeCell ref="AZ308"/>
    <mergeCell ref="AZ95"/>
    <mergeCell ref="AZ305"/>
    <mergeCell ref="AZ92"/>
    <mergeCell ref="AZ306"/>
    <mergeCell ref="AZ93"/>
    <mergeCell ref="AZ315"/>
    <mergeCell ref="AZ102"/>
    <mergeCell ref="AZ316"/>
    <mergeCell ref="AZ103"/>
    <mergeCell ref="AZ313"/>
    <mergeCell ref="AZ100"/>
    <mergeCell ref="AZ398"/>
    <mergeCell ref="AZ185"/>
    <mergeCell ref="AZ399"/>
    <mergeCell ref="AZ186"/>
    <mergeCell ref="AZ396"/>
    <mergeCell ref="AZ183"/>
    <mergeCell ref="AZ397"/>
    <mergeCell ref="AZ184"/>
    <mergeCell ref="AZ394"/>
    <mergeCell ref="AZ181"/>
    <mergeCell ref="AZ395"/>
    <mergeCell ref="AZ182"/>
    <mergeCell ref="AZ404"/>
    <mergeCell ref="AZ191"/>
    <mergeCell ref="AZ405"/>
    <mergeCell ref="AZ192"/>
    <mergeCell ref="AZ402"/>
    <mergeCell ref="AZ189"/>
    <mergeCell ref="AZ403"/>
    <mergeCell ref="AZ190"/>
    <mergeCell ref="AZ400"/>
    <mergeCell ref="AZ187"/>
    <mergeCell ref="AZ401"/>
    <mergeCell ref="AZ188"/>
    <mergeCell ref="AZ410"/>
    <mergeCell ref="AZ197"/>
    <mergeCell ref="AZ411"/>
    <mergeCell ref="AZ198"/>
    <mergeCell ref="AZ408"/>
    <mergeCell ref="AZ195"/>
    <mergeCell ref="AZ409"/>
    <mergeCell ref="AZ196"/>
    <mergeCell ref="AZ406"/>
    <mergeCell ref="AZ193"/>
    <mergeCell ref="AZ407"/>
    <mergeCell ref="AZ194"/>
    <mergeCell ref="AZ381"/>
    <mergeCell ref="AZ378"/>
    <mergeCell ref="AZ379"/>
    <mergeCell ref="AZ376"/>
    <mergeCell ref="AZ377"/>
    <mergeCell ref="AZ386"/>
    <mergeCell ref="AZ387"/>
    <mergeCell ref="AZ384"/>
    <mergeCell ref="AZ385"/>
    <mergeCell ref="AZ382"/>
    <mergeCell ref="AZ383"/>
    <mergeCell ref="AZ392"/>
    <mergeCell ref="AZ393"/>
    <mergeCell ref="AZ390"/>
    <mergeCell ref="AZ391"/>
    <mergeCell ref="AZ388"/>
    <mergeCell ref="AZ389"/>
    <mergeCell ref="AZ276"/>
    <mergeCell ref="AZ273"/>
    <mergeCell ref="AZ274"/>
    <mergeCell ref="AZ271"/>
    <mergeCell ref="AZ272"/>
    <mergeCell ref="AZ281"/>
    <mergeCell ref="AZ282"/>
    <mergeCell ref="AZ279"/>
    <mergeCell ref="AZ280"/>
    <mergeCell ref="AZ277"/>
    <mergeCell ref="AZ278"/>
    <mergeCell ref="BA293"/>
    <mergeCell ref="BA80"/>
    <mergeCell ref="BA292"/>
    <mergeCell ref="BA79"/>
    <mergeCell ref="BA291"/>
    <mergeCell ref="BA78"/>
    <mergeCell ref="AZ368"/>
    <mergeCell ref="AZ155"/>
    <mergeCell ref="AZ369"/>
    <mergeCell ref="AZ156"/>
    <mergeCell ref="AZ366"/>
    <mergeCell ref="AZ153"/>
    <mergeCell ref="AZ367"/>
    <mergeCell ref="AZ154"/>
    <mergeCell ref="AZ365"/>
    <mergeCell ref="AZ152"/>
    <mergeCell ref="AZ374"/>
    <mergeCell ref="AZ161"/>
    <mergeCell ref="AZ375"/>
    <mergeCell ref="AZ162"/>
    <mergeCell ref="AZ372"/>
    <mergeCell ref="AZ159"/>
    <mergeCell ref="AZ373"/>
    <mergeCell ref="AZ160"/>
    <mergeCell ref="AZ370"/>
    <mergeCell ref="AZ157"/>
    <mergeCell ref="AZ371"/>
    <mergeCell ref="AZ158"/>
    <mergeCell ref="AZ380"/>
    <mergeCell ref="AZ167"/>
    <mergeCell ref="AZ314"/>
    <mergeCell ref="AZ101"/>
    <mergeCell ref="AZ311"/>
    <mergeCell ref="AZ98"/>
    <mergeCell ref="AZ312"/>
    <mergeCell ref="AZ99"/>
    <mergeCell ref="AZ321"/>
    <mergeCell ref="AZ108"/>
    <mergeCell ref="AZ322"/>
    <mergeCell ref="AZ109"/>
    <mergeCell ref="AZ319"/>
    <mergeCell ref="AZ106"/>
    <mergeCell ref="AZ320"/>
    <mergeCell ref="AZ107"/>
    <mergeCell ref="AZ317"/>
    <mergeCell ref="AZ104"/>
    <mergeCell ref="AZ318"/>
    <mergeCell ref="AZ105"/>
    <mergeCell ref="AZ327"/>
    <mergeCell ref="AZ114"/>
    <mergeCell ref="AZ328"/>
    <mergeCell ref="AZ115"/>
    <mergeCell ref="AZ325"/>
    <mergeCell ref="AZ112"/>
    <mergeCell ref="AZ326"/>
    <mergeCell ref="AZ113"/>
    <mergeCell ref="AZ323"/>
    <mergeCell ref="AZ110"/>
    <mergeCell ref="AZ324"/>
    <mergeCell ref="AZ111"/>
    <mergeCell ref="AZ333"/>
    <mergeCell ref="BA281"/>
    <mergeCell ref="BA362"/>
    <mergeCell ref="BA361"/>
    <mergeCell ref="BA280"/>
    <mergeCell ref="BA67"/>
    <mergeCell ref="BA279"/>
    <mergeCell ref="BA66"/>
    <mergeCell ref="BA284"/>
    <mergeCell ref="BA71"/>
    <mergeCell ref="BA283"/>
    <mergeCell ref="BA70"/>
    <mergeCell ref="BA282"/>
    <mergeCell ref="BA69"/>
    <mergeCell ref="BA287"/>
    <mergeCell ref="BA74"/>
    <mergeCell ref="BA286"/>
    <mergeCell ref="BA73"/>
    <mergeCell ref="BA285"/>
    <mergeCell ref="BA72"/>
    <mergeCell ref="BA290"/>
    <mergeCell ref="BA77"/>
    <mergeCell ref="BA289"/>
    <mergeCell ref="BA76"/>
    <mergeCell ref="BA288"/>
    <mergeCell ref="BA75"/>
    <mergeCell ref="BA269"/>
    <mergeCell ref="BA56"/>
    <mergeCell ref="BA268"/>
    <mergeCell ref="BA55"/>
    <mergeCell ref="BA267"/>
    <mergeCell ref="BA54"/>
    <mergeCell ref="BA272"/>
    <mergeCell ref="BA59"/>
    <mergeCell ref="BA271"/>
    <mergeCell ref="BA58"/>
    <mergeCell ref="BA270"/>
    <mergeCell ref="BA57"/>
    <mergeCell ref="BA275"/>
    <mergeCell ref="BA62"/>
    <mergeCell ref="BA274"/>
    <mergeCell ref="BA61"/>
    <mergeCell ref="BA273"/>
    <mergeCell ref="BA60"/>
    <mergeCell ref="BA278"/>
    <mergeCell ref="BA65"/>
    <mergeCell ref="BA277"/>
    <mergeCell ref="BA64"/>
    <mergeCell ref="BA276"/>
    <mergeCell ref="BA63"/>
    <mergeCell ref="BA257"/>
    <mergeCell ref="BA44"/>
    <mergeCell ref="BA256"/>
    <mergeCell ref="BA43"/>
    <mergeCell ref="BA255"/>
    <mergeCell ref="BA42"/>
    <mergeCell ref="BA260"/>
    <mergeCell ref="BA47"/>
    <mergeCell ref="BA259"/>
    <mergeCell ref="BA46"/>
    <mergeCell ref="BA258"/>
    <mergeCell ref="BA45"/>
    <mergeCell ref="BA263"/>
    <mergeCell ref="BA50"/>
    <mergeCell ref="BA262"/>
    <mergeCell ref="BA49"/>
    <mergeCell ref="BA261"/>
    <mergeCell ref="BA48"/>
    <mergeCell ref="BA266"/>
    <mergeCell ref="BA53"/>
    <mergeCell ref="BA265"/>
    <mergeCell ref="BA52"/>
    <mergeCell ref="BA264"/>
    <mergeCell ref="BA51"/>
    <mergeCell ref="BA241"/>
    <mergeCell ref="BA28"/>
    <mergeCell ref="BA240"/>
    <mergeCell ref="BA27"/>
    <mergeCell ref="BA245"/>
    <mergeCell ref="BA32"/>
    <mergeCell ref="BA244"/>
    <mergeCell ref="BA31"/>
    <mergeCell ref="BA243"/>
    <mergeCell ref="BA30"/>
    <mergeCell ref="BA248"/>
    <mergeCell ref="BA35"/>
    <mergeCell ref="BA247"/>
    <mergeCell ref="BA34"/>
    <mergeCell ref="BA246"/>
    <mergeCell ref="BA33"/>
    <mergeCell ref="BA251"/>
    <mergeCell ref="BA38"/>
    <mergeCell ref="BA250"/>
    <mergeCell ref="BA37"/>
    <mergeCell ref="BA249"/>
    <mergeCell ref="BA36"/>
    <mergeCell ref="BA254"/>
    <mergeCell ref="BA41"/>
    <mergeCell ref="BA253"/>
    <mergeCell ref="BA40"/>
    <mergeCell ref="BA252"/>
    <mergeCell ref="BA39"/>
    <mergeCell ref="BA216"/>
    <mergeCell ref="BA112"/>
    <mergeCell ref="BA68"/>
    <mergeCell ref="BA3"/>
    <mergeCell ref="BA221"/>
    <mergeCell ref="BA8"/>
    <mergeCell ref="BA220"/>
    <mergeCell ref="BA7"/>
    <mergeCell ref="BA219"/>
    <mergeCell ref="BA6"/>
    <mergeCell ref="BA224"/>
    <mergeCell ref="BA11"/>
    <mergeCell ref="BA223"/>
    <mergeCell ref="BA10"/>
    <mergeCell ref="BA222"/>
    <mergeCell ref="BA9"/>
    <mergeCell ref="BA227"/>
    <mergeCell ref="BA14"/>
    <mergeCell ref="BA226"/>
    <mergeCell ref="BA13"/>
    <mergeCell ref="BA225"/>
    <mergeCell ref="BA12"/>
    <mergeCell ref="BA230"/>
    <mergeCell ref="BA17"/>
    <mergeCell ref="BA229"/>
    <mergeCell ref="BA16"/>
    <mergeCell ref="BA228"/>
    <mergeCell ref="BA15"/>
    <mergeCell ref="BA356"/>
    <mergeCell ref="BA143"/>
    <mergeCell ref="BA355"/>
    <mergeCell ref="BA142"/>
    <mergeCell ref="BA354"/>
    <mergeCell ref="BA141"/>
    <mergeCell ref="BA359"/>
    <mergeCell ref="BA146"/>
    <mergeCell ref="BA358"/>
    <mergeCell ref="BA145"/>
    <mergeCell ref="BA357"/>
    <mergeCell ref="BA144"/>
    <mergeCell ref="BA149"/>
    <mergeCell ref="BA148"/>
    <mergeCell ref="BA337"/>
    <mergeCell ref="BA124"/>
    <mergeCell ref="BA336"/>
    <mergeCell ref="BA123"/>
    <mergeCell ref="BA341"/>
    <mergeCell ref="BA128"/>
    <mergeCell ref="BA340"/>
    <mergeCell ref="BA127"/>
    <mergeCell ref="BA339"/>
    <mergeCell ref="BA126"/>
    <mergeCell ref="BA320"/>
    <mergeCell ref="BA107"/>
    <mergeCell ref="BA319"/>
    <mergeCell ref="BA106"/>
    <mergeCell ref="BA318"/>
    <mergeCell ref="BA105"/>
    <mergeCell ref="BA323"/>
    <mergeCell ref="BA110"/>
    <mergeCell ref="BA322"/>
    <mergeCell ref="BA109"/>
    <mergeCell ref="BA321"/>
    <mergeCell ref="BA108"/>
    <mergeCell ref="BA326"/>
    <mergeCell ref="BA113"/>
    <mergeCell ref="BA325"/>
    <mergeCell ref="BA360"/>
    <mergeCell ref="BA147"/>
    <mergeCell ref="BA218"/>
    <mergeCell ref="BA5"/>
    <mergeCell ref="BA217"/>
    <mergeCell ref="BA4"/>
    <mergeCell ref="BA233"/>
    <mergeCell ref="BA20"/>
    <mergeCell ref="BA232"/>
    <mergeCell ref="BA19"/>
    <mergeCell ref="BA231"/>
    <mergeCell ref="BA18"/>
    <mergeCell ref="BA236"/>
    <mergeCell ref="BA23"/>
    <mergeCell ref="BA235"/>
    <mergeCell ref="BA22"/>
    <mergeCell ref="BA234"/>
    <mergeCell ref="BA21"/>
    <mergeCell ref="BA239"/>
    <mergeCell ref="BA26"/>
    <mergeCell ref="BA238"/>
    <mergeCell ref="BA25"/>
    <mergeCell ref="BA237"/>
    <mergeCell ref="BA24"/>
    <mergeCell ref="BA242"/>
    <mergeCell ref="BA29"/>
    <mergeCell ref="BA344"/>
    <mergeCell ref="BA131"/>
    <mergeCell ref="BA343"/>
    <mergeCell ref="BA130"/>
    <mergeCell ref="BA342"/>
    <mergeCell ref="BA129"/>
    <mergeCell ref="BA347"/>
    <mergeCell ref="BA134"/>
    <mergeCell ref="BA346"/>
    <mergeCell ref="BA133"/>
    <mergeCell ref="BA345"/>
    <mergeCell ref="BA132"/>
    <mergeCell ref="BA350"/>
    <mergeCell ref="BA137"/>
    <mergeCell ref="BA349"/>
    <mergeCell ref="BA136"/>
    <mergeCell ref="BA348"/>
    <mergeCell ref="BA135"/>
    <mergeCell ref="BA353"/>
    <mergeCell ref="BA140"/>
    <mergeCell ref="BA352"/>
    <mergeCell ref="BA139"/>
    <mergeCell ref="BA351"/>
    <mergeCell ref="BA138"/>
    <mergeCell ref="BA332"/>
    <mergeCell ref="BA119"/>
    <mergeCell ref="BA331"/>
    <mergeCell ref="BA118"/>
    <mergeCell ref="BA330"/>
    <mergeCell ref="BA117"/>
    <mergeCell ref="BA335"/>
    <mergeCell ref="BA122"/>
    <mergeCell ref="BA334"/>
    <mergeCell ref="BA121"/>
    <mergeCell ref="BA333"/>
    <mergeCell ref="BA120"/>
    <mergeCell ref="BA338"/>
    <mergeCell ref="BA125"/>
    <mergeCell ref="BA406"/>
    <mergeCell ref="BA193"/>
    <mergeCell ref="BA405"/>
    <mergeCell ref="BA192"/>
    <mergeCell ref="BA404"/>
    <mergeCell ref="BA191"/>
    <mergeCell ref="BA409"/>
    <mergeCell ref="BA196"/>
    <mergeCell ref="BA408"/>
    <mergeCell ref="BA195"/>
    <mergeCell ref="BA407"/>
    <mergeCell ref="BA194"/>
    <mergeCell ref="BA412"/>
    <mergeCell ref="BA199"/>
    <mergeCell ref="BA411"/>
    <mergeCell ref="BA198"/>
    <mergeCell ref="BA324"/>
    <mergeCell ref="BA111"/>
    <mergeCell ref="BA329"/>
    <mergeCell ref="BA116"/>
    <mergeCell ref="BA328"/>
    <mergeCell ref="BA115"/>
    <mergeCell ref="BA327"/>
    <mergeCell ref="BA114"/>
    <mergeCell ref="BA304"/>
    <mergeCell ref="BA91"/>
    <mergeCell ref="BA303"/>
    <mergeCell ref="BA90"/>
    <mergeCell ref="BA308"/>
    <mergeCell ref="BA95"/>
    <mergeCell ref="BA307"/>
    <mergeCell ref="BA94"/>
    <mergeCell ref="BA306"/>
    <mergeCell ref="BA93"/>
    <mergeCell ref="BA311"/>
    <mergeCell ref="BA98"/>
    <mergeCell ref="BA310"/>
    <mergeCell ref="BA97"/>
    <mergeCell ref="BA309"/>
    <mergeCell ref="BA96"/>
    <mergeCell ref="BA314"/>
    <mergeCell ref="BA101"/>
    <mergeCell ref="BA313"/>
    <mergeCell ref="BA100"/>
    <mergeCell ref="BA312"/>
    <mergeCell ref="BA99"/>
    <mergeCell ref="BA317"/>
    <mergeCell ref="BA104"/>
    <mergeCell ref="BA316"/>
    <mergeCell ref="BA103"/>
    <mergeCell ref="BA315"/>
    <mergeCell ref="BA102"/>
    <mergeCell ref="BA154"/>
    <mergeCell ref="BA153"/>
    <mergeCell ref="BA152"/>
    <mergeCell ref="BA157"/>
    <mergeCell ref="BA156"/>
    <mergeCell ref="BA155"/>
    <mergeCell ref="BA160"/>
    <mergeCell ref="BA159"/>
    <mergeCell ref="BA158"/>
    <mergeCell ref="BA163"/>
    <mergeCell ref="BA162"/>
    <mergeCell ref="BA161"/>
    <mergeCell ref="BA387"/>
    <mergeCell ref="BA174"/>
    <mergeCell ref="BA386"/>
    <mergeCell ref="BA173"/>
    <mergeCell ref="BA367"/>
    <mergeCell ref="BA366"/>
    <mergeCell ref="BA365"/>
    <mergeCell ref="BA370"/>
    <mergeCell ref="BA369"/>
    <mergeCell ref="BA368"/>
    <mergeCell ref="BA373"/>
    <mergeCell ref="BA372"/>
    <mergeCell ref="BA371"/>
    <mergeCell ref="BA376"/>
    <mergeCell ref="BA375"/>
    <mergeCell ref="BA374"/>
    <mergeCell ref="BA415"/>
    <mergeCell ref="BA202"/>
    <mergeCell ref="BA414"/>
    <mergeCell ref="BA201"/>
    <mergeCell ref="BA413"/>
    <mergeCell ref="BA200"/>
    <mergeCell ref="BA418"/>
    <mergeCell ref="BA205"/>
    <mergeCell ref="BA417"/>
    <mergeCell ref="BA204"/>
    <mergeCell ref="BA416"/>
    <mergeCell ref="BA203"/>
    <mergeCell ref="BA296"/>
    <mergeCell ref="BA83"/>
    <mergeCell ref="BA425"/>
    <mergeCell ref="BA212"/>
    <mergeCell ref="BA424"/>
    <mergeCell ref="BA211"/>
    <mergeCell ref="BA423"/>
    <mergeCell ref="BA210"/>
    <mergeCell ref="BA422"/>
    <mergeCell ref="BA209"/>
    <mergeCell ref="BA421"/>
    <mergeCell ref="BA208"/>
    <mergeCell ref="BA420"/>
    <mergeCell ref="BA207"/>
    <mergeCell ref="BA419"/>
    <mergeCell ref="BA206"/>
    <mergeCell ref="BA299"/>
    <mergeCell ref="BA86"/>
    <mergeCell ref="BA298"/>
    <mergeCell ref="BA85"/>
    <mergeCell ref="BA297"/>
    <mergeCell ref="BA84"/>
    <mergeCell ref="BA302"/>
    <mergeCell ref="BA89"/>
    <mergeCell ref="BA301"/>
    <mergeCell ref="BA88"/>
    <mergeCell ref="BA300"/>
    <mergeCell ref="BA87"/>
    <mergeCell ref="BA305"/>
    <mergeCell ref="BA92"/>
    <mergeCell ref="BA403"/>
    <mergeCell ref="BA190"/>
    <mergeCell ref="BA402"/>
    <mergeCell ref="BA189"/>
    <mergeCell ref="BA401"/>
    <mergeCell ref="BA188"/>
    <mergeCell ref="BB62"/>
    <mergeCell ref="BB274"/>
    <mergeCell ref="BB61"/>
    <mergeCell ref="BB273"/>
    <mergeCell ref="BB60"/>
    <mergeCell ref="BB278"/>
    <mergeCell ref="BB65"/>
    <mergeCell ref="BB277"/>
    <mergeCell ref="BB64"/>
    <mergeCell ref="BB276"/>
    <mergeCell ref="BB63"/>
    <mergeCell ref="BB281"/>
    <mergeCell ref="BB68"/>
    <mergeCell ref="BB280"/>
    <mergeCell ref="BB67"/>
    <mergeCell ref="BB279"/>
    <mergeCell ref="BB66"/>
    <mergeCell ref="BB260"/>
    <mergeCell ref="BA410"/>
    <mergeCell ref="BA197"/>
    <mergeCell ref="BA391"/>
    <mergeCell ref="BA178"/>
    <mergeCell ref="BA390"/>
    <mergeCell ref="BA177"/>
    <mergeCell ref="BA389"/>
    <mergeCell ref="BA176"/>
    <mergeCell ref="BA394"/>
    <mergeCell ref="BA181"/>
    <mergeCell ref="BA393"/>
    <mergeCell ref="BA180"/>
    <mergeCell ref="BA392"/>
    <mergeCell ref="BA179"/>
    <mergeCell ref="BA397"/>
    <mergeCell ref="BA184"/>
    <mergeCell ref="BA396"/>
    <mergeCell ref="BA183"/>
    <mergeCell ref="BA395"/>
    <mergeCell ref="BA182"/>
    <mergeCell ref="BA400"/>
    <mergeCell ref="BA187"/>
    <mergeCell ref="BA399"/>
    <mergeCell ref="BA186"/>
    <mergeCell ref="BA398"/>
    <mergeCell ref="BA185"/>
    <mergeCell ref="BA379"/>
    <mergeCell ref="BA166"/>
    <mergeCell ref="BA378"/>
    <mergeCell ref="BA165"/>
    <mergeCell ref="BA377"/>
    <mergeCell ref="BA164"/>
    <mergeCell ref="BA382"/>
    <mergeCell ref="BA169"/>
    <mergeCell ref="BA381"/>
    <mergeCell ref="BA168"/>
    <mergeCell ref="BA380"/>
    <mergeCell ref="BA167"/>
    <mergeCell ref="BA385"/>
    <mergeCell ref="BA172"/>
    <mergeCell ref="BA384"/>
    <mergeCell ref="BA171"/>
    <mergeCell ref="BA383"/>
    <mergeCell ref="BA170"/>
    <mergeCell ref="BA388"/>
    <mergeCell ref="BA175"/>
    <mergeCell ref="BB47"/>
    <mergeCell ref="BB259"/>
    <mergeCell ref="BB46"/>
    <mergeCell ref="BB258"/>
    <mergeCell ref="BB45"/>
    <mergeCell ref="BB263"/>
    <mergeCell ref="BB50"/>
    <mergeCell ref="BB262"/>
    <mergeCell ref="BB49"/>
    <mergeCell ref="BB261"/>
    <mergeCell ref="BB48"/>
    <mergeCell ref="BB266"/>
    <mergeCell ref="BB53"/>
    <mergeCell ref="BB265"/>
    <mergeCell ref="BB52"/>
    <mergeCell ref="BB264"/>
    <mergeCell ref="BB51"/>
    <mergeCell ref="BB269"/>
    <mergeCell ref="BB56"/>
    <mergeCell ref="BB268"/>
    <mergeCell ref="BB55"/>
    <mergeCell ref="BB267"/>
    <mergeCell ref="BB54"/>
    <mergeCell ref="BB248"/>
    <mergeCell ref="BB35"/>
    <mergeCell ref="BB247"/>
    <mergeCell ref="BB34"/>
    <mergeCell ref="BB246"/>
    <mergeCell ref="BB33"/>
    <mergeCell ref="BB251"/>
    <mergeCell ref="BB38"/>
    <mergeCell ref="BB250"/>
    <mergeCell ref="BB37"/>
    <mergeCell ref="BB249"/>
    <mergeCell ref="BB36"/>
    <mergeCell ref="BB254"/>
    <mergeCell ref="BB41"/>
    <mergeCell ref="BB253"/>
    <mergeCell ref="BB40"/>
    <mergeCell ref="BB252"/>
    <mergeCell ref="BB39"/>
    <mergeCell ref="BB257"/>
    <mergeCell ref="BB44"/>
    <mergeCell ref="BB256"/>
    <mergeCell ref="BB43"/>
    <mergeCell ref="BB255"/>
    <mergeCell ref="BB42"/>
    <mergeCell ref="BB236"/>
    <mergeCell ref="BB118"/>
    <mergeCell ref="BB71"/>
    <mergeCell ref="BB70"/>
    <mergeCell ref="BB69"/>
    <mergeCell ref="BB74"/>
    <mergeCell ref="BB73"/>
    <mergeCell ref="BB72"/>
    <mergeCell ref="BB77"/>
    <mergeCell ref="BB76"/>
    <mergeCell ref="BB75"/>
    <mergeCell ref="BB80"/>
    <mergeCell ref="BB79"/>
    <mergeCell ref="BB78"/>
    <mergeCell ref="BB59"/>
    <mergeCell ref="BB58"/>
    <mergeCell ref="BB57"/>
    <mergeCell ref="BB23"/>
    <mergeCell ref="BB235"/>
    <mergeCell ref="BB22"/>
    <mergeCell ref="BB234"/>
    <mergeCell ref="BB21"/>
    <mergeCell ref="BB239"/>
    <mergeCell ref="BB26"/>
    <mergeCell ref="BB238"/>
    <mergeCell ref="BB25"/>
    <mergeCell ref="BB237"/>
    <mergeCell ref="BB24"/>
    <mergeCell ref="BB242"/>
    <mergeCell ref="BB29"/>
    <mergeCell ref="BB241"/>
    <mergeCell ref="BB28"/>
    <mergeCell ref="BB240"/>
    <mergeCell ref="BB27"/>
    <mergeCell ref="BB245"/>
    <mergeCell ref="BB32"/>
    <mergeCell ref="BB244"/>
    <mergeCell ref="BB31"/>
    <mergeCell ref="BB243"/>
    <mergeCell ref="BB30"/>
    <mergeCell ref="BB362"/>
    <mergeCell ref="BB149"/>
    <mergeCell ref="BB361"/>
    <mergeCell ref="BB148"/>
    <mergeCell ref="BB360"/>
    <mergeCell ref="BB147"/>
    <mergeCell ref="BB218"/>
    <mergeCell ref="BB5"/>
    <mergeCell ref="BB217"/>
    <mergeCell ref="BB4"/>
    <mergeCell ref="BB216"/>
    <mergeCell ref="BB353"/>
    <mergeCell ref="BB352"/>
    <mergeCell ref="BB351"/>
    <mergeCell ref="BB356"/>
    <mergeCell ref="BB355"/>
    <mergeCell ref="BB354"/>
    <mergeCell ref="BB359"/>
    <mergeCell ref="BB358"/>
    <mergeCell ref="BB357"/>
    <mergeCell ref="BB347"/>
    <mergeCell ref="BB134"/>
    <mergeCell ref="BB346"/>
    <mergeCell ref="BB133"/>
    <mergeCell ref="BB345"/>
    <mergeCell ref="BB132"/>
    <mergeCell ref="BB326"/>
    <mergeCell ref="BB113"/>
    <mergeCell ref="BB325"/>
    <mergeCell ref="BB112"/>
    <mergeCell ref="BB324"/>
    <mergeCell ref="BB111"/>
    <mergeCell ref="BB329"/>
    <mergeCell ref="BB116"/>
    <mergeCell ref="BB328"/>
    <mergeCell ref="BB115"/>
    <mergeCell ref="BB327"/>
    <mergeCell ref="BB114"/>
    <mergeCell ref="BB332"/>
    <mergeCell ref="BB119"/>
    <mergeCell ref="BB331"/>
    <mergeCell ref="BB3"/>
    <mergeCell ref="BB221"/>
    <mergeCell ref="BB8"/>
    <mergeCell ref="BB220"/>
    <mergeCell ref="BB7"/>
    <mergeCell ref="BB219"/>
    <mergeCell ref="BB6"/>
    <mergeCell ref="BB224"/>
    <mergeCell ref="BB11"/>
    <mergeCell ref="BB223"/>
    <mergeCell ref="BB10"/>
    <mergeCell ref="BB222"/>
    <mergeCell ref="BB9"/>
    <mergeCell ref="BB227"/>
    <mergeCell ref="BB14"/>
    <mergeCell ref="BB226"/>
    <mergeCell ref="BB13"/>
    <mergeCell ref="BB225"/>
    <mergeCell ref="BB12"/>
    <mergeCell ref="BB230"/>
    <mergeCell ref="BB17"/>
    <mergeCell ref="BB229"/>
    <mergeCell ref="BB16"/>
    <mergeCell ref="BB228"/>
    <mergeCell ref="BB15"/>
    <mergeCell ref="BB233"/>
    <mergeCell ref="BB20"/>
    <mergeCell ref="BB232"/>
    <mergeCell ref="BB19"/>
    <mergeCell ref="BB231"/>
    <mergeCell ref="BB18"/>
    <mergeCell ref="BB350"/>
    <mergeCell ref="BB137"/>
    <mergeCell ref="BB349"/>
    <mergeCell ref="BB136"/>
    <mergeCell ref="BB348"/>
    <mergeCell ref="BB135"/>
    <mergeCell ref="BB140"/>
    <mergeCell ref="BB139"/>
    <mergeCell ref="BB138"/>
    <mergeCell ref="BB143"/>
    <mergeCell ref="BB142"/>
    <mergeCell ref="BB141"/>
    <mergeCell ref="BB146"/>
    <mergeCell ref="BB145"/>
    <mergeCell ref="BB144"/>
    <mergeCell ref="BB338"/>
    <mergeCell ref="BB125"/>
    <mergeCell ref="BB337"/>
    <mergeCell ref="BB124"/>
    <mergeCell ref="BB336"/>
    <mergeCell ref="BB123"/>
    <mergeCell ref="BB341"/>
    <mergeCell ref="BB128"/>
    <mergeCell ref="BB340"/>
    <mergeCell ref="BB127"/>
    <mergeCell ref="BB339"/>
    <mergeCell ref="BB126"/>
    <mergeCell ref="BB344"/>
    <mergeCell ref="BB131"/>
    <mergeCell ref="BB343"/>
    <mergeCell ref="BB130"/>
    <mergeCell ref="BB342"/>
    <mergeCell ref="BB129"/>
    <mergeCell ref="BB117"/>
    <mergeCell ref="BB335"/>
    <mergeCell ref="BB122"/>
    <mergeCell ref="BB334"/>
    <mergeCell ref="BB121"/>
    <mergeCell ref="BB333"/>
    <mergeCell ref="BB120"/>
    <mergeCell ref="BB310"/>
    <mergeCell ref="BB97"/>
    <mergeCell ref="BB309"/>
    <mergeCell ref="BB96"/>
    <mergeCell ref="BB314"/>
    <mergeCell ref="BB101"/>
    <mergeCell ref="BB313"/>
    <mergeCell ref="BB100"/>
    <mergeCell ref="BB312"/>
    <mergeCell ref="BB99"/>
    <mergeCell ref="BB317"/>
    <mergeCell ref="BB104"/>
    <mergeCell ref="BB316"/>
    <mergeCell ref="BB103"/>
    <mergeCell ref="BB315"/>
    <mergeCell ref="BB102"/>
    <mergeCell ref="BB320"/>
    <mergeCell ref="BB107"/>
    <mergeCell ref="BB319"/>
    <mergeCell ref="BB106"/>
    <mergeCell ref="BB318"/>
    <mergeCell ref="BB105"/>
    <mergeCell ref="BB323"/>
    <mergeCell ref="BB110"/>
    <mergeCell ref="BB322"/>
    <mergeCell ref="BB109"/>
    <mergeCell ref="BB321"/>
    <mergeCell ref="BB108"/>
    <mergeCell ref="BB284"/>
    <mergeCell ref="BB283"/>
    <mergeCell ref="BB282"/>
    <mergeCell ref="BB287"/>
    <mergeCell ref="BB286"/>
    <mergeCell ref="BB285"/>
    <mergeCell ref="BB290"/>
    <mergeCell ref="BB289"/>
    <mergeCell ref="BB288"/>
    <mergeCell ref="BB293"/>
    <mergeCell ref="BB292"/>
    <mergeCell ref="BB291"/>
    <mergeCell ref="BB272"/>
    <mergeCell ref="BB271"/>
    <mergeCell ref="BB270"/>
    <mergeCell ref="BB275"/>
    <mergeCell ref="BB412"/>
    <mergeCell ref="BB199"/>
    <mergeCell ref="BB411"/>
    <mergeCell ref="BB198"/>
    <mergeCell ref="BB410"/>
    <mergeCell ref="BB197"/>
    <mergeCell ref="BB415"/>
    <mergeCell ref="BB202"/>
    <mergeCell ref="BB414"/>
    <mergeCell ref="BB201"/>
    <mergeCell ref="BB413"/>
    <mergeCell ref="BB200"/>
    <mergeCell ref="BB418"/>
    <mergeCell ref="BB205"/>
    <mergeCell ref="BB417"/>
    <mergeCell ref="BB204"/>
    <mergeCell ref="BB416"/>
    <mergeCell ref="BB203"/>
    <mergeCell ref="BB296"/>
    <mergeCell ref="BB83"/>
    <mergeCell ref="BB425"/>
    <mergeCell ref="BB212"/>
    <mergeCell ref="BB424"/>
    <mergeCell ref="BB211"/>
    <mergeCell ref="BB423"/>
    <mergeCell ref="BB210"/>
    <mergeCell ref="BB422"/>
    <mergeCell ref="BB209"/>
    <mergeCell ref="BB421"/>
    <mergeCell ref="BB208"/>
    <mergeCell ref="BB420"/>
    <mergeCell ref="BB207"/>
    <mergeCell ref="BB419"/>
    <mergeCell ref="BB206"/>
    <mergeCell ref="BB299"/>
    <mergeCell ref="BB86"/>
    <mergeCell ref="BB298"/>
    <mergeCell ref="BB85"/>
    <mergeCell ref="BB297"/>
    <mergeCell ref="BB84"/>
    <mergeCell ref="BB302"/>
    <mergeCell ref="BB89"/>
    <mergeCell ref="BB400"/>
    <mergeCell ref="BB187"/>
    <mergeCell ref="BB399"/>
    <mergeCell ref="BB186"/>
    <mergeCell ref="BB398"/>
    <mergeCell ref="BB185"/>
    <mergeCell ref="BB403"/>
    <mergeCell ref="BB190"/>
    <mergeCell ref="BB402"/>
    <mergeCell ref="BB189"/>
    <mergeCell ref="BB401"/>
    <mergeCell ref="BB188"/>
    <mergeCell ref="BB406"/>
    <mergeCell ref="BB193"/>
    <mergeCell ref="BB405"/>
    <mergeCell ref="BB192"/>
    <mergeCell ref="BB404"/>
    <mergeCell ref="BB191"/>
    <mergeCell ref="BB409"/>
    <mergeCell ref="BB196"/>
    <mergeCell ref="BB408"/>
    <mergeCell ref="BB195"/>
    <mergeCell ref="BB407"/>
    <mergeCell ref="BB194"/>
    <mergeCell ref="BB388"/>
    <mergeCell ref="BB175"/>
    <mergeCell ref="BB387"/>
    <mergeCell ref="BB174"/>
    <mergeCell ref="BB386"/>
    <mergeCell ref="BB173"/>
    <mergeCell ref="BB391"/>
    <mergeCell ref="BB178"/>
    <mergeCell ref="BB390"/>
    <mergeCell ref="BB177"/>
    <mergeCell ref="BB389"/>
    <mergeCell ref="BB176"/>
    <mergeCell ref="BB394"/>
    <mergeCell ref="BB181"/>
    <mergeCell ref="BB393"/>
    <mergeCell ref="BB180"/>
    <mergeCell ref="BB392"/>
    <mergeCell ref="BB179"/>
    <mergeCell ref="BB397"/>
    <mergeCell ref="BB184"/>
    <mergeCell ref="BB396"/>
    <mergeCell ref="BB183"/>
    <mergeCell ref="BB395"/>
    <mergeCell ref="BB182"/>
    <mergeCell ref="BB376"/>
    <mergeCell ref="BB163"/>
    <mergeCell ref="BB375"/>
    <mergeCell ref="BB162"/>
    <mergeCell ref="BB374"/>
    <mergeCell ref="BB161"/>
    <mergeCell ref="BB379"/>
    <mergeCell ref="BB166"/>
    <mergeCell ref="BB378"/>
    <mergeCell ref="BB165"/>
    <mergeCell ref="BB377"/>
    <mergeCell ref="BB164"/>
    <mergeCell ref="BB382"/>
    <mergeCell ref="BB169"/>
    <mergeCell ref="BB381"/>
    <mergeCell ref="BB168"/>
    <mergeCell ref="BB380"/>
    <mergeCell ref="BB167"/>
    <mergeCell ref="BB385"/>
    <mergeCell ref="BB172"/>
    <mergeCell ref="BB384"/>
    <mergeCell ref="BB171"/>
    <mergeCell ref="BB383"/>
    <mergeCell ref="BB170"/>
    <mergeCell ref="BB330"/>
    <mergeCell ref="BC72"/>
    <mergeCell ref="BC286"/>
    <mergeCell ref="BC73"/>
    <mergeCell ref="BC283"/>
    <mergeCell ref="BC70"/>
    <mergeCell ref="BC284"/>
    <mergeCell ref="BC71"/>
    <mergeCell ref="BC257"/>
    <mergeCell ref="BC293"/>
    <mergeCell ref="BC80"/>
    <mergeCell ref="BC291"/>
    <mergeCell ref="BC78"/>
    <mergeCell ref="BC292"/>
    <mergeCell ref="BC79"/>
    <mergeCell ref="BC289"/>
    <mergeCell ref="BC76"/>
    <mergeCell ref="BC290"/>
    <mergeCell ref="BC77"/>
    <mergeCell ref="BB367"/>
    <mergeCell ref="BB154"/>
    <mergeCell ref="BB366"/>
    <mergeCell ref="BB153"/>
    <mergeCell ref="BB365"/>
    <mergeCell ref="BB152"/>
    <mergeCell ref="BB370"/>
    <mergeCell ref="BB157"/>
    <mergeCell ref="BB369"/>
    <mergeCell ref="BB156"/>
    <mergeCell ref="BB368"/>
    <mergeCell ref="BB155"/>
    <mergeCell ref="BB373"/>
    <mergeCell ref="BB160"/>
    <mergeCell ref="BB372"/>
    <mergeCell ref="BB159"/>
    <mergeCell ref="BB371"/>
    <mergeCell ref="BB158"/>
    <mergeCell ref="BB301"/>
    <mergeCell ref="BB88"/>
    <mergeCell ref="BB300"/>
    <mergeCell ref="BB87"/>
    <mergeCell ref="BB305"/>
    <mergeCell ref="BB92"/>
    <mergeCell ref="BB304"/>
    <mergeCell ref="BB91"/>
    <mergeCell ref="BB303"/>
    <mergeCell ref="BB90"/>
    <mergeCell ref="BB308"/>
    <mergeCell ref="BB95"/>
    <mergeCell ref="BB307"/>
    <mergeCell ref="BB94"/>
    <mergeCell ref="BB306"/>
    <mergeCell ref="BB93"/>
    <mergeCell ref="BB311"/>
    <mergeCell ref="BB98"/>
    <mergeCell ref="BC275"/>
    <mergeCell ref="BC352"/>
    <mergeCell ref="BC349"/>
    <mergeCell ref="BC350"/>
    <mergeCell ref="BC347"/>
    <mergeCell ref="BC348"/>
    <mergeCell ref="BC339"/>
    <mergeCell ref="BC340"/>
    <mergeCell ref="BC337"/>
    <mergeCell ref="BC338"/>
    <mergeCell ref="BC44"/>
    <mergeCell ref="BC258"/>
    <mergeCell ref="BC45"/>
    <mergeCell ref="BC255"/>
    <mergeCell ref="BC42"/>
    <mergeCell ref="BC256"/>
    <mergeCell ref="BC43"/>
    <mergeCell ref="BC253"/>
    <mergeCell ref="BC40"/>
    <mergeCell ref="BC254"/>
    <mergeCell ref="BC41"/>
    <mergeCell ref="BC263"/>
    <mergeCell ref="BC50"/>
    <mergeCell ref="BC264"/>
    <mergeCell ref="BC51"/>
    <mergeCell ref="BC261"/>
    <mergeCell ref="BC48"/>
    <mergeCell ref="BC262"/>
    <mergeCell ref="BC49"/>
    <mergeCell ref="BC259"/>
    <mergeCell ref="BC46"/>
    <mergeCell ref="BC260"/>
    <mergeCell ref="BC47"/>
    <mergeCell ref="BC269"/>
    <mergeCell ref="BC56"/>
    <mergeCell ref="BC270"/>
    <mergeCell ref="BC57"/>
    <mergeCell ref="BC267"/>
    <mergeCell ref="BC54"/>
    <mergeCell ref="BC268"/>
    <mergeCell ref="BC55"/>
    <mergeCell ref="BC265"/>
    <mergeCell ref="BC52"/>
    <mergeCell ref="BC266"/>
    <mergeCell ref="BC53"/>
    <mergeCell ref="BC232"/>
    <mergeCell ref="BC163"/>
    <mergeCell ref="BC164"/>
    <mergeCell ref="BC173"/>
    <mergeCell ref="BC174"/>
    <mergeCell ref="BC171"/>
    <mergeCell ref="BC172"/>
    <mergeCell ref="BC169"/>
    <mergeCell ref="BC170"/>
    <mergeCell ref="BC179"/>
    <mergeCell ref="BC180"/>
    <mergeCell ref="BC177"/>
    <mergeCell ref="BC178"/>
    <mergeCell ref="BC175"/>
    <mergeCell ref="BC176"/>
    <mergeCell ref="BC62"/>
    <mergeCell ref="BC63"/>
    <mergeCell ref="BC60"/>
    <mergeCell ref="BC61"/>
    <mergeCell ref="BC58"/>
    <mergeCell ref="BC59"/>
    <mergeCell ref="BC68"/>
    <mergeCell ref="BC69"/>
    <mergeCell ref="BC66"/>
    <mergeCell ref="BC67"/>
    <mergeCell ref="BC64"/>
    <mergeCell ref="BC65"/>
    <mergeCell ref="BC74"/>
    <mergeCell ref="BC75"/>
    <mergeCell ref="BC19"/>
    <mergeCell ref="BC229"/>
    <mergeCell ref="BC16"/>
    <mergeCell ref="BC230"/>
    <mergeCell ref="BC17"/>
    <mergeCell ref="BC239"/>
    <mergeCell ref="BC26"/>
    <mergeCell ref="BC240"/>
    <mergeCell ref="BC27"/>
    <mergeCell ref="BC237"/>
    <mergeCell ref="BC24"/>
    <mergeCell ref="BC238"/>
    <mergeCell ref="BC25"/>
    <mergeCell ref="BC235"/>
    <mergeCell ref="BC22"/>
    <mergeCell ref="BC236"/>
    <mergeCell ref="BC23"/>
    <mergeCell ref="BC245"/>
    <mergeCell ref="BC32"/>
    <mergeCell ref="BC246"/>
    <mergeCell ref="BC33"/>
    <mergeCell ref="BC243"/>
    <mergeCell ref="BC30"/>
    <mergeCell ref="BC244"/>
    <mergeCell ref="BC31"/>
    <mergeCell ref="BC241"/>
    <mergeCell ref="BC28"/>
    <mergeCell ref="BC242"/>
    <mergeCell ref="BC29"/>
    <mergeCell ref="BC251"/>
    <mergeCell ref="BC38"/>
    <mergeCell ref="BC252"/>
    <mergeCell ref="BC39"/>
    <mergeCell ref="BC249"/>
    <mergeCell ref="BC36"/>
    <mergeCell ref="BC250"/>
    <mergeCell ref="BC37"/>
    <mergeCell ref="BC247"/>
    <mergeCell ref="BC34"/>
    <mergeCell ref="BC248"/>
    <mergeCell ref="BC35"/>
    <mergeCell ref="BC139"/>
    <mergeCell ref="BC136"/>
    <mergeCell ref="BC137"/>
    <mergeCell ref="BC134"/>
    <mergeCell ref="BC135"/>
    <mergeCell ref="BC216"/>
    <mergeCell ref="BC117"/>
    <mergeCell ref="BC126"/>
    <mergeCell ref="BC127"/>
    <mergeCell ref="BC124"/>
    <mergeCell ref="BC125"/>
    <mergeCell ref="BC122"/>
    <mergeCell ref="BC123"/>
    <mergeCell ref="BC132"/>
    <mergeCell ref="BC133"/>
    <mergeCell ref="BC130"/>
    <mergeCell ref="BC131"/>
    <mergeCell ref="BC128"/>
    <mergeCell ref="BC129"/>
    <mergeCell ref="BC167"/>
    <mergeCell ref="BC168"/>
    <mergeCell ref="BC165"/>
    <mergeCell ref="BC166"/>
    <mergeCell ref="BC3"/>
    <mergeCell ref="BC361"/>
    <mergeCell ref="BC148"/>
    <mergeCell ref="BC362"/>
    <mergeCell ref="BC149"/>
    <mergeCell ref="BC359"/>
    <mergeCell ref="BC146"/>
    <mergeCell ref="BC360"/>
    <mergeCell ref="BC147"/>
    <mergeCell ref="BC357"/>
    <mergeCell ref="BC144"/>
    <mergeCell ref="BC358"/>
    <mergeCell ref="BC145"/>
    <mergeCell ref="BC355"/>
    <mergeCell ref="BC142"/>
    <mergeCell ref="BC356"/>
    <mergeCell ref="BC143"/>
    <mergeCell ref="BC353"/>
    <mergeCell ref="BC140"/>
    <mergeCell ref="BC354"/>
    <mergeCell ref="BC141"/>
    <mergeCell ref="BC351"/>
    <mergeCell ref="BC138"/>
    <mergeCell ref="BC221"/>
    <mergeCell ref="BC8"/>
    <mergeCell ref="BC222"/>
    <mergeCell ref="BC9"/>
    <mergeCell ref="BC219"/>
    <mergeCell ref="BC6"/>
    <mergeCell ref="BC220"/>
    <mergeCell ref="BC7"/>
    <mergeCell ref="BC217"/>
    <mergeCell ref="BC4"/>
    <mergeCell ref="BC218"/>
    <mergeCell ref="BC5"/>
    <mergeCell ref="BC227"/>
    <mergeCell ref="BC14"/>
    <mergeCell ref="BC228"/>
    <mergeCell ref="BC15"/>
    <mergeCell ref="BC225"/>
    <mergeCell ref="BC12"/>
    <mergeCell ref="BC226"/>
    <mergeCell ref="BC13"/>
    <mergeCell ref="BC223"/>
    <mergeCell ref="BC10"/>
    <mergeCell ref="BC224"/>
    <mergeCell ref="BC11"/>
    <mergeCell ref="BC233"/>
    <mergeCell ref="BC20"/>
    <mergeCell ref="BC234"/>
    <mergeCell ref="BC21"/>
    <mergeCell ref="BC231"/>
    <mergeCell ref="BC18"/>
    <mergeCell ref="BC333"/>
    <mergeCell ref="BC120"/>
    <mergeCell ref="BC334"/>
    <mergeCell ref="BC121"/>
    <mergeCell ref="BC331"/>
    <mergeCell ref="BC118"/>
    <mergeCell ref="BC332"/>
    <mergeCell ref="BC119"/>
    <mergeCell ref="BC329"/>
    <mergeCell ref="BC116"/>
    <mergeCell ref="BC330"/>
    <mergeCell ref="BC417"/>
    <mergeCell ref="BC204"/>
    <mergeCell ref="BC414"/>
    <mergeCell ref="BC201"/>
    <mergeCell ref="BC415"/>
    <mergeCell ref="BC202"/>
    <mergeCell ref="BC412"/>
    <mergeCell ref="BC199"/>
    <mergeCell ref="BC413"/>
    <mergeCell ref="BC200"/>
    <mergeCell ref="BC297"/>
    <mergeCell ref="BC84"/>
    <mergeCell ref="BC298"/>
    <mergeCell ref="BC85"/>
    <mergeCell ref="BC296"/>
    <mergeCell ref="BC83"/>
    <mergeCell ref="BC424"/>
    <mergeCell ref="BC211"/>
    <mergeCell ref="BC425"/>
    <mergeCell ref="BC212"/>
    <mergeCell ref="BC422"/>
    <mergeCell ref="BC209"/>
    <mergeCell ref="BC423"/>
    <mergeCell ref="BC210"/>
    <mergeCell ref="BC420"/>
    <mergeCell ref="BC207"/>
    <mergeCell ref="BC421"/>
    <mergeCell ref="BC208"/>
    <mergeCell ref="BC418"/>
    <mergeCell ref="BC205"/>
    <mergeCell ref="BC419"/>
    <mergeCell ref="BC206"/>
    <mergeCell ref="BC416"/>
    <mergeCell ref="BC203"/>
    <mergeCell ref="BC303"/>
    <mergeCell ref="BC90"/>
    <mergeCell ref="BC304"/>
    <mergeCell ref="BC91"/>
    <mergeCell ref="BC301"/>
    <mergeCell ref="BC88"/>
    <mergeCell ref="BC302"/>
    <mergeCell ref="BC89"/>
    <mergeCell ref="BC299"/>
    <mergeCell ref="BC86"/>
    <mergeCell ref="BC300"/>
    <mergeCell ref="BC87"/>
    <mergeCell ref="BC309"/>
    <mergeCell ref="BC96"/>
    <mergeCell ref="BC310"/>
    <mergeCell ref="BC97"/>
    <mergeCell ref="BC307"/>
    <mergeCell ref="BC94"/>
    <mergeCell ref="BC308"/>
    <mergeCell ref="BC95"/>
    <mergeCell ref="BC305"/>
    <mergeCell ref="BC92"/>
    <mergeCell ref="BC306"/>
    <mergeCell ref="BC93"/>
    <mergeCell ref="BC315"/>
    <mergeCell ref="BC102"/>
    <mergeCell ref="BC316"/>
    <mergeCell ref="BC103"/>
    <mergeCell ref="BC313"/>
    <mergeCell ref="BC100"/>
    <mergeCell ref="BC398"/>
    <mergeCell ref="BC185"/>
    <mergeCell ref="BC399"/>
    <mergeCell ref="BC186"/>
    <mergeCell ref="BC396"/>
    <mergeCell ref="BC183"/>
    <mergeCell ref="BC397"/>
    <mergeCell ref="BC184"/>
    <mergeCell ref="BC394"/>
    <mergeCell ref="BC181"/>
    <mergeCell ref="BC395"/>
    <mergeCell ref="BC182"/>
    <mergeCell ref="BC404"/>
    <mergeCell ref="BC191"/>
    <mergeCell ref="BC405"/>
    <mergeCell ref="BC192"/>
    <mergeCell ref="BC402"/>
    <mergeCell ref="BC189"/>
    <mergeCell ref="BC403"/>
    <mergeCell ref="BC190"/>
    <mergeCell ref="BC400"/>
    <mergeCell ref="BC187"/>
    <mergeCell ref="BC401"/>
    <mergeCell ref="BC188"/>
    <mergeCell ref="BC410"/>
    <mergeCell ref="BC197"/>
    <mergeCell ref="BC411"/>
    <mergeCell ref="BC198"/>
    <mergeCell ref="BC408"/>
    <mergeCell ref="BC195"/>
    <mergeCell ref="BC409"/>
    <mergeCell ref="BC196"/>
    <mergeCell ref="BC406"/>
    <mergeCell ref="BC193"/>
    <mergeCell ref="BC407"/>
    <mergeCell ref="BC194"/>
    <mergeCell ref="BC380"/>
    <mergeCell ref="BC381"/>
    <mergeCell ref="BC378"/>
    <mergeCell ref="BC379"/>
    <mergeCell ref="BC376"/>
    <mergeCell ref="BC377"/>
    <mergeCell ref="BC386"/>
    <mergeCell ref="BC387"/>
    <mergeCell ref="BC384"/>
    <mergeCell ref="BC385"/>
    <mergeCell ref="BC382"/>
    <mergeCell ref="BC383"/>
    <mergeCell ref="BC392"/>
    <mergeCell ref="BC393"/>
    <mergeCell ref="BC390"/>
    <mergeCell ref="BC391"/>
    <mergeCell ref="BC388"/>
    <mergeCell ref="BC389"/>
    <mergeCell ref="BC276"/>
    <mergeCell ref="BC273"/>
    <mergeCell ref="BC274"/>
    <mergeCell ref="BC271"/>
    <mergeCell ref="BC272"/>
    <mergeCell ref="BC281"/>
    <mergeCell ref="BC282"/>
    <mergeCell ref="BC279"/>
    <mergeCell ref="BC280"/>
    <mergeCell ref="BC277"/>
    <mergeCell ref="BC368"/>
    <mergeCell ref="BC155"/>
    <mergeCell ref="BC369"/>
    <mergeCell ref="BC156"/>
    <mergeCell ref="BC366"/>
    <mergeCell ref="BC153"/>
    <mergeCell ref="BC367"/>
    <mergeCell ref="BC154"/>
    <mergeCell ref="BC365"/>
    <mergeCell ref="BC152"/>
    <mergeCell ref="BC374"/>
    <mergeCell ref="BC161"/>
    <mergeCell ref="BC375"/>
    <mergeCell ref="BC162"/>
    <mergeCell ref="BC372"/>
    <mergeCell ref="BC159"/>
    <mergeCell ref="BC373"/>
    <mergeCell ref="BC160"/>
    <mergeCell ref="BC370"/>
    <mergeCell ref="BC157"/>
    <mergeCell ref="BC371"/>
    <mergeCell ref="BC158"/>
    <mergeCell ref="BC314"/>
    <mergeCell ref="BC101"/>
    <mergeCell ref="BC311"/>
    <mergeCell ref="BC98"/>
    <mergeCell ref="BC312"/>
    <mergeCell ref="BC99"/>
    <mergeCell ref="BC321"/>
    <mergeCell ref="BC108"/>
    <mergeCell ref="BC322"/>
    <mergeCell ref="BC109"/>
    <mergeCell ref="BC319"/>
    <mergeCell ref="BC106"/>
    <mergeCell ref="BC320"/>
    <mergeCell ref="BC107"/>
    <mergeCell ref="BC317"/>
    <mergeCell ref="BC104"/>
    <mergeCell ref="BC318"/>
    <mergeCell ref="BC105"/>
    <mergeCell ref="BC327"/>
    <mergeCell ref="BC114"/>
    <mergeCell ref="BC328"/>
    <mergeCell ref="BC115"/>
    <mergeCell ref="BC325"/>
    <mergeCell ref="BC112"/>
    <mergeCell ref="BC326"/>
    <mergeCell ref="BC113"/>
    <mergeCell ref="BC323"/>
    <mergeCell ref="BC110"/>
    <mergeCell ref="BC324"/>
    <mergeCell ref="BC111"/>
    <mergeCell ref="BC278"/>
    <mergeCell ref="BC287"/>
    <mergeCell ref="BC288"/>
    <mergeCell ref="BC285"/>
    <mergeCell ref="BC335"/>
    <mergeCell ref="BC336"/>
    <mergeCell ref="BC345"/>
    <mergeCell ref="BC346"/>
    <mergeCell ref="BC343"/>
    <mergeCell ref="BC344"/>
    <mergeCell ref="BC341"/>
    <mergeCell ref="BC342"/>
    <mergeCell ref="BD66"/>
    <mergeCell ref="BD284"/>
    <mergeCell ref="BD71"/>
    <mergeCell ref="BD285"/>
    <mergeCell ref="BD72"/>
    <mergeCell ref="BD282"/>
    <mergeCell ref="BD69"/>
    <mergeCell ref="BD283"/>
    <mergeCell ref="BD70"/>
    <mergeCell ref="BD288"/>
    <mergeCell ref="BD75"/>
    <mergeCell ref="BD289"/>
    <mergeCell ref="BD76"/>
    <mergeCell ref="BD286"/>
    <mergeCell ref="BD73"/>
    <mergeCell ref="BD287"/>
    <mergeCell ref="BD74"/>
    <mergeCell ref="BD268"/>
    <mergeCell ref="BD55"/>
    <mergeCell ref="BD269"/>
    <mergeCell ref="BD56"/>
    <mergeCell ref="BD266"/>
    <mergeCell ref="BD53"/>
    <mergeCell ref="BD267"/>
    <mergeCell ref="BD54"/>
    <mergeCell ref="BD272"/>
    <mergeCell ref="BD59"/>
    <mergeCell ref="BD273"/>
    <mergeCell ref="BD60"/>
    <mergeCell ref="BD270"/>
    <mergeCell ref="BD57"/>
    <mergeCell ref="BD271"/>
    <mergeCell ref="BD58"/>
    <mergeCell ref="BD276"/>
    <mergeCell ref="BD63"/>
    <mergeCell ref="BD277"/>
    <mergeCell ref="BD64"/>
    <mergeCell ref="BD274"/>
    <mergeCell ref="BD61"/>
    <mergeCell ref="BD275"/>
    <mergeCell ref="BD62"/>
    <mergeCell ref="BD256"/>
    <mergeCell ref="BD79"/>
    <mergeCell ref="BD80"/>
    <mergeCell ref="BD77"/>
    <mergeCell ref="BD78"/>
    <mergeCell ref="BD280"/>
    <mergeCell ref="BD43"/>
    <mergeCell ref="BD257"/>
    <mergeCell ref="BD44"/>
    <mergeCell ref="BD254"/>
    <mergeCell ref="BD41"/>
    <mergeCell ref="BD255"/>
    <mergeCell ref="BD42"/>
    <mergeCell ref="BD260"/>
    <mergeCell ref="BD47"/>
    <mergeCell ref="BD261"/>
    <mergeCell ref="BD48"/>
    <mergeCell ref="BD258"/>
    <mergeCell ref="BD45"/>
    <mergeCell ref="BD259"/>
    <mergeCell ref="BD46"/>
    <mergeCell ref="BD264"/>
    <mergeCell ref="BD51"/>
    <mergeCell ref="BD265"/>
    <mergeCell ref="BD52"/>
    <mergeCell ref="BD262"/>
    <mergeCell ref="BD49"/>
    <mergeCell ref="BD263"/>
    <mergeCell ref="BD50"/>
    <mergeCell ref="BD245"/>
    <mergeCell ref="BD32"/>
    <mergeCell ref="BD242"/>
    <mergeCell ref="BD29"/>
    <mergeCell ref="BD243"/>
    <mergeCell ref="BD30"/>
    <mergeCell ref="BD248"/>
    <mergeCell ref="BD35"/>
    <mergeCell ref="BD249"/>
    <mergeCell ref="BD36"/>
    <mergeCell ref="BD246"/>
    <mergeCell ref="BD33"/>
    <mergeCell ref="BD247"/>
    <mergeCell ref="BD34"/>
    <mergeCell ref="BD252"/>
    <mergeCell ref="BD39"/>
    <mergeCell ref="BD253"/>
    <mergeCell ref="BD40"/>
    <mergeCell ref="BD250"/>
    <mergeCell ref="BD37"/>
    <mergeCell ref="BD251"/>
    <mergeCell ref="BD38"/>
    <mergeCell ref="BD233"/>
    <mergeCell ref="BD119"/>
    <mergeCell ref="BD120"/>
    <mergeCell ref="BD117"/>
    <mergeCell ref="BD162"/>
    <mergeCell ref="BD163"/>
    <mergeCell ref="BD160"/>
    <mergeCell ref="BD161"/>
    <mergeCell ref="BD166"/>
    <mergeCell ref="BD167"/>
    <mergeCell ref="BD164"/>
    <mergeCell ref="BD165"/>
    <mergeCell ref="BD170"/>
    <mergeCell ref="BD171"/>
    <mergeCell ref="BD168"/>
    <mergeCell ref="BD169"/>
    <mergeCell ref="BD67"/>
    <mergeCell ref="BD68"/>
    <mergeCell ref="BD65"/>
    <mergeCell ref="BD20"/>
    <mergeCell ref="BD230"/>
    <mergeCell ref="BD17"/>
    <mergeCell ref="BD231"/>
    <mergeCell ref="BD18"/>
    <mergeCell ref="BD236"/>
    <mergeCell ref="BD23"/>
    <mergeCell ref="BD237"/>
    <mergeCell ref="BD24"/>
    <mergeCell ref="BD234"/>
    <mergeCell ref="BD21"/>
    <mergeCell ref="BD235"/>
    <mergeCell ref="BD22"/>
    <mergeCell ref="BD240"/>
    <mergeCell ref="BD27"/>
    <mergeCell ref="BD241"/>
    <mergeCell ref="BD28"/>
    <mergeCell ref="BD238"/>
    <mergeCell ref="BD25"/>
    <mergeCell ref="BD239"/>
    <mergeCell ref="BD26"/>
    <mergeCell ref="BD244"/>
    <mergeCell ref="BD31"/>
    <mergeCell ref="BD216"/>
    <mergeCell ref="BD3"/>
    <mergeCell ref="BD217"/>
    <mergeCell ref="BD4"/>
    <mergeCell ref="BD362"/>
    <mergeCell ref="BD149"/>
    <mergeCell ref="BD360"/>
    <mergeCell ref="BD147"/>
    <mergeCell ref="BD361"/>
    <mergeCell ref="BD148"/>
    <mergeCell ref="BD358"/>
    <mergeCell ref="BD145"/>
    <mergeCell ref="BD359"/>
    <mergeCell ref="BD146"/>
    <mergeCell ref="BD356"/>
    <mergeCell ref="BD143"/>
    <mergeCell ref="BD220"/>
    <mergeCell ref="BD7"/>
    <mergeCell ref="BD221"/>
    <mergeCell ref="BD8"/>
    <mergeCell ref="BD218"/>
    <mergeCell ref="BD5"/>
    <mergeCell ref="BD219"/>
    <mergeCell ref="BD6"/>
    <mergeCell ref="BD224"/>
    <mergeCell ref="BD11"/>
    <mergeCell ref="BD225"/>
    <mergeCell ref="BD12"/>
    <mergeCell ref="BD222"/>
    <mergeCell ref="BD9"/>
    <mergeCell ref="BD223"/>
    <mergeCell ref="BD10"/>
    <mergeCell ref="BD228"/>
    <mergeCell ref="BD15"/>
    <mergeCell ref="BD229"/>
    <mergeCell ref="BD16"/>
    <mergeCell ref="BD226"/>
    <mergeCell ref="BD13"/>
    <mergeCell ref="BD227"/>
    <mergeCell ref="BD14"/>
    <mergeCell ref="BD232"/>
    <mergeCell ref="BD19"/>
    <mergeCell ref="BD348"/>
    <mergeCell ref="BD135"/>
    <mergeCell ref="BD349"/>
    <mergeCell ref="BD136"/>
    <mergeCell ref="BD346"/>
    <mergeCell ref="BD133"/>
    <mergeCell ref="BD347"/>
    <mergeCell ref="BD134"/>
    <mergeCell ref="BD352"/>
    <mergeCell ref="BD139"/>
    <mergeCell ref="BD353"/>
    <mergeCell ref="BD140"/>
    <mergeCell ref="BD350"/>
    <mergeCell ref="BD137"/>
    <mergeCell ref="BD351"/>
    <mergeCell ref="BD138"/>
    <mergeCell ref="BD357"/>
    <mergeCell ref="BD144"/>
    <mergeCell ref="BD354"/>
    <mergeCell ref="BD141"/>
    <mergeCell ref="BD355"/>
    <mergeCell ref="BD142"/>
    <mergeCell ref="BD336"/>
    <mergeCell ref="BD123"/>
    <mergeCell ref="BD337"/>
    <mergeCell ref="BD124"/>
    <mergeCell ref="BD334"/>
    <mergeCell ref="BD121"/>
    <mergeCell ref="BD335"/>
    <mergeCell ref="BD122"/>
    <mergeCell ref="BD340"/>
    <mergeCell ref="BD127"/>
    <mergeCell ref="BD341"/>
    <mergeCell ref="BD128"/>
    <mergeCell ref="BD338"/>
    <mergeCell ref="BD125"/>
    <mergeCell ref="BD339"/>
    <mergeCell ref="BD126"/>
    <mergeCell ref="BD344"/>
    <mergeCell ref="BD131"/>
    <mergeCell ref="BD345"/>
    <mergeCell ref="BD132"/>
    <mergeCell ref="BD342"/>
    <mergeCell ref="BD129"/>
    <mergeCell ref="BD343"/>
    <mergeCell ref="BD130"/>
    <mergeCell ref="BD106"/>
    <mergeCell ref="BD324"/>
    <mergeCell ref="BD111"/>
    <mergeCell ref="BD325"/>
    <mergeCell ref="BD112"/>
    <mergeCell ref="BD322"/>
    <mergeCell ref="BD109"/>
    <mergeCell ref="BD323"/>
    <mergeCell ref="BD110"/>
    <mergeCell ref="BD328"/>
    <mergeCell ref="BD115"/>
    <mergeCell ref="BD329"/>
    <mergeCell ref="BD116"/>
    <mergeCell ref="BD326"/>
    <mergeCell ref="BD113"/>
    <mergeCell ref="BD327"/>
    <mergeCell ref="BD114"/>
    <mergeCell ref="BD425"/>
    <mergeCell ref="BD212"/>
    <mergeCell ref="BD423"/>
    <mergeCell ref="BD210"/>
    <mergeCell ref="BD424"/>
    <mergeCell ref="BD211"/>
    <mergeCell ref="BD421"/>
    <mergeCell ref="BD208"/>
    <mergeCell ref="BD422"/>
    <mergeCell ref="BD209"/>
    <mergeCell ref="BD419"/>
    <mergeCell ref="BD206"/>
    <mergeCell ref="BD300"/>
    <mergeCell ref="BD87"/>
    <mergeCell ref="BD301"/>
    <mergeCell ref="BD88"/>
    <mergeCell ref="BD298"/>
    <mergeCell ref="BD85"/>
    <mergeCell ref="BD299"/>
    <mergeCell ref="BD86"/>
    <mergeCell ref="BD304"/>
    <mergeCell ref="BD91"/>
    <mergeCell ref="BD305"/>
    <mergeCell ref="BD92"/>
    <mergeCell ref="BD302"/>
    <mergeCell ref="BD89"/>
    <mergeCell ref="BD303"/>
    <mergeCell ref="BD90"/>
    <mergeCell ref="BD308"/>
    <mergeCell ref="BD95"/>
    <mergeCell ref="BD309"/>
    <mergeCell ref="BD96"/>
    <mergeCell ref="BD306"/>
    <mergeCell ref="BD93"/>
    <mergeCell ref="BD307"/>
    <mergeCell ref="BD94"/>
    <mergeCell ref="BD312"/>
    <mergeCell ref="BD99"/>
    <mergeCell ref="BD313"/>
    <mergeCell ref="BD100"/>
    <mergeCell ref="BD310"/>
    <mergeCell ref="BD97"/>
    <mergeCell ref="BD411"/>
    <mergeCell ref="BD198"/>
    <mergeCell ref="BD412"/>
    <mergeCell ref="BD199"/>
    <mergeCell ref="BD409"/>
    <mergeCell ref="BD196"/>
    <mergeCell ref="BD410"/>
    <mergeCell ref="BD197"/>
    <mergeCell ref="BD415"/>
    <mergeCell ref="BD202"/>
    <mergeCell ref="BD416"/>
    <mergeCell ref="BD203"/>
    <mergeCell ref="BD413"/>
    <mergeCell ref="BD200"/>
    <mergeCell ref="BD414"/>
    <mergeCell ref="BD201"/>
    <mergeCell ref="BD420"/>
    <mergeCell ref="BD207"/>
    <mergeCell ref="BD417"/>
    <mergeCell ref="BD204"/>
    <mergeCell ref="BD281"/>
    <mergeCell ref="BD278"/>
    <mergeCell ref="BD418"/>
    <mergeCell ref="BD205"/>
    <mergeCell ref="BD399"/>
    <mergeCell ref="BD186"/>
    <mergeCell ref="BD400"/>
    <mergeCell ref="BD187"/>
    <mergeCell ref="BD397"/>
    <mergeCell ref="BD184"/>
    <mergeCell ref="BD398"/>
    <mergeCell ref="BD185"/>
    <mergeCell ref="BD403"/>
    <mergeCell ref="BD190"/>
    <mergeCell ref="BD404"/>
    <mergeCell ref="BD191"/>
    <mergeCell ref="BD401"/>
    <mergeCell ref="BD188"/>
    <mergeCell ref="BD402"/>
    <mergeCell ref="BD189"/>
    <mergeCell ref="BD407"/>
    <mergeCell ref="BD194"/>
    <mergeCell ref="BD408"/>
    <mergeCell ref="BD195"/>
    <mergeCell ref="BD405"/>
    <mergeCell ref="BD192"/>
    <mergeCell ref="BD406"/>
    <mergeCell ref="BD193"/>
    <mergeCell ref="BD387"/>
    <mergeCell ref="BD174"/>
    <mergeCell ref="BD388"/>
    <mergeCell ref="BD175"/>
    <mergeCell ref="BD385"/>
    <mergeCell ref="BD172"/>
    <mergeCell ref="BD386"/>
    <mergeCell ref="BD173"/>
    <mergeCell ref="BD391"/>
    <mergeCell ref="BD178"/>
    <mergeCell ref="BD392"/>
    <mergeCell ref="BD179"/>
    <mergeCell ref="BD389"/>
    <mergeCell ref="BD176"/>
    <mergeCell ref="BD390"/>
    <mergeCell ref="BD177"/>
    <mergeCell ref="BD395"/>
    <mergeCell ref="BD182"/>
    <mergeCell ref="BD396"/>
    <mergeCell ref="BD183"/>
    <mergeCell ref="BD393"/>
    <mergeCell ref="BD180"/>
    <mergeCell ref="BD394"/>
    <mergeCell ref="BD181"/>
    <mergeCell ref="BD375"/>
    <mergeCell ref="BD376"/>
    <mergeCell ref="BD373"/>
    <mergeCell ref="BD374"/>
    <mergeCell ref="BD379"/>
    <mergeCell ref="BD380"/>
    <mergeCell ref="BD377"/>
    <mergeCell ref="BD378"/>
    <mergeCell ref="BD383"/>
    <mergeCell ref="BD384"/>
    <mergeCell ref="BD381"/>
    <mergeCell ref="BD382"/>
    <mergeCell ref="BD331"/>
    <mergeCell ref="BD279"/>
    <mergeCell ref="BD367"/>
    <mergeCell ref="BD154"/>
    <mergeCell ref="BD368"/>
    <mergeCell ref="BD155"/>
    <mergeCell ref="BD365"/>
    <mergeCell ref="BD152"/>
    <mergeCell ref="BD366"/>
    <mergeCell ref="BD153"/>
    <mergeCell ref="BD371"/>
    <mergeCell ref="BD158"/>
    <mergeCell ref="BD372"/>
    <mergeCell ref="BD159"/>
    <mergeCell ref="BD369"/>
    <mergeCell ref="BD156"/>
    <mergeCell ref="BD370"/>
    <mergeCell ref="BD157"/>
    <mergeCell ref="BD296"/>
    <mergeCell ref="BD83"/>
    <mergeCell ref="BD297"/>
    <mergeCell ref="BD84"/>
    <mergeCell ref="BD311"/>
    <mergeCell ref="BD98"/>
    <mergeCell ref="BD316"/>
    <mergeCell ref="BD103"/>
    <mergeCell ref="BD317"/>
    <mergeCell ref="BD104"/>
    <mergeCell ref="BD314"/>
    <mergeCell ref="BD101"/>
    <mergeCell ref="BD315"/>
    <mergeCell ref="BD102"/>
    <mergeCell ref="BD320"/>
    <mergeCell ref="BD107"/>
    <mergeCell ref="BD321"/>
    <mergeCell ref="BD108"/>
    <mergeCell ref="BD318"/>
    <mergeCell ref="BD105"/>
    <mergeCell ref="BD319"/>
    <mergeCell ref="BD118"/>
    <mergeCell ref="BD292"/>
    <mergeCell ref="BD293"/>
    <mergeCell ref="BD290"/>
    <mergeCell ref="BD291"/>
    <mergeCell ref="BD332"/>
    <mergeCell ref="BD333"/>
    <mergeCell ref="BD330"/>
    <mergeCell ref="BE68"/>
    <mergeCell ref="BE280"/>
    <mergeCell ref="BE67"/>
    <mergeCell ref="BE279"/>
    <mergeCell ref="BE66"/>
    <mergeCell ref="BE284"/>
    <mergeCell ref="BE71"/>
    <mergeCell ref="BE283"/>
    <mergeCell ref="BE70"/>
    <mergeCell ref="BE282"/>
    <mergeCell ref="BE69"/>
    <mergeCell ref="BE287"/>
    <mergeCell ref="BE74"/>
    <mergeCell ref="BE286"/>
    <mergeCell ref="BE73"/>
    <mergeCell ref="BE285"/>
    <mergeCell ref="BE72"/>
    <mergeCell ref="BE290"/>
    <mergeCell ref="BE77"/>
    <mergeCell ref="BE289"/>
    <mergeCell ref="BE76"/>
    <mergeCell ref="BE288"/>
    <mergeCell ref="BE75"/>
    <mergeCell ref="BE269"/>
    <mergeCell ref="BE56"/>
    <mergeCell ref="BE268"/>
    <mergeCell ref="BE55"/>
    <mergeCell ref="BE267"/>
    <mergeCell ref="BE54"/>
    <mergeCell ref="BE272"/>
    <mergeCell ref="BE59"/>
    <mergeCell ref="BE271"/>
    <mergeCell ref="BE58"/>
    <mergeCell ref="BE270"/>
    <mergeCell ref="BE57"/>
    <mergeCell ref="BE275"/>
    <mergeCell ref="BE62"/>
    <mergeCell ref="BE274"/>
    <mergeCell ref="BE61"/>
    <mergeCell ref="BE273"/>
    <mergeCell ref="BE60"/>
    <mergeCell ref="BE278"/>
    <mergeCell ref="BE65"/>
    <mergeCell ref="BE277"/>
    <mergeCell ref="BE64"/>
    <mergeCell ref="BE276"/>
    <mergeCell ref="BE63"/>
    <mergeCell ref="BE257"/>
    <mergeCell ref="BE105"/>
    <mergeCell ref="BE80"/>
    <mergeCell ref="BE79"/>
    <mergeCell ref="BE78"/>
    <mergeCell ref="BE281"/>
    <mergeCell ref="BE44"/>
    <mergeCell ref="BE256"/>
    <mergeCell ref="BE43"/>
    <mergeCell ref="BE255"/>
    <mergeCell ref="BE42"/>
    <mergeCell ref="BE260"/>
    <mergeCell ref="BE47"/>
    <mergeCell ref="BE259"/>
    <mergeCell ref="BE46"/>
    <mergeCell ref="BE258"/>
    <mergeCell ref="BE45"/>
    <mergeCell ref="BE263"/>
    <mergeCell ref="BE50"/>
    <mergeCell ref="BE262"/>
    <mergeCell ref="BE49"/>
    <mergeCell ref="BE261"/>
    <mergeCell ref="BE48"/>
    <mergeCell ref="BE266"/>
    <mergeCell ref="BE53"/>
    <mergeCell ref="BE265"/>
    <mergeCell ref="BE52"/>
    <mergeCell ref="BE264"/>
    <mergeCell ref="BE51"/>
    <mergeCell ref="BE245"/>
    <mergeCell ref="BE32"/>
    <mergeCell ref="BE244"/>
    <mergeCell ref="BE31"/>
    <mergeCell ref="BE243"/>
    <mergeCell ref="BE30"/>
    <mergeCell ref="BE248"/>
    <mergeCell ref="BE35"/>
    <mergeCell ref="BE247"/>
    <mergeCell ref="BE34"/>
    <mergeCell ref="BE246"/>
    <mergeCell ref="BE33"/>
    <mergeCell ref="BE251"/>
    <mergeCell ref="BE38"/>
    <mergeCell ref="BE250"/>
    <mergeCell ref="BE37"/>
    <mergeCell ref="BE249"/>
    <mergeCell ref="BE36"/>
    <mergeCell ref="BE254"/>
    <mergeCell ref="BE41"/>
    <mergeCell ref="BE253"/>
    <mergeCell ref="BE40"/>
    <mergeCell ref="BE252"/>
    <mergeCell ref="BE39"/>
    <mergeCell ref="BE233"/>
    <mergeCell ref="BE115"/>
    <mergeCell ref="BE114"/>
    <mergeCell ref="BE119"/>
    <mergeCell ref="BE118"/>
    <mergeCell ref="BE117"/>
    <mergeCell ref="BE98"/>
    <mergeCell ref="BE97"/>
    <mergeCell ref="BE96"/>
    <mergeCell ref="BE101"/>
    <mergeCell ref="BE100"/>
    <mergeCell ref="BE99"/>
    <mergeCell ref="BE104"/>
    <mergeCell ref="BE103"/>
    <mergeCell ref="BE102"/>
    <mergeCell ref="BE107"/>
    <mergeCell ref="BE106"/>
    <mergeCell ref="BE20"/>
    <mergeCell ref="BE232"/>
    <mergeCell ref="BE19"/>
    <mergeCell ref="BE231"/>
    <mergeCell ref="BE18"/>
    <mergeCell ref="BE236"/>
    <mergeCell ref="BE23"/>
    <mergeCell ref="BE235"/>
    <mergeCell ref="BE22"/>
    <mergeCell ref="BE234"/>
    <mergeCell ref="BE21"/>
    <mergeCell ref="BE239"/>
    <mergeCell ref="BE26"/>
    <mergeCell ref="BE238"/>
    <mergeCell ref="BE25"/>
    <mergeCell ref="BE237"/>
    <mergeCell ref="BE24"/>
    <mergeCell ref="BE242"/>
    <mergeCell ref="BE29"/>
    <mergeCell ref="BE241"/>
    <mergeCell ref="BE28"/>
    <mergeCell ref="BE240"/>
    <mergeCell ref="BE27"/>
    <mergeCell ref="BE359"/>
    <mergeCell ref="BE146"/>
    <mergeCell ref="BE358"/>
    <mergeCell ref="BE145"/>
    <mergeCell ref="BE357"/>
    <mergeCell ref="BE144"/>
    <mergeCell ref="BE362"/>
    <mergeCell ref="BE149"/>
    <mergeCell ref="BE361"/>
    <mergeCell ref="BE148"/>
    <mergeCell ref="BE360"/>
    <mergeCell ref="BE147"/>
    <mergeCell ref="BE218"/>
    <mergeCell ref="BE350"/>
    <mergeCell ref="BE349"/>
    <mergeCell ref="BE348"/>
    <mergeCell ref="BE353"/>
    <mergeCell ref="BE352"/>
    <mergeCell ref="BE351"/>
    <mergeCell ref="BE356"/>
    <mergeCell ref="BE355"/>
    <mergeCell ref="BE354"/>
    <mergeCell ref="BE343"/>
    <mergeCell ref="BE130"/>
    <mergeCell ref="BE342"/>
    <mergeCell ref="BE129"/>
    <mergeCell ref="BE323"/>
    <mergeCell ref="BE110"/>
    <mergeCell ref="BE322"/>
    <mergeCell ref="BE109"/>
    <mergeCell ref="BE321"/>
    <mergeCell ref="BE108"/>
    <mergeCell ref="BE326"/>
    <mergeCell ref="BE113"/>
    <mergeCell ref="BE325"/>
    <mergeCell ref="BE112"/>
    <mergeCell ref="BE324"/>
    <mergeCell ref="BE111"/>
    <mergeCell ref="BE329"/>
    <mergeCell ref="BE116"/>
    <mergeCell ref="BE328"/>
    <mergeCell ref="BE5"/>
    <mergeCell ref="BE217"/>
    <mergeCell ref="BE4"/>
    <mergeCell ref="BE216"/>
    <mergeCell ref="BE3"/>
    <mergeCell ref="BE221"/>
    <mergeCell ref="BE8"/>
    <mergeCell ref="BE220"/>
    <mergeCell ref="BE7"/>
    <mergeCell ref="BE219"/>
    <mergeCell ref="BE6"/>
    <mergeCell ref="BE224"/>
    <mergeCell ref="BE11"/>
    <mergeCell ref="BE223"/>
    <mergeCell ref="BE10"/>
    <mergeCell ref="BE222"/>
    <mergeCell ref="BE9"/>
    <mergeCell ref="BE227"/>
    <mergeCell ref="BE14"/>
    <mergeCell ref="BE226"/>
    <mergeCell ref="BE13"/>
    <mergeCell ref="BE225"/>
    <mergeCell ref="BE12"/>
    <mergeCell ref="BE230"/>
    <mergeCell ref="BE17"/>
    <mergeCell ref="BE229"/>
    <mergeCell ref="BE16"/>
    <mergeCell ref="BE228"/>
    <mergeCell ref="BE15"/>
    <mergeCell ref="BE347"/>
    <mergeCell ref="BE134"/>
    <mergeCell ref="BE346"/>
    <mergeCell ref="BE133"/>
    <mergeCell ref="BE345"/>
    <mergeCell ref="BE132"/>
    <mergeCell ref="BE137"/>
    <mergeCell ref="BE136"/>
    <mergeCell ref="BE135"/>
    <mergeCell ref="BE140"/>
    <mergeCell ref="BE139"/>
    <mergeCell ref="BE138"/>
    <mergeCell ref="BE143"/>
    <mergeCell ref="BE142"/>
    <mergeCell ref="BE141"/>
    <mergeCell ref="BE335"/>
    <mergeCell ref="BE122"/>
    <mergeCell ref="BE334"/>
    <mergeCell ref="BE121"/>
    <mergeCell ref="BE333"/>
    <mergeCell ref="BE120"/>
    <mergeCell ref="BE338"/>
    <mergeCell ref="BE125"/>
    <mergeCell ref="BE337"/>
    <mergeCell ref="BE124"/>
    <mergeCell ref="BE336"/>
    <mergeCell ref="BE123"/>
    <mergeCell ref="BE341"/>
    <mergeCell ref="BE128"/>
    <mergeCell ref="BE340"/>
    <mergeCell ref="BE127"/>
    <mergeCell ref="BE339"/>
    <mergeCell ref="BE126"/>
    <mergeCell ref="BE344"/>
    <mergeCell ref="BE131"/>
    <mergeCell ref="BE412"/>
    <mergeCell ref="BE199"/>
    <mergeCell ref="BE411"/>
    <mergeCell ref="BE198"/>
    <mergeCell ref="BE410"/>
    <mergeCell ref="BE197"/>
    <mergeCell ref="BE415"/>
    <mergeCell ref="BE202"/>
    <mergeCell ref="BE414"/>
    <mergeCell ref="BE201"/>
    <mergeCell ref="BE413"/>
    <mergeCell ref="BE200"/>
    <mergeCell ref="BE418"/>
    <mergeCell ref="BE205"/>
    <mergeCell ref="BE417"/>
    <mergeCell ref="BE204"/>
    <mergeCell ref="BE416"/>
    <mergeCell ref="BE203"/>
    <mergeCell ref="BE296"/>
    <mergeCell ref="BE83"/>
    <mergeCell ref="BE425"/>
    <mergeCell ref="BE212"/>
    <mergeCell ref="BE424"/>
    <mergeCell ref="BE211"/>
    <mergeCell ref="BE423"/>
    <mergeCell ref="BE210"/>
    <mergeCell ref="BE422"/>
    <mergeCell ref="BE209"/>
    <mergeCell ref="BE421"/>
    <mergeCell ref="BE208"/>
    <mergeCell ref="BE420"/>
    <mergeCell ref="BE207"/>
    <mergeCell ref="BE419"/>
    <mergeCell ref="BE206"/>
    <mergeCell ref="BE299"/>
    <mergeCell ref="BE86"/>
    <mergeCell ref="BE298"/>
    <mergeCell ref="BE85"/>
    <mergeCell ref="BE297"/>
    <mergeCell ref="BE84"/>
    <mergeCell ref="BE302"/>
    <mergeCell ref="BE89"/>
    <mergeCell ref="BE400"/>
    <mergeCell ref="BE187"/>
    <mergeCell ref="BE399"/>
    <mergeCell ref="BE186"/>
    <mergeCell ref="BE398"/>
    <mergeCell ref="BE185"/>
    <mergeCell ref="BE403"/>
    <mergeCell ref="BE190"/>
    <mergeCell ref="BE402"/>
    <mergeCell ref="BE189"/>
    <mergeCell ref="BE401"/>
    <mergeCell ref="BE188"/>
    <mergeCell ref="BE406"/>
    <mergeCell ref="BE193"/>
    <mergeCell ref="BE405"/>
    <mergeCell ref="BE192"/>
    <mergeCell ref="BE404"/>
    <mergeCell ref="BE191"/>
    <mergeCell ref="BE409"/>
    <mergeCell ref="BE196"/>
    <mergeCell ref="BE408"/>
    <mergeCell ref="BE195"/>
    <mergeCell ref="BF327"/>
    <mergeCell ref="BF332"/>
    <mergeCell ref="BF333"/>
    <mergeCell ref="BF330"/>
    <mergeCell ref="BF331"/>
    <mergeCell ref="BF371"/>
    <mergeCell ref="BF372"/>
    <mergeCell ref="BF369"/>
    <mergeCell ref="BF370"/>
    <mergeCell ref="BF296"/>
    <mergeCell ref="BF297"/>
    <mergeCell ref="BF311"/>
    <mergeCell ref="BF316"/>
    <mergeCell ref="BF317"/>
    <mergeCell ref="BF314"/>
    <mergeCell ref="BF315"/>
    <mergeCell ref="BF320"/>
    <mergeCell ref="BF321"/>
    <mergeCell ref="BF318"/>
    <mergeCell ref="BE407"/>
    <mergeCell ref="BE194"/>
    <mergeCell ref="BE388"/>
    <mergeCell ref="BE175"/>
    <mergeCell ref="BE387"/>
    <mergeCell ref="BE174"/>
    <mergeCell ref="BE386"/>
    <mergeCell ref="BE173"/>
    <mergeCell ref="BE391"/>
    <mergeCell ref="BE178"/>
    <mergeCell ref="BE390"/>
    <mergeCell ref="BE177"/>
    <mergeCell ref="BE389"/>
    <mergeCell ref="BE176"/>
    <mergeCell ref="BE394"/>
    <mergeCell ref="BE181"/>
    <mergeCell ref="BE393"/>
    <mergeCell ref="BE180"/>
    <mergeCell ref="BE392"/>
    <mergeCell ref="BE179"/>
    <mergeCell ref="BE397"/>
    <mergeCell ref="BE184"/>
    <mergeCell ref="BE396"/>
    <mergeCell ref="BE183"/>
    <mergeCell ref="BE395"/>
    <mergeCell ref="BE182"/>
    <mergeCell ref="BE376"/>
    <mergeCell ref="BE375"/>
    <mergeCell ref="BE374"/>
    <mergeCell ref="BE379"/>
    <mergeCell ref="BE378"/>
    <mergeCell ref="BE377"/>
    <mergeCell ref="BE382"/>
    <mergeCell ref="BE381"/>
    <mergeCell ref="BE380"/>
    <mergeCell ref="BE385"/>
    <mergeCell ref="BE384"/>
    <mergeCell ref="BE383"/>
    <mergeCell ref="BE293"/>
    <mergeCell ref="BE292"/>
    <mergeCell ref="BE291"/>
    <mergeCell ref="BE327"/>
    <mergeCell ref="BE332"/>
    <mergeCell ref="BE331"/>
    <mergeCell ref="BE330"/>
    <mergeCell ref="BE367"/>
    <mergeCell ref="BE154"/>
    <mergeCell ref="BE366"/>
    <mergeCell ref="BE153"/>
    <mergeCell ref="BE365"/>
    <mergeCell ref="BE152"/>
    <mergeCell ref="BE370"/>
    <mergeCell ref="BE157"/>
    <mergeCell ref="BE369"/>
    <mergeCell ref="BE156"/>
    <mergeCell ref="BE368"/>
    <mergeCell ref="BE155"/>
    <mergeCell ref="BE373"/>
    <mergeCell ref="BE160"/>
    <mergeCell ref="BE372"/>
    <mergeCell ref="BE159"/>
    <mergeCell ref="BE371"/>
    <mergeCell ref="BE158"/>
    <mergeCell ref="BE301"/>
    <mergeCell ref="BE88"/>
    <mergeCell ref="BE300"/>
    <mergeCell ref="BE87"/>
    <mergeCell ref="BE305"/>
    <mergeCell ref="BE92"/>
    <mergeCell ref="BE304"/>
    <mergeCell ref="BE91"/>
    <mergeCell ref="BE303"/>
    <mergeCell ref="BE90"/>
    <mergeCell ref="BE308"/>
    <mergeCell ref="BE95"/>
    <mergeCell ref="BE307"/>
    <mergeCell ref="BE94"/>
    <mergeCell ref="BE306"/>
    <mergeCell ref="BE93"/>
    <mergeCell ref="BE311"/>
    <mergeCell ref="BE163"/>
    <mergeCell ref="BE162"/>
    <mergeCell ref="BE161"/>
    <mergeCell ref="BE166"/>
    <mergeCell ref="BE165"/>
    <mergeCell ref="BE164"/>
    <mergeCell ref="BE169"/>
    <mergeCell ref="BE168"/>
    <mergeCell ref="BE167"/>
    <mergeCell ref="BE172"/>
    <mergeCell ref="BE171"/>
    <mergeCell ref="BE170"/>
    <mergeCell ref="BE310"/>
    <mergeCell ref="BE309"/>
    <mergeCell ref="BE314"/>
    <mergeCell ref="BE313"/>
    <mergeCell ref="BE312"/>
    <mergeCell ref="BE317"/>
    <mergeCell ref="BE316"/>
    <mergeCell ref="BE315"/>
    <mergeCell ref="BE320"/>
    <mergeCell ref="BE319"/>
    <mergeCell ref="BE318"/>
    <mergeCell ref="BF57"/>
    <mergeCell ref="BF271"/>
    <mergeCell ref="BF58"/>
    <mergeCell ref="BF276"/>
    <mergeCell ref="BF63"/>
    <mergeCell ref="BF277"/>
    <mergeCell ref="BF64"/>
    <mergeCell ref="BF274"/>
    <mergeCell ref="BF61"/>
    <mergeCell ref="BF275"/>
    <mergeCell ref="BF62"/>
    <mergeCell ref="BF256"/>
    <mergeCell ref="BF155"/>
    <mergeCell ref="BF152"/>
    <mergeCell ref="BF153"/>
    <mergeCell ref="BF158"/>
    <mergeCell ref="BF159"/>
    <mergeCell ref="BF156"/>
    <mergeCell ref="BF157"/>
    <mergeCell ref="BF83"/>
    <mergeCell ref="BF84"/>
    <mergeCell ref="BF98"/>
    <mergeCell ref="BF103"/>
    <mergeCell ref="BF104"/>
    <mergeCell ref="BF101"/>
    <mergeCell ref="BF102"/>
    <mergeCell ref="BF107"/>
    <mergeCell ref="BF108"/>
    <mergeCell ref="BF292"/>
    <mergeCell ref="BF79"/>
    <mergeCell ref="BF293"/>
    <mergeCell ref="BF80"/>
    <mergeCell ref="BF290"/>
    <mergeCell ref="BF77"/>
    <mergeCell ref="BF291"/>
    <mergeCell ref="BF78"/>
    <mergeCell ref="BF280"/>
    <mergeCell ref="BF43"/>
    <mergeCell ref="BF257"/>
    <mergeCell ref="BF44"/>
    <mergeCell ref="BF254"/>
    <mergeCell ref="BF41"/>
    <mergeCell ref="BF255"/>
    <mergeCell ref="BF42"/>
    <mergeCell ref="BF260"/>
    <mergeCell ref="BF47"/>
    <mergeCell ref="BF261"/>
    <mergeCell ref="BF48"/>
    <mergeCell ref="BF258"/>
    <mergeCell ref="BF45"/>
    <mergeCell ref="BF259"/>
    <mergeCell ref="BF46"/>
    <mergeCell ref="BF264"/>
    <mergeCell ref="BF51"/>
    <mergeCell ref="BF265"/>
    <mergeCell ref="BF52"/>
    <mergeCell ref="BF262"/>
    <mergeCell ref="BF49"/>
    <mergeCell ref="BF263"/>
    <mergeCell ref="BF50"/>
    <mergeCell ref="BF245"/>
    <mergeCell ref="BF32"/>
    <mergeCell ref="BF242"/>
    <mergeCell ref="BF29"/>
    <mergeCell ref="BF243"/>
    <mergeCell ref="BF30"/>
    <mergeCell ref="BF248"/>
    <mergeCell ref="BF35"/>
    <mergeCell ref="BF249"/>
    <mergeCell ref="BF36"/>
    <mergeCell ref="BF246"/>
    <mergeCell ref="BF33"/>
    <mergeCell ref="BF247"/>
    <mergeCell ref="BF34"/>
    <mergeCell ref="BF252"/>
    <mergeCell ref="BF39"/>
    <mergeCell ref="BF253"/>
    <mergeCell ref="BF40"/>
    <mergeCell ref="BF250"/>
    <mergeCell ref="BF37"/>
    <mergeCell ref="BF251"/>
    <mergeCell ref="BF38"/>
    <mergeCell ref="BF233"/>
    <mergeCell ref="BF114"/>
    <mergeCell ref="BF119"/>
    <mergeCell ref="BF120"/>
    <mergeCell ref="BF117"/>
    <mergeCell ref="BF118"/>
    <mergeCell ref="BF162"/>
    <mergeCell ref="BF163"/>
    <mergeCell ref="BF160"/>
    <mergeCell ref="BF161"/>
    <mergeCell ref="BF166"/>
    <mergeCell ref="BF167"/>
    <mergeCell ref="BF164"/>
    <mergeCell ref="BF165"/>
    <mergeCell ref="BF170"/>
    <mergeCell ref="BF171"/>
    <mergeCell ref="BF168"/>
    <mergeCell ref="BF169"/>
    <mergeCell ref="BF154"/>
    <mergeCell ref="BF20"/>
    <mergeCell ref="BF230"/>
    <mergeCell ref="BF17"/>
    <mergeCell ref="BF231"/>
    <mergeCell ref="BF18"/>
    <mergeCell ref="BF236"/>
    <mergeCell ref="BF23"/>
    <mergeCell ref="BF237"/>
    <mergeCell ref="BF24"/>
    <mergeCell ref="BF234"/>
    <mergeCell ref="BF21"/>
    <mergeCell ref="BF235"/>
    <mergeCell ref="BF22"/>
    <mergeCell ref="BF240"/>
    <mergeCell ref="BF27"/>
    <mergeCell ref="BF241"/>
    <mergeCell ref="BF28"/>
    <mergeCell ref="BF238"/>
    <mergeCell ref="BF25"/>
    <mergeCell ref="BF239"/>
    <mergeCell ref="BF26"/>
    <mergeCell ref="BF244"/>
    <mergeCell ref="BF31"/>
    <mergeCell ref="BF216"/>
    <mergeCell ref="BF3"/>
    <mergeCell ref="BF217"/>
    <mergeCell ref="BF4"/>
    <mergeCell ref="BF362"/>
    <mergeCell ref="BF149"/>
    <mergeCell ref="BF360"/>
    <mergeCell ref="BF147"/>
    <mergeCell ref="BF361"/>
    <mergeCell ref="BF148"/>
    <mergeCell ref="BF358"/>
    <mergeCell ref="BF145"/>
    <mergeCell ref="BF359"/>
    <mergeCell ref="BF146"/>
    <mergeCell ref="BF356"/>
    <mergeCell ref="BF143"/>
    <mergeCell ref="BF220"/>
    <mergeCell ref="BF7"/>
    <mergeCell ref="BF221"/>
    <mergeCell ref="BF8"/>
    <mergeCell ref="BF218"/>
    <mergeCell ref="BF5"/>
    <mergeCell ref="BF219"/>
    <mergeCell ref="BF6"/>
    <mergeCell ref="BF224"/>
    <mergeCell ref="BF11"/>
    <mergeCell ref="BF225"/>
    <mergeCell ref="BF12"/>
    <mergeCell ref="BF222"/>
    <mergeCell ref="BF9"/>
    <mergeCell ref="BF223"/>
    <mergeCell ref="BF10"/>
    <mergeCell ref="BF228"/>
    <mergeCell ref="BF15"/>
    <mergeCell ref="BF229"/>
    <mergeCell ref="BF16"/>
    <mergeCell ref="BF226"/>
    <mergeCell ref="BF13"/>
    <mergeCell ref="BF227"/>
    <mergeCell ref="BF14"/>
    <mergeCell ref="BF232"/>
    <mergeCell ref="BF19"/>
    <mergeCell ref="BF348"/>
    <mergeCell ref="BF135"/>
    <mergeCell ref="BF349"/>
    <mergeCell ref="BF136"/>
    <mergeCell ref="BF346"/>
    <mergeCell ref="BF133"/>
    <mergeCell ref="BF347"/>
    <mergeCell ref="BF134"/>
    <mergeCell ref="BF352"/>
    <mergeCell ref="BF139"/>
    <mergeCell ref="BF353"/>
    <mergeCell ref="BF140"/>
    <mergeCell ref="BF350"/>
    <mergeCell ref="BF137"/>
    <mergeCell ref="BF351"/>
    <mergeCell ref="BF138"/>
    <mergeCell ref="BF357"/>
    <mergeCell ref="BF144"/>
    <mergeCell ref="BF354"/>
    <mergeCell ref="BF141"/>
    <mergeCell ref="BF355"/>
    <mergeCell ref="BF142"/>
    <mergeCell ref="BF336"/>
    <mergeCell ref="BF123"/>
    <mergeCell ref="BF337"/>
    <mergeCell ref="BF124"/>
    <mergeCell ref="BF334"/>
    <mergeCell ref="BF121"/>
    <mergeCell ref="BF335"/>
    <mergeCell ref="BF122"/>
    <mergeCell ref="BF340"/>
    <mergeCell ref="BF127"/>
    <mergeCell ref="BF341"/>
    <mergeCell ref="BF128"/>
    <mergeCell ref="BF338"/>
    <mergeCell ref="BF125"/>
    <mergeCell ref="BF339"/>
    <mergeCell ref="BF126"/>
    <mergeCell ref="BF344"/>
    <mergeCell ref="BF131"/>
    <mergeCell ref="BF345"/>
    <mergeCell ref="BF132"/>
    <mergeCell ref="BF342"/>
    <mergeCell ref="BF129"/>
    <mergeCell ref="BF343"/>
    <mergeCell ref="BF130"/>
    <mergeCell ref="BF105"/>
    <mergeCell ref="BF319"/>
    <mergeCell ref="BF106"/>
    <mergeCell ref="BF324"/>
    <mergeCell ref="BF111"/>
    <mergeCell ref="BF325"/>
    <mergeCell ref="BF112"/>
    <mergeCell ref="BF322"/>
    <mergeCell ref="BF109"/>
    <mergeCell ref="BF323"/>
    <mergeCell ref="BF110"/>
    <mergeCell ref="BF328"/>
    <mergeCell ref="BF115"/>
    <mergeCell ref="BF329"/>
    <mergeCell ref="BF116"/>
    <mergeCell ref="BF326"/>
    <mergeCell ref="BF113"/>
    <mergeCell ref="BF425"/>
    <mergeCell ref="BF212"/>
    <mergeCell ref="BF423"/>
    <mergeCell ref="BF210"/>
    <mergeCell ref="BF424"/>
    <mergeCell ref="BF211"/>
    <mergeCell ref="BF421"/>
    <mergeCell ref="BF208"/>
    <mergeCell ref="BF422"/>
    <mergeCell ref="BF209"/>
    <mergeCell ref="BF419"/>
    <mergeCell ref="BF206"/>
    <mergeCell ref="BF300"/>
    <mergeCell ref="BF87"/>
    <mergeCell ref="BF301"/>
    <mergeCell ref="BF88"/>
    <mergeCell ref="BF298"/>
    <mergeCell ref="BF85"/>
    <mergeCell ref="BF299"/>
    <mergeCell ref="BF86"/>
    <mergeCell ref="BF304"/>
    <mergeCell ref="BF91"/>
    <mergeCell ref="BF305"/>
    <mergeCell ref="BF92"/>
    <mergeCell ref="BF302"/>
    <mergeCell ref="BF89"/>
    <mergeCell ref="BF303"/>
    <mergeCell ref="BF90"/>
    <mergeCell ref="BF308"/>
    <mergeCell ref="BF95"/>
    <mergeCell ref="BF309"/>
    <mergeCell ref="BF96"/>
    <mergeCell ref="BF306"/>
    <mergeCell ref="BF93"/>
    <mergeCell ref="BF307"/>
    <mergeCell ref="BF94"/>
    <mergeCell ref="BF312"/>
    <mergeCell ref="BF99"/>
    <mergeCell ref="BF313"/>
    <mergeCell ref="BF100"/>
    <mergeCell ref="BF310"/>
    <mergeCell ref="BF97"/>
    <mergeCell ref="BF411"/>
    <mergeCell ref="BF198"/>
    <mergeCell ref="BF412"/>
    <mergeCell ref="BF199"/>
    <mergeCell ref="BF409"/>
    <mergeCell ref="BF196"/>
    <mergeCell ref="BF410"/>
    <mergeCell ref="BF197"/>
    <mergeCell ref="BF415"/>
    <mergeCell ref="BF202"/>
    <mergeCell ref="BF416"/>
    <mergeCell ref="BF203"/>
    <mergeCell ref="BF413"/>
    <mergeCell ref="BF200"/>
    <mergeCell ref="BF414"/>
    <mergeCell ref="BF201"/>
    <mergeCell ref="BF420"/>
    <mergeCell ref="BF207"/>
    <mergeCell ref="BF417"/>
    <mergeCell ref="BF204"/>
    <mergeCell ref="BF418"/>
    <mergeCell ref="BF205"/>
    <mergeCell ref="BF403"/>
    <mergeCell ref="BF190"/>
    <mergeCell ref="BF404"/>
    <mergeCell ref="BF191"/>
    <mergeCell ref="BF401"/>
    <mergeCell ref="BF188"/>
    <mergeCell ref="BF402"/>
    <mergeCell ref="BF189"/>
    <mergeCell ref="BF407"/>
    <mergeCell ref="BF194"/>
    <mergeCell ref="BF408"/>
    <mergeCell ref="BF195"/>
    <mergeCell ref="BF405"/>
    <mergeCell ref="BF192"/>
    <mergeCell ref="BF406"/>
    <mergeCell ref="BF193"/>
    <mergeCell ref="BF387"/>
    <mergeCell ref="BF174"/>
    <mergeCell ref="BF388"/>
    <mergeCell ref="BF175"/>
    <mergeCell ref="BF385"/>
    <mergeCell ref="BF172"/>
    <mergeCell ref="BF386"/>
    <mergeCell ref="BF173"/>
    <mergeCell ref="BF391"/>
    <mergeCell ref="BF178"/>
    <mergeCell ref="BF392"/>
    <mergeCell ref="BF179"/>
    <mergeCell ref="BF389"/>
    <mergeCell ref="BF176"/>
    <mergeCell ref="BF390"/>
    <mergeCell ref="BF177"/>
    <mergeCell ref="BF395"/>
    <mergeCell ref="BF182"/>
    <mergeCell ref="BF396"/>
    <mergeCell ref="BF183"/>
    <mergeCell ref="BF393"/>
    <mergeCell ref="BF180"/>
    <mergeCell ref="BF394"/>
    <mergeCell ref="BF181"/>
    <mergeCell ref="BF375"/>
    <mergeCell ref="BF376"/>
    <mergeCell ref="BF373"/>
    <mergeCell ref="BF374"/>
    <mergeCell ref="BF379"/>
    <mergeCell ref="BF380"/>
    <mergeCell ref="BF377"/>
    <mergeCell ref="BF378"/>
    <mergeCell ref="BF383"/>
    <mergeCell ref="BF384"/>
    <mergeCell ref="BF381"/>
    <mergeCell ref="BF382"/>
    <mergeCell ref="BF367"/>
    <mergeCell ref="BF368"/>
    <mergeCell ref="BF365"/>
    <mergeCell ref="BF366"/>
    <mergeCell ref="BF281"/>
    <mergeCell ref="BF278"/>
    <mergeCell ref="BF279"/>
    <mergeCell ref="BF284"/>
    <mergeCell ref="BF285"/>
    <mergeCell ref="BF282"/>
    <mergeCell ref="BF283"/>
    <mergeCell ref="BF288"/>
    <mergeCell ref="BG73"/>
    <mergeCell ref="BG281"/>
    <mergeCell ref="BG68"/>
    <mergeCell ref="BG282"/>
    <mergeCell ref="BG69"/>
    <mergeCell ref="BG283"/>
    <mergeCell ref="BG70"/>
    <mergeCell ref="BG293"/>
    <mergeCell ref="BG80"/>
    <mergeCell ref="BG290"/>
    <mergeCell ref="BG77"/>
    <mergeCell ref="BG291"/>
    <mergeCell ref="BG78"/>
    <mergeCell ref="BG292"/>
    <mergeCell ref="BG79"/>
    <mergeCell ref="BG287"/>
    <mergeCell ref="BG74"/>
    <mergeCell ref="BG288"/>
    <mergeCell ref="BG75"/>
    <mergeCell ref="BG289"/>
    <mergeCell ref="BG76"/>
    <mergeCell ref="BG266"/>
    <mergeCell ref="BG53"/>
    <mergeCell ref="BG267"/>
    <mergeCell ref="BG54"/>
    <mergeCell ref="BG268"/>
    <mergeCell ref="BG55"/>
    <mergeCell ref="BG263"/>
    <mergeCell ref="BF399"/>
    <mergeCell ref="BF186"/>
    <mergeCell ref="BF400"/>
    <mergeCell ref="BF187"/>
    <mergeCell ref="BF397"/>
    <mergeCell ref="BF184"/>
    <mergeCell ref="BF398"/>
    <mergeCell ref="BF185"/>
    <mergeCell ref="BF67"/>
    <mergeCell ref="BF68"/>
    <mergeCell ref="BF65"/>
    <mergeCell ref="BF66"/>
    <mergeCell ref="BF71"/>
    <mergeCell ref="BF72"/>
    <mergeCell ref="BF69"/>
    <mergeCell ref="BF70"/>
    <mergeCell ref="BF75"/>
    <mergeCell ref="BF289"/>
    <mergeCell ref="BF76"/>
    <mergeCell ref="BF286"/>
    <mergeCell ref="BF73"/>
    <mergeCell ref="BF287"/>
    <mergeCell ref="BF74"/>
    <mergeCell ref="BF268"/>
    <mergeCell ref="BF55"/>
    <mergeCell ref="BF269"/>
    <mergeCell ref="BF56"/>
    <mergeCell ref="BF266"/>
    <mergeCell ref="BF53"/>
    <mergeCell ref="BF267"/>
    <mergeCell ref="BF54"/>
    <mergeCell ref="BF272"/>
    <mergeCell ref="BF59"/>
    <mergeCell ref="BF273"/>
    <mergeCell ref="BF60"/>
    <mergeCell ref="BF270"/>
    <mergeCell ref="BG5"/>
    <mergeCell ref="BG219"/>
    <mergeCell ref="BG6"/>
    <mergeCell ref="BG220"/>
    <mergeCell ref="BG7"/>
    <mergeCell ref="BG216"/>
    <mergeCell ref="BG3"/>
    <mergeCell ref="BG217"/>
    <mergeCell ref="BG4"/>
    <mergeCell ref="BG224"/>
    <mergeCell ref="BG11"/>
    <mergeCell ref="BG225"/>
    <mergeCell ref="BG12"/>
    <mergeCell ref="BG226"/>
    <mergeCell ref="BG13"/>
    <mergeCell ref="BG221"/>
    <mergeCell ref="BG8"/>
    <mergeCell ref="BG222"/>
    <mergeCell ref="BG9"/>
    <mergeCell ref="BG223"/>
    <mergeCell ref="BG10"/>
    <mergeCell ref="BG230"/>
    <mergeCell ref="BG17"/>
    <mergeCell ref="BG231"/>
    <mergeCell ref="BG18"/>
    <mergeCell ref="BG232"/>
    <mergeCell ref="BG19"/>
    <mergeCell ref="BG227"/>
    <mergeCell ref="BG14"/>
    <mergeCell ref="BG228"/>
    <mergeCell ref="BG15"/>
    <mergeCell ref="BG229"/>
    <mergeCell ref="BG16"/>
    <mergeCell ref="BG23"/>
    <mergeCell ref="BG24"/>
    <mergeCell ref="BG25"/>
    <mergeCell ref="BG20"/>
    <mergeCell ref="BG21"/>
    <mergeCell ref="BG22"/>
    <mergeCell ref="BG29"/>
    <mergeCell ref="BG30"/>
    <mergeCell ref="BG31"/>
    <mergeCell ref="BG50"/>
    <mergeCell ref="BG51"/>
    <mergeCell ref="BG52"/>
    <mergeCell ref="BG59"/>
    <mergeCell ref="BG60"/>
    <mergeCell ref="BG61"/>
    <mergeCell ref="BG56"/>
    <mergeCell ref="BG57"/>
    <mergeCell ref="BG58"/>
    <mergeCell ref="BG65"/>
    <mergeCell ref="BG66"/>
    <mergeCell ref="BG67"/>
    <mergeCell ref="BG62"/>
    <mergeCell ref="BG63"/>
    <mergeCell ref="BG64"/>
    <mergeCell ref="BG28"/>
    <mergeCell ref="BG35"/>
    <mergeCell ref="BG36"/>
    <mergeCell ref="BG37"/>
    <mergeCell ref="BG32"/>
    <mergeCell ref="BG33"/>
    <mergeCell ref="BG34"/>
    <mergeCell ref="BG349"/>
    <mergeCell ref="BG136"/>
    <mergeCell ref="BG350"/>
    <mergeCell ref="BG137"/>
    <mergeCell ref="BG351"/>
    <mergeCell ref="BG138"/>
    <mergeCell ref="BG346"/>
    <mergeCell ref="BG133"/>
    <mergeCell ref="BG347"/>
    <mergeCell ref="BG134"/>
    <mergeCell ref="BG348"/>
    <mergeCell ref="BG135"/>
    <mergeCell ref="BG355"/>
    <mergeCell ref="BG142"/>
    <mergeCell ref="BG356"/>
    <mergeCell ref="BG143"/>
    <mergeCell ref="BG357"/>
    <mergeCell ref="BG144"/>
    <mergeCell ref="BG352"/>
    <mergeCell ref="BG139"/>
    <mergeCell ref="BG353"/>
    <mergeCell ref="BG140"/>
    <mergeCell ref="BG354"/>
    <mergeCell ref="BG141"/>
    <mergeCell ref="BG45"/>
    <mergeCell ref="BG259"/>
    <mergeCell ref="BG46"/>
    <mergeCell ref="BG362"/>
    <mergeCell ref="BG149"/>
    <mergeCell ref="BG358"/>
    <mergeCell ref="BG145"/>
    <mergeCell ref="BG359"/>
    <mergeCell ref="BG146"/>
    <mergeCell ref="BG360"/>
    <mergeCell ref="BG147"/>
    <mergeCell ref="BG218"/>
    <mergeCell ref="BG236"/>
    <mergeCell ref="BG237"/>
    <mergeCell ref="BG238"/>
    <mergeCell ref="BG233"/>
    <mergeCell ref="BG234"/>
    <mergeCell ref="BG235"/>
    <mergeCell ref="BG242"/>
    <mergeCell ref="BG243"/>
    <mergeCell ref="BG244"/>
    <mergeCell ref="BG239"/>
    <mergeCell ref="BG264"/>
    <mergeCell ref="BG265"/>
    <mergeCell ref="BG272"/>
    <mergeCell ref="BG273"/>
    <mergeCell ref="BG274"/>
    <mergeCell ref="BG269"/>
    <mergeCell ref="BG270"/>
    <mergeCell ref="BG271"/>
    <mergeCell ref="BG278"/>
    <mergeCell ref="BG279"/>
    <mergeCell ref="BG280"/>
    <mergeCell ref="BG275"/>
    <mergeCell ref="BG276"/>
    <mergeCell ref="BG277"/>
    <mergeCell ref="BG241"/>
    <mergeCell ref="BG248"/>
    <mergeCell ref="BG249"/>
    <mergeCell ref="BG250"/>
    <mergeCell ref="BG343"/>
    <mergeCell ref="BG130"/>
    <mergeCell ref="BG344"/>
    <mergeCell ref="BG131"/>
    <mergeCell ref="BG163"/>
    <mergeCell ref="BG164"/>
    <mergeCell ref="BG165"/>
    <mergeCell ref="BG160"/>
    <mergeCell ref="BG161"/>
    <mergeCell ref="BG162"/>
    <mergeCell ref="BG169"/>
    <mergeCell ref="BG170"/>
    <mergeCell ref="BG171"/>
    <mergeCell ref="BG166"/>
    <mergeCell ref="BG167"/>
    <mergeCell ref="BG168"/>
    <mergeCell ref="BG175"/>
    <mergeCell ref="BG176"/>
    <mergeCell ref="BG177"/>
    <mergeCell ref="BG172"/>
    <mergeCell ref="BG173"/>
    <mergeCell ref="BG174"/>
    <mergeCell ref="BG152"/>
    <mergeCell ref="BG153"/>
    <mergeCell ref="BG26"/>
    <mergeCell ref="BG240"/>
    <mergeCell ref="BG27"/>
    <mergeCell ref="BG345"/>
    <mergeCell ref="BG132"/>
    <mergeCell ref="BG340"/>
    <mergeCell ref="BG127"/>
    <mergeCell ref="BG341"/>
    <mergeCell ref="BG128"/>
    <mergeCell ref="BG342"/>
    <mergeCell ref="BG129"/>
    <mergeCell ref="BG245"/>
    <mergeCell ref="BG246"/>
    <mergeCell ref="BG247"/>
    <mergeCell ref="BG254"/>
    <mergeCell ref="BG41"/>
    <mergeCell ref="BG255"/>
    <mergeCell ref="BG42"/>
    <mergeCell ref="BG256"/>
    <mergeCell ref="BG43"/>
    <mergeCell ref="BG251"/>
    <mergeCell ref="BG38"/>
    <mergeCell ref="BG252"/>
    <mergeCell ref="BG39"/>
    <mergeCell ref="BG253"/>
    <mergeCell ref="BG40"/>
    <mergeCell ref="BG260"/>
    <mergeCell ref="BG47"/>
    <mergeCell ref="BG261"/>
    <mergeCell ref="BG48"/>
    <mergeCell ref="BG262"/>
    <mergeCell ref="BG49"/>
    <mergeCell ref="BG257"/>
    <mergeCell ref="BG44"/>
    <mergeCell ref="BG258"/>
    <mergeCell ref="BG284"/>
    <mergeCell ref="BG71"/>
    <mergeCell ref="BG285"/>
    <mergeCell ref="BG72"/>
    <mergeCell ref="BG286"/>
    <mergeCell ref="BG417"/>
    <mergeCell ref="BG204"/>
    <mergeCell ref="BG412"/>
    <mergeCell ref="BG199"/>
    <mergeCell ref="BG413"/>
    <mergeCell ref="BG200"/>
    <mergeCell ref="BG414"/>
    <mergeCell ref="BG201"/>
    <mergeCell ref="BG409"/>
    <mergeCell ref="BG196"/>
    <mergeCell ref="BG410"/>
    <mergeCell ref="BG197"/>
    <mergeCell ref="BG411"/>
    <mergeCell ref="BG198"/>
    <mergeCell ref="BG296"/>
    <mergeCell ref="BG83"/>
    <mergeCell ref="BG297"/>
    <mergeCell ref="BG84"/>
    <mergeCell ref="BG424"/>
    <mergeCell ref="BG211"/>
    <mergeCell ref="BG425"/>
    <mergeCell ref="BG212"/>
    <mergeCell ref="BG421"/>
    <mergeCell ref="BG208"/>
    <mergeCell ref="BG422"/>
    <mergeCell ref="BG209"/>
    <mergeCell ref="BG423"/>
    <mergeCell ref="BG210"/>
    <mergeCell ref="BG418"/>
    <mergeCell ref="BG205"/>
    <mergeCell ref="BG419"/>
    <mergeCell ref="BG206"/>
    <mergeCell ref="BG420"/>
    <mergeCell ref="BG207"/>
    <mergeCell ref="BG415"/>
    <mergeCell ref="BG202"/>
    <mergeCell ref="BG416"/>
    <mergeCell ref="BG203"/>
    <mergeCell ref="BG301"/>
    <mergeCell ref="BG88"/>
    <mergeCell ref="BG302"/>
    <mergeCell ref="BG89"/>
    <mergeCell ref="BG303"/>
    <mergeCell ref="BG90"/>
    <mergeCell ref="BG298"/>
    <mergeCell ref="BG85"/>
    <mergeCell ref="BG299"/>
    <mergeCell ref="BG86"/>
    <mergeCell ref="BG300"/>
    <mergeCell ref="BG87"/>
    <mergeCell ref="BG307"/>
    <mergeCell ref="BG94"/>
    <mergeCell ref="BG308"/>
    <mergeCell ref="BG95"/>
    <mergeCell ref="BG309"/>
    <mergeCell ref="BG96"/>
    <mergeCell ref="BG304"/>
    <mergeCell ref="BG91"/>
    <mergeCell ref="BG305"/>
    <mergeCell ref="BG92"/>
    <mergeCell ref="BG306"/>
    <mergeCell ref="BG93"/>
    <mergeCell ref="BG313"/>
    <mergeCell ref="BG100"/>
    <mergeCell ref="BG394"/>
    <mergeCell ref="BG181"/>
    <mergeCell ref="BG395"/>
    <mergeCell ref="BG182"/>
    <mergeCell ref="BG396"/>
    <mergeCell ref="BG183"/>
    <mergeCell ref="BG391"/>
    <mergeCell ref="BG178"/>
    <mergeCell ref="BG392"/>
    <mergeCell ref="BG179"/>
    <mergeCell ref="BG393"/>
    <mergeCell ref="BG180"/>
    <mergeCell ref="BG400"/>
    <mergeCell ref="BG187"/>
    <mergeCell ref="BG401"/>
    <mergeCell ref="BG188"/>
    <mergeCell ref="BG402"/>
    <mergeCell ref="BG189"/>
    <mergeCell ref="BG397"/>
    <mergeCell ref="BG184"/>
    <mergeCell ref="BG398"/>
    <mergeCell ref="BG185"/>
    <mergeCell ref="BG399"/>
    <mergeCell ref="BG186"/>
    <mergeCell ref="BG406"/>
    <mergeCell ref="BG193"/>
    <mergeCell ref="BG407"/>
    <mergeCell ref="BG194"/>
    <mergeCell ref="BG408"/>
    <mergeCell ref="BG195"/>
    <mergeCell ref="BG403"/>
    <mergeCell ref="BG190"/>
    <mergeCell ref="BG404"/>
    <mergeCell ref="BG191"/>
    <mergeCell ref="BG405"/>
    <mergeCell ref="BG192"/>
    <mergeCell ref="BG376"/>
    <mergeCell ref="BG377"/>
    <mergeCell ref="BG378"/>
    <mergeCell ref="BG373"/>
    <mergeCell ref="BG374"/>
    <mergeCell ref="BG375"/>
    <mergeCell ref="BG382"/>
    <mergeCell ref="BG383"/>
    <mergeCell ref="BG384"/>
    <mergeCell ref="BG379"/>
    <mergeCell ref="BG380"/>
    <mergeCell ref="BG381"/>
    <mergeCell ref="BG388"/>
    <mergeCell ref="BG389"/>
    <mergeCell ref="BG390"/>
    <mergeCell ref="BG385"/>
    <mergeCell ref="BG386"/>
    <mergeCell ref="BG387"/>
    <mergeCell ref="BG365"/>
    <mergeCell ref="BG366"/>
    <mergeCell ref="BG361"/>
    <mergeCell ref="BG322"/>
    <mergeCell ref="BG323"/>
    <mergeCell ref="BG324"/>
    <mergeCell ref="BG331"/>
    <mergeCell ref="BG332"/>
    <mergeCell ref="BG333"/>
    <mergeCell ref="BG328"/>
    <mergeCell ref="BG370"/>
    <mergeCell ref="BG157"/>
    <mergeCell ref="BG371"/>
    <mergeCell ref="BG158"/>
    <mergeCell ref="BG372"/>
    <mergeCell ref="BG159"/>
    <mergeCell ref="BG367"/>
    <mergeCell ref="BG154"/>
    <mergeCell ref="BG368"/>
    <mergeCell ref="BG155"/>
    <mergeCell ref="BG369"/>
    <mergeCell ref="BG156"/>
    <mergeCell ref="BG314"/>
    <mergeCell ref="BG101"/>
    <mergeCell ref="BG315"/>
    <mergeCell ref="BG102"/>
    <mergeCell ref="BG310"/>
    <mergeCell ref="BG97"/>
    <mergeCell ref="BG311"/>
    <mergeCell ref="BG98"/>
    <mergeCell ref="BG312"/>
    <mergeCell ref="BG99"/>
    <mergeCell ref="BG319"/>
    <mergeCell ref="BG106"/>
    <mergeCell ref="BG320"/>
    <mergeCell ref="BG107"/>
    <mergeCell ref="BG321"/>
    <mergeCell ref="BG108"/>
    <mergeCell ref="BG316"/>
    <mergeCell ref="BG103"/>
    <mergeCell ref="BG317"/>
    <mergeCell ref="BG104"/>
    <mergeCell ref="BG318"/>
    <mergeCell ref="BG105"/>
    <mergeCell ref="BG325"/>
    <mergeCell ref="BG112"/>
    <mergeCell ref="BG326"/>
    <mergeCell ref="BG113"/>
    <mergeCell ref="BG327"/>
    <mergeCell ref="BG114"/>
    <mergeCell ref="BG148"/>
    <mergeCell ref="BG109"/>
    <mergeCell ref="BG110"/>
    <mergeCell ref="BG111"/>
    <mergeCell ref="BG118"/>
    <mergeCell ref="BG119"/>
    <mergeCell ref="BG120"/>
    <mergeCell ref="BG115"/>
    <mergeCell ref="BG329"/>
    <mergeCell ref="BG116"/>
    <mergeCell ref="BG330"/>
    <mergeCell ref="BG117"/>
    <mergeCell ref="BG337"/>
    <mergeCell ref="BG124"/>
    <mergeCell ref="BG338"/>
    <mergeCell ref="BG125"/>
    <mergeCell ref="BG339"/>
    <mergeCell ref="BG126"/>
    <mergeCell ref="BG334"/>
    <mergeCell ref="BG121"/>
    <mergeCell ref="BG335"/>
    <mergeCell ref="BG122"/>
    <mergeCell ref="BG336"/>
    <mergeCell ref="BG123"/>
    <mergeCell ref="BH71"/>
    <mergeCell ref="BH285"/>
    <mergeCell ref="BH72"/>
    <mergeCell ref="BH290"/>
    <mergeCell ref="BH77"/>
    <mergeCell ref="BH291"/>
    <mergeCell ref="BH78"/>
    <mergeCell ref="BH288"/>
    <mergeCell ref="BH75"/>
    <mergeCell ref="BH289"/>
    <mergeCell ref="BH76"/>
    <mergeCell ref="BH270"/>
    <mergeCell ref="BH57"/>
    <mergeCell ref="BH271"/>
    <mergeCell ref="BH58"/>
    <mergeCell ref="BH268"/>
    <mergeCell ref="BH55"/>
    <mergeCell ref="BH269"/>
    <mergeCell ref="BH56"/>
    <mergeCell ref="BH274"/>
    <mergeCell ref="BH61"/>
    <mergeCell ref="BH275"/>
    <mergeCell ref="BH62"/>
    <mergeCell ref="BH272"/>
    <mergeCell ref="BH59"/>
    <mergeCell ref="BH273"/>
    <mergeCell ref="BH60"/>
    <mergeCell ref="BH278"/>
    <mergeCell ref="BH65"/>
    <mergeCell ref="BH279"/>
    <mergeCell ref="BH66"/>
    <mergeCell ref="BH276"/>
    <mergeCell ref="BH63"/>
    <mergeCell ref="BH277"/>
    <mergeCell ref="BH64"/>
    <mergeCell ref="BH258"/>
    <mergeCell ref="BH79"/>
    <mergeCell ref="BH80"/>
    <mergeCell ref="BH149"/>
    <mergeCell ref="BH147"/>
    <mergeCell ref="BH148"/>
    <mergeCell ref="BH145"/>
    <mergeCell ref="BH282"/>
    <mergeCell ref="BH97"/>
    <mergeCell ref="BH192"/>
    <mergeCell ref="BH45"/>
    <mergeCell ref="BH259"/>
    <mergeCell ref="BH46"/>
    <mergeCell ref="BH256"/>
    <mergeCell ref="BH43"/>
    <mergeCell ref="BH257"/>
    <mergeCell ref="BH44"/>
    <mergeCell ref="BH262"/>
    <mergeCell ref="BH49"/>
    <mergeCell ref="BH263"/>
    <mergeCell ref="BH50"/>
    <mergeCell ref="BH260"/>
    <mergeCell ref="BH47"/>
    <mergeCell ref="BH261"/>
    <mergeCell ref="BH48"/>
    <mergeCell ref="BH266"/>
    <mergeCell ref="BH53"/>
    <mergeCell ref="BH267"/>
    <mergeCell ref="BH54"/>
    <mergeCell ref="BH264"/>
    <mergeCell ref="BH51"/>
    <mergeCell ref="BH265"/>
    <mergeCell ref="BH52"/>
    <mergeCell ref="BH246"/>
    <mergeCell ref="BH33"/>
    <mergeCell ref="BH247"/>
    <mergeCell ref="BH34"/>
    <mergeCell ref="BH244"/>
    <mergeCell ref="BH31"/>
    <mergeCell ref="BH245"/>
    <mergeCell ref="BH32"/>
    <mergeCell ref="BH250"/>
    <mergeCell ref="BH37"/>
    <mergeCell ref="BH251"/>
    <mergeCell ref="BH38"/>
    <mergeCell ref="BH248"/>
    <mergeCell ref="BH35"/>
    <mergeCell ref="BH249"/>
    <mergeCell ref="BH36"/>
    <mergeCell ref="BH254"/>
    <mergeCell ref="BH41"/>
    <mergeCell ref="BH255"/>
    <mergeCell ref="BH42"/>
    <mergeCell ref="BH252"/>
    <mergeCell ref="BH39"/>
    <mergeCell ref="BH253"/>
    <mergeCell ref="BH40"/>
    <mergeCell ref="BH235"/>
    <mergeCell ref="BH115"/>
    <mergeCell ref="BH116"/>
    <mergeCell ref="BH113"/>
    <mergeCell ref="BH114"/>
    <mergeCell ref="BH89"/>
    <mergeCell ref="BH90"/>
    <mergeCell ref="BH95"/>
    <mergeCell ref="BH96"/>
    <mergeCell ref="BH93"/>
    <mergeCell ref="BH94"/>
    <mergeCell ref="BH69"/>
    <mergeCell ref="BH70"/>
    <mergeCell ref="BH67"/>
    <mergeCell ref="BH68"/>
    <mergeCell ref="BH73"/>
    <mergeCell ref="BH74"/>
    <mergeCell ref="BH22"/>
    <mergeCell ref="BH232"/>
    <mergeCell ref="BH19"/>
    <mergeCell ref="BH233"/>
    <mergeCell ref="BH20"/>
    <mergeCell ref="BH238"/>
    <mergeCell ref="BH25"/>
    <mergeCell ref="BH239"/>
    <mergeCell ref="BH26"/>
    <mergeCell ref="BH236"/>
    <mergeCell ref="BH23"/>
    <mergeCell ref="BH237"/>
    <mergeCell ref="BH24"/>
    <mergeCell ref="BH242"/>
    <mergeCell ref="BH29"/>
    <mergeCell ref="BH243"/>
    <mergeCell ref="BH30"/>
    <mergeCell ref="BH240"/>
    <mergeCell ref="BH27"/>
    <mergeCell ref="BH241"/>
    <mergeCell ref="BH28"/>
    <mergeCell ref="BH146"/>
    <mergeCell ref="BH356"/>
    <mergeCell ref="BH143"/>
    <mergeCell ref="BH357"/>
    <mergeCell ref="BH144"/>
    <mergeCell ref="BH354"/>
    <mergeCell ref="BH141"/>
    <mergeCell ref="BH355"/>
    <mergeCell ref="BH142"/>
    <mergeCell ref="BH218"/>
    <mergeCell ref="BH5"/>
    <mergeCell ref="BH219"/>
    <mergeCell ref="BH6"/>
    <mergeCell ref="BH216"/>
    <mergeCell ref="BH348"/>
    <mergeCell ref="BH349"/>
    <mergeCell ref="BH346"/>
    <mergeCell ref="BH347"/>
    <mergeCell ref="BH352"/>
    <mergeCell ref="BH353"/>
    <mergeCell ref="BH350"/>
    <mergeCell ref="BH351"/>
    <mergeCell ref="BH128"/>
    <mergeCell ref="BH338"/>
    <mergeCell ref="BH125"/>
    <mergeCell ref="BH339"/>
    <mergeCell ref="BH126"/>
    <mergeCell ref="BH320"/>
    <mergeCell ref="BH107"/>
    <mergeCell ref="BH321"/>
    <mergeCell ref="BH108"/>
    <mergeCell ref="BH318"/>
    <mergeCell ref="BH105"/>
    <mergeCell ref="BH319"/>
    <mergeCell ref="BH106"/>
    <mergeCell ref="BH324"/>
    <mergeCell ref="BH111"/>
    <mergeCell ref="BH325"/>
    <mergeCell ref="BH112"/>
    <mergeCell ref="BH322"/>
    <mergeCell ref="BH109"/>
    <mergeCell ref="BH323"/>
    <mergeCell ref="BH110"/>
    <mergeCell ref="BH3"/>
    <mergeCell ref="BH217"/>
    <mergeCell ref="BH4"/>
    <mergeCell ref="BH222"/>
    <mergeCell ref="BH9"/>
    <mergeCell ref="BH223"/>
    <mergeCell ref="BH10"/>
    <mergeCell ref="BH220"/>
    <mergeCell ref="BH7"/>
    <mergeCell ref="BH221"/>
    <mergeCell ref="BH8"/>
    <mergeCell ref="BH226"/>
    <mergeCell ref="BH13"/>
    <mergeCell ref="BH227"/>
    <mergeCell ref="BH14"/>
    <mergeCell ref="BH224"/>
    <mergeCell ref="BH11"/>
    <mergeCell ref="BH225"/>
    <mergeCell ref="BH12"/>
    <mergeCell ref="BH230"/>
    <mergeCell ref="BH17"/>
    <mergeCell ref="BH231"/>
    <mergeCell ref="BH18"/>
    <mergeCell ref="BH228"/>
    <mergeCell ref="BH15"/>
    <mergeCell ref="BH229"/>
    <mergeCell ref="BH16"/>
    <mergeCell ref="BH234"/>
    <mergeCell ref="BH21"/>
    <mergeCell ref="BH344"/>
    <mergeCell ref="BH131"/>
    <mergeCell ref="BH345"/>
    <mergeCell ref="BH132"/>
    <mergeCell ref="BH342"/>
    <mergeCell ref="BH129"/>
    <mergeCell ref="BH343"/>
    <mergeCell ref="BH130"/>
    <mergeCell ref="BH135"/>
    <mergeCell ref="BH136"/>
    <mergeCell ref="BH133"/>
    <mergeCell ref="BH134"/>
    <mergeCell ref="BH139"/>
    <mergeCell ref="BH140"/>
    <mergeCell ref="BH137"/>
    <mergeCell ref="BH138"/>
    <mergeCell ref="BH332"/>
    <mergeCell ref="BH119"/>
    <mergeCell ref="BH333"/>
    <mergeCell ref="BH120"/>
    <mergeCell ref="BH330"/>
    <mergeCell ref="BH117"/>
    <mergeCell ref="BH331"/>
    <mergeCell ref="BH118"/>
    <mergeCell ref="BH336"/>
    <mergeCell ref="BH123"/>
    <mergeCell ref="BH337"/>
    <mergeCell ref="BH124"/>
    <mergeCell ref="BH334"/>
    <mergeCell ref="BH121"/>
    <mergeCell ref="BH335"/>
    <mergeCell ref="BH122"/>
    <mergeCell ref="BH340"/>
    <mergeCell ref="BH127"/>
    <mergeCell ref="BH341"/>
    <mergeCell ref="BH98"/>
    <mergeCell ref="BH316"/>
    <mergeCell ref="BH103"/>
    <mergeCell ref="BH317"/>
    <mergeCell ref="BH104"/>
    <mergeCell ref="BH314"/>
    <mergeCell ref="BH101"/>
    <mergeCell ref="BH315"/>
    <mergeCell ref="BH102"/>
    <mergeCell ref="BH415"/>
    <mergeCell ref="BH202"/>
    <mergeCell ref="BH416"/>
    <mergeCell ref="BH203"/>
    <mergeCell ref="BH413"/>
    <mergeCell ref="BH200"/>
    <mergeCell ref="BH414"/>
    <mergeCell ref="BH201"/>
    <mergeCell ref="BH420"/>
    <mergeCell ref="BH207"/>
    <mergeCell ref="BH417"/>
    <mergeCell ref="BH204"/>
    <mergeCell ref="BH418"/>
    <mergeCell ref="BH205"/>
    <mergeCell ref="BH296"/>
    <mergeCell ref="BH83"/>
    <mergeCell ref="BH297"/>
    <mergeCell ref="BH84"/>
    <mergeCell ref="BH399"/>
    <mergeCell ref="BH186"/>
    <mergeCell ref="BH400"/>
    <mergeCell ref="BH187"/>
    <mergeCell ref="BH397"/>
    <mergeCell ref="BH184"/>
    <mergeCell ref="BH398"/>
    <mergeCell ref="BH185"/>
    <mergeCell ref="BH379"/>
    <mergeCell ref="BH166"/>
    <mergeCell ref="BH380"/>
    <mergeCell ref="BH167"/>
    <mergeCell ref="BH377"/>
    <mergeCell ref="BH164"/>
    <mergeCell ref="BH378"/>
    <mergeCell ref="BH165"/>
    <mergeCell ref="BH383"/>
    <mergeCell ref="BH170"/>
    <mergeCell ref="BH384"/>
    <mergeCell ref="BH171"/>
    <mergeCell ref="BH381"/>
    <mergeCell ref="BH168"/>
    <mergeCell ref="BH382"/>
    <mergeCell ref="BH169"/>
    <mergeCell ref="BH387"/>
    <mergeCell ref="BH174"/>
    <mergeCell ref="BH388"/>
    <mergeCell ref="BH175"/>
    <mergeCell ref="BH385"/>
    <mergeCell ref="BH172"/>
    <mergeCell ref="BH283"/>
    <mergeCell ref="BH280"/>
    <mergeCell ref="BH281"/>
    <mergeCell ref="BH286"/>
    <mergeCell ref="BH287"/>
    <mergeCell ref="BH405"/>
    <mergeCell ref="BH412"/>
    <mergeCell ref="BH199"/>
    <mergeCell ref="BH409"/>
    <mergeCell ref="BH196"/>
    <mergeCell ref="BH410"/>
    <mergeCell ref="BH197"/>
    <mergeCell ref="BH391"/>
    <mergeCell ref="BH178"/>
    <mergeCell ref="BH392"/>
    <mergeCell ref="BH179"/>
    <mergeCell ref="BH389"/>
    <mergeCell ref="BH176"/>
    <mergeCell ref="BH390"/>
    <mergeCell ref="BH177"/>
    <mergeCell ref="BH395"/>
    <mergeCell ref="BH182"/>
    <mergeCell ref="BH396"/>
    <mergeCell ref="BH183"/>
    <mergeCell ref="BH393"/>
    <mergeCell ref="BH180"/>
    <mergeCell ref="BH394"/>
    <mergeCell ref="BH181"/>
    <mergeCell ref="BH312"/>
    <mergeCell ref="BH99"/>
    <mergeCell ref="BH313"/>
    <mergeCell ref="BH100"/>
    <mergeCell ref="BH310"/>
    <mergeCell ref="BH284"/>
    <mergeCell ref="BH292"/>
    <mergeCell ref="BH293"/>
    <mergeCell ref="BH362"/>
    <mergeCell ref="BH360"/>
    <mergeCell ref="BH361"/>
    <mergeCell ref="BH358"/>
    <mergeCell ref="BH359"/>
    <mergeCell ref="BH328"/>
    <mergeCell ref="BH329"/>
    <mergeCell ref="BH326"/>
    <mergeCell ref="BH327"/>
    <mergeCell ref="BH302"/>
    <mergeCell ref="BH303"/>
    <mergeCell ref="BH308"/>
    <mergeCell ref="BH309"/>
    <mergeCell ref="BH306"/>
    <mergeCell ref="BH307"/>
    <mergeCell ref="BH311"/>
    <mergeCell ref="BI289"/>
    <mergeCell ref="BI76"/>
    <mergeCell ref="BI288"/>
    <mergeCell ref="BI75"/>
    <mergeCell ref="BI293"/>
    <mergeCell ref="BI80"/>
    <mergeCell ref="BI292"/>
    <mergeCell ref="BI79"/>
    <mergeCell ref="BI291"/>
    <mergeCell ref="BI78"/>
    <mergeCell ref="BI272"/>
    <mergeCell ref="BI362"/>
    <mergeCell ref="BI361"/>
    <mergeCell ref="BI360"/>
    <mergeCell ref="BI350"/>
    <mergeCell ref="BI349"/>
    <mergeCell ref="BI348"/>
    <mergeCell ref="BI353"/>
    <mergeCell ref="BI352"/>
    <mergeCell ref="BI351"/>
    <mergeCell ref="BI356"/>
    <mergeCell ref="BI355"/>
    <mergeCell ref="BI354"/>
    <mergeCell ref="BI359"/>
    <mergeCell ref="BH425"/>
    <mergeCell ref="BH212"/>
    <mergeCell ref="BH423"/>
    <mergeCell ref="BH210"/>
    <mergeCell ref="BH424"/>
    <mergeCell ref="BH211"/>
    <mergeCell ref="BH421"/>
    <mergeCell ref="BH208"/>
    <mergeCell ref="BH422"/>
    <mergeCell ref="BH209"/>
    <mergeCell ref="BH419"/>
    <mergeCell ref="BH206"/>
    <mergeCell ref="BH300"/>
    <mergeCell ref="BH87"/>
    <mergeCell ref="BH301"/>
    <mergeCell ref="BH88"/>
    <mergeCell ref="BH298"/>
    <mergeCell ref="BH85"/>
    <mergeCell ref="BH299"/>
    <mergeCell ref="BH86"/>
    <mergeCell ref="BH304"/>
    <mergeCell ref="BH91"/>
    <mergeCell ref="BH305"/>
    <mergeCell ref="BH92"/>
    <mergeCell ref="BH403"/>
    <mergeCell ref="BH190"/>
    <mergeCell ref="BH404"/>
    <mergeCell ref="BH191"/>
    <mergeCell ref="BH401"/>
    <mergeCell ref="BH188"/>
    <mergeCell ref="BH402"/>
    <mergeCell ref="BH189"/>
    <mergeCell ref="BH407"/>
    <mergeCell ref="BH194"/>
    <mergeCell ref="BH408"/>
    <mergeCell ref="BH195"/>
    <mergeCell ref="BH406"/>
    <mergeCell ref="BH193"/>
    <mergeCell ref="BH411"/>
    <mergeCell ref="BH198"/>
    <mergeCell ref="BI260"/>
    <mergeCell ref="BI47"/>
    <mergeCell ref="BI259"/>
    <mergeCell ref="BI46"/>
    <mergeCell ref="BI258"/>
    <mergeCell ref="BI45"/>
    <mergeCell ref="BI263"/>
    <mergeCell ref="BI50"/>
    <mergeCell ref="BI262"/>
    <mergeCell ref="BI49"/>
    <mergeCell ref="BI261"/>
    <mergeCell ref="BI48"/>
    <mergeCell ref="BI266"/>
    <mergeCell ref="BI53"/>
    <mergeCell ref="BI265"/>
    <mergeCell ref="BI52"/>
    <mergeCell ref="BI264"/>
    <mergeCell ref="BI51"/>
    <mergeCell ref="BI269"/>
    <mergeCell ref="BI56"/>
    <mergeCell ref="BI268"/>
    <mergeCell ref="BI55"/>
    <mergeCell ref="BI267"/>
    <mergeCell ref="BI54"/>
    <mergeCell ref="BI248"/>
    <mergeCell ref="BH386"/>
    <mergeCell ref="BH173"/>
    <mergeCell ref="BH367"/>
    <mergeCell ref="BH154"/>
    <mergeCell ref="BH368"/>
    <mergeCell ref="BH155"/>
    <mergeCell ref="BH365"/>
    <mergeCell ref="BH152"/>
    <mergeCell ref="BH366"/>
    <mergeCell ref="BH153"/>
    <mergeCell ref="BH371"/>
    <mergeCell ref="BH158"/>
    <mergeCell ref="BH372"/>
    <mergeCell ref="BH159"/>
    <mergeCell ref="BH369"/>
    <mergeCell ref="BH156"/>
    <mergeCell ref="BH370"/>
    <mergeCell ref="BH157"/>
    <mergeCell ref="BH375"/>
    <mergeCell ref="BH162"/>
    <mergeCell ref="BH376"/>
    <mergeCell ref="BH163"/>
    <mergeCell ref="BH373"/>
    <mergeCell ref="BH160"/>
    <mergeCell ref="BH374"/>
    <mergeCell ref="BH161"/>
    <mergeCell ref="BI284"/>
    <mergeCell ref="BI71"/>
    <mergeCell ref="BI283"/>
    <mergeCell ref="BI70"/>
    <mergeCell ref="BI282"/>
    <mergeCell ref="BI69"/>
    <mergeCell ref="BI287"/>
    <mergeCell ref="BI74"/>
    <mergeCell ref="BI286"/>
    <mergeCell ref="BI285"/>
    <mergeCell ref="BI72"/>
    <mergeCell ref="BI290"/>
    <mergeCell ref="BI77"/>
    <mergeCell ref="BI37"/>
    <mergeCell ref="BI249"/>
    <mergeCell ref="BI36"/>
    <mergeCell ref="BI254"/>
    <mergeCell ref="BI41"/>
    <mergeCell ref="BI253"/>
    <mergeCell ref="BI40"/>
    <mergeCell ref="BI252"/>
    <mergeCell ref="BI39"/>
    <mergeCell ref="BI257"/>
    <mergeCell ref="BI44"/>
    <mergeCell ref="BI256"/>
    <mergeCell ref="BI43"/>
    <mergeCell ref="BI255"/>
    <mergeCell ref="BI42"/>
    <mergeCell ref="BI236"/>
    <mergeCell ref="BI23"/>
    <mergeCell ref="BI235"/>
    <mergeCell ref="BI22"/>
    <mergeCell ref="BI234"/>
    <mergeCell ref="BI21"/>
    <mergeCell ref="BI239"/>
    <mergeCell ref="BI26"/>
    <mergeCell ref="BI238"/>
    <mergeCell ref="BI25"/>
    <mergeCell ref="BI237"/>
    <mergeCell ref="BI24"/>
    <mergeCell ref="BI242"/>
    <mergeCell ref="BI29"/>
    <mergeCell ref="BI241"/>
    <mergeCell ref="BI28"/>
    <mergeCell ref="BI240"/>
    <mergeCell ref="BI27"/>
    <mergeCell ref="BI245"/>
    <mergeCell ref="BI32"/>
    <mergeCell ref="BI244"/>
    <mergeCell ref="BI31"/>
    <mergeCell ref="BI243"/>
    <mergeCell ref="BI30"/>
    <mergeCell ref="BI149"/>
    <mergeCell ref="BI148"/>
    <mergeCell ref="BI147"/>
    <mergeCell ref="BI218"/>
    <mergeCell ref="BI59"/>
    <mergeCell ref="BI58"/>
    <mergeCell ref="BI57"/>
    <mergeCell ref="BI62"/>
    <mergeCell ref="BI61"/>
    <mergeCell ref="BI60"/>
    <mergeCell ref="BI65"/>
    <mergeCell ref="BI64"/>
    <mergeCell ref="BI63"/>
    <mergeCell ref="BI68"/>
    <mergeCell ref="BI73"/>
    <mergeCell ref="BI145"/>
    <mergeCell ref="BI108"/>
    <mergeCell ref="BI67"/>
    <mergeCell ref="BI66"/>
    <mergeCell ref="BI5"/>
    <mergeCell ref="BI217"/>
    <mergeCell ref="BI4"/>
    <mergeCell ref="BI216"/>
    <mergeCell ref="BI3"/>
    <mergeCell ref="BI221"/>
    <mergeCell ref="BI8"/>
    <mergeCell ref="BI220"/>
    <mergeCell ref="BI7"/>
    <mergeCell ref="BI219"/>
    <mergeCell ref="BI6"/>
    <mergeCell ref="BI224"/>
    <mergeCell ref="BI11"/>
    <mergeCell ref="BI223"/>
    <mergeCell ref="BI10"/>
    <mergeCell ref="BI222"/>
    <mergeCell ref="BI9"/>
    <mergeCell ref="BI227"/>
    <mergeCell ref="BI14"/>
    <mergeCell ref="BI226"/>
    <mergeCell ref="BI13"/>
    <mergeCell ref="BI225"/>
    <mergeCell ref="BI12"/>
    <mergeCell ref="BI230"/>
    <mergeCell ref="BI17"/>
    <mergeCell ref="BI229"/>
    <mergeCell ref="BI16"/>
    <mergeCell ref="BI228"/>
    <mergeCell ref="BI15"/>
    <mergeCell ref="BI233"/>
    <mergeCell ref="BI20"/>
    <mergeCell ref="BI232"/>
    <mergeCell ref="BI19"/>
    <mergeCell ref="BI231"/>
    <mergeCell ref="BI18"/>
    <mergeCell ref="BI137"/>
    <mergeCell ref="BI136"/>
    <mergeCell ref="BI135"/>
    <mergeCell ref="BI140"/>
    <mergeCell ref="BI139"/>
    <mergeCell ref="BI138"/>
    <mergeCell ref="BI143"/>
    <mergeCell ref="BI142"/>
    <mergeCell ref="BI141"/>
    <mergeCell ref="BI146"/>
    <mergeCell ref="BI111"/>
    <mergeCell ref="BI97"/>
    <mergeCell ref="BI96"/>
    <mergeCell ref="BI101"/>
    <mergeCell ref="BI100"/>
    <mergeCell ref="BI99"/>
    <mergeCell ref="BI104"/>
    <mergeCell ref="BI103"/>
    <mergeCell ref="BI102"/>
    <mergeCell ref="BI107"/>
    <mergeCell ref="BI106"/>
    <mergeCell ref="BI105"/>
    <mergeCell ref="BI110"/>
    <mergeCell ref="BI109"/>
    <mergeCell ref="BI161"/>
    <mergeCell ref="BI35"/>
    <mergeCell ref="BI34"/>
    <mergeCell ref="BI33"/>
    <mergeCell ref="BI38"/>
    <mergeCell ref="BI144"/>
    <mergeCell ref="BI338"/>
    <mergeCell ref="BI125"/>
    <mergeCell ref="BI337"/>
    <mergeCell ref="BI124"/>
    <mergeCell ref="BI336"/>
    <mergeCell ref="BI123"/>
    <mergeCell ref="BI341"/>
    <mergeCell ref="BI128"/>
    <mergeCell ref="BI340"/>
    <mergeCell ref="BI127"/>
    <mergeCell ref="BI339"/>
    <mergeCell ref="BI126"/>
    <mergeCell ref="BI344"/>
    <mergeCell ref="BI131"/>
    <mergeCell ref="BI343"/>
    <mergeCell ref="BI130"/>
    <mergeCell ref="BI342"/>
    <mergeCell ref="BI129"/>
    <mergeCell ref="BI347"/>
    <mergeCell ref="BI134"/>
    <mergeCell ref="BI346"/>
    <mergeCell ref="BI133"/>
    <mergeCell ref="BI345"/>
    <mergeCell ref="BI132"/>
    <mergeCell ref="BI326"/>
    <mergeCell ref="BI113"/>
    <mergeCell ref="BI325"/>
    <mergeCell ref="BI112"/>
    <mergeCell ref="BI324"/>
    <mergeCell ref="BI329"/>
    <mergeCell ref="BI116"/>
    <mergeCell ref="BI328"/>
    <mergeCell ref="BI115"/>
    <mergeCell ref="BI327"/>
    <mergeCell ref="BI114"/>
    <mergeCell ref="BI332"/>
    <mergeCell ref="BI119"/>
    <mergeCell ref="BI331"/>
    <mergeCell ref="BI118"/>
    <mergeCell ref="BI330"/>
    <mergeCell ref="BI117"/>
    <mergeCell ref="BI335"/>
    <mergeCell ref="BI122"/>
    <mergeCell ref="BI334"/>
    <mergeCell ref="BI121"/>
    <mergeCell ref="BI333"/>
    <mergeCell ref="BI120"/>
    <mergeCell ref="BI310"/>
    <mergeCell ref="BI309"/>
    <mergeCell ref="BI314"/>
    <mergeCell ref="BI313"/>
    <mergeCell ref="BI312"/>
    <mergeCell ref="BI317"/>
    <mergeCell ref="BI316"/>
    <mergeCell ref="BI315"/>
    <mergeCell ref="BI320"/>
    <mergeCell ref="BI319"/>
    <mergeCell ref="BI318"/>
    <mergeCell ref="BI323"/>
    <mergeCell ref="BI322"/>
    <mergeCell ref="BI247"/>
    <mergeCell ref="BI195"/>
    <mergeCell ref="BI280"/>
    <mergeCell ref="BI412"/>
    <mergeCell ref="BI199"/>
    <mergeCell ref="BI411"/>
    <mergeCell ref="BI198"/>
    <mergeCell ref="BI410"/>
    <mergeCell ref="BI197"/>
    <mergeCell ref="BI415"/>
    <mergeCell ref="BI202"/>
    <mergeCell ref="BI414"/>
    <mergeCell ref="BI201"/>
    <mergeCell ref="BI413"/>
    <mergeCell ref="BI200"/>
    <mergeCell ref="BI418"/>
    <mergeCell ref="BI205"/>
    <mergeCell ref="BI417"/>
    <mergeCell ref="BI204"/>
    <mergeCell ref="BI416"/>
    <mergeCell ref="BI203"/>
    <mergeCell ref="BI296"/>
    <mergeCell ref="BI83"/>
    <mergeCell ref="BI425"/>
    <mergeCell ref="BI212"/>
    <mergeCell ref="BI424"/>
    <mergeCell ref="BI211"/>
    <mergeCell ref="BI423"/>
    <mergeCell ref="BI210"/>
    <mergeCell ref="BI422"/>
    <mergeCell ref="BI209"/>
    <mergeCell ref="BI421"/>
    <mergeCell ref="BI208"/>
    <mergeCell ref="BI420"/>
    <mergeCell ref="BI207"/>
    <mergeCell ref="BI419"/>
    <mergeCell ref="BI206"/>
    <mergeCell ref="BI299"/>
    <mergeCell ref="BI86"/>
    <mergeCell ref="BI298"/>
    <mergeCell ref="BI85"/>
    <mergeCell ref="BI297"/>
    <mergeCell ref="BI84"/>
    <mergeCell ref="BI302"/>
    <mergeCell ref="BI89"/>
    <mergeCell ref="BI400"/>
    <mergeCell ref="BI187"/>
    <mergeCell ref="BI399"/>
    <mergeCell ref="BI186"/>
    <mergeCell ref="BI398"/>
    <mergeCell ref="BI185"/>
    <mergeCell ref="BI403"/>
    <mergeCell ref="BI190"/>
    <mergeCell ref="BI402"/>
    <mergeCell ref="BI189"/>
    <mergeCell ref="BI401"/>
    <mergeCell ref="BI188"/>
    <mergeCell ref="BI406"/>
    <mergeCell ref="BI193"/>
    <mergeCell ref="BI405"/>
    <mergeCell ref="BI192"/>
    <mergeCell ref="BI404"/>
    <mergeCell ref="BI191"/>
    <mergeCell ref="BI409"/>
    <mergeCell ref="BI196"/>
    <mergeCell ref="BI358"/>
    <mergeCell ref="BI408"/>
    <mergeCell ref="BI407"/>
    <mergeCell ref="BI194"/>
    <mergeCell ref="BI388"/>
    <mergeCell ref="BI175"/>
    <mergeCell ref="BI387"/>
    <mergeCell ref="BI174"/>
    <mergeCell ref="BI386"/>
    <mergeCell ref="BI173"/>
    <mergeCell ref="BI391"/>
    <mergeCell ref="BI178"/>
    <mergeCell ref="BI390"/>
    <mergeCell ref="BI177"/>
    <mergeCell ref="BI389"/>
    <mergeCell ref="BI176"/>
    <mergeCell ref="BI394"/>
    <mergeCell ref="BI181"/>
    <mergeCell ref="BI393"/>
    <mergeCell ref="BI180"/>
    <mergeCell ref="BI392"/>
    <mergeCell ref="BI179"/>
    <mergeCell ref="BI397"/>
    <mergeCell ref="BI184"/>
    <mergeCell ref="BI396"/>
    <mergeCell ref="BI183"/>
    <mergeCell ref="BI395"/>
    <mergeCell ref="BI182"/>
    <mergeCell ref="BI376"/>
    <mergeCell ref="BI163"/>
    <mergeCell ref="BI375"/>
    <mergeCell ref="BI162"/>
    <mergeCell ref="BI374"/>
    <mergeCell ref="BI379"/>
    <mergeCell ref="BI166"/>
    <mergeCell ref="BI378"/>
    <mergeCell ref="BI165"/>
    <mergeCell ref="BI377"/>
    <mergeCell ref="BI164"/>
    <mergeCell ref="BI382"/>
    <mergeCell ref="BI169"/>
    <mergeCell ref="BI381"/>
    <mergeCell ref="BI168"/>
    <mergeCell ref="BI380"/>
    <mergeCell ref="BI167"/>
    <mergeCell ref="BI385"/>
    <mergeCell ref="BI172"/>
    <mergeCell ref="BI384"/>
    <mergeCell ref="BI171"/>
    <mergeCell ref="BI383"/>
    <mergeCell ref="BI170"/>
    <mergeCell ref="BI321"/>
    <mergeCell ref="BI246"/>
    <mergeCell ref="BI251"/>
    <mergeCell ref="BI250"/>
    <mergeCell ref="BI271"/>
    <mergeCell ref="BI270"/>
    <mergeCell ref="BI275"/>
    <mergeCell ref="BI274"/>
    <mergeCell ref="BI273"/>
    <mergeCell ref="BI278"/>
    <mergeCell ref="BI277"/>
    <mergeCell ref="BI276"/>
    <mergeCell ref="BI281"/>
    <mergeCell ref="BI357"/>
    <mergeCell ref="BI279"/>
    <mergeCell ref="BJ293"/>
    <mergeCell ref="BJ80"/>
    <mergeCell ref="BJ291"/>
    <mergeCell ref="BJ78"/>
    <mergeCell ref="BJ292"/>
    <mergeCell ref="BJ79"/>
    <mergeCell ref="BJ289"/>
    <mergeCell ref="BJ76"/>
    <mergeCell ref="BJ290"/>
    <mergeCell ref="BJ77"/>
    <mergeCell ref="BI367"/>
    <mergeCell ref="BI154"/>
    <mergeCell ref="BI366"/>
    <mergeCell ref="BI153"/>
    <mergeCell ref="BI365"/>
    <mergeCell ref="BI152"/>
    <mergeCell ref="BI370"/>
    <mergeCell ref="BI157"/>
    <mergeCell ref="BI369"/>
    <mergeCell ref="BI156"/>
    <mergeCell ref="BI368"/>
    <mergeCell ref="BI155"/>
    <mergeCell ref="BI373"/>
    <mergeCell ref="BI160"/>
    <mergeCell ref="BI372"/>
    <mergeCell ref="BI159"/>
    <mergeCell ref="BI371"/>
    <mergeCell ref="BI158"/>
    <mergeCell ref="BI301"/>
    <mergeCell ref="BI88"/>
    <mergeCell ref="BI300"/>
    <mergeCell ref="BI87"/>
    <mergeCell ref="BI305"/>
    <mergeCell ref="BI92"/>
    <mergeCell ref="BI304"/>
    <mergeCell ref="BI91"/>
    <mergeCell ref="BI303"/>
    <mergeCell ref="BI90"/>
    <mergeCell ref="BI308"/>
    <mergeCell ref="BI95"/>
    <mergeCell ref="BI307"/>
    <mergeCell ref="BI94"/>
    <mergeCell ref="BI306"/>
    <mergeCell ref="BI93"/>
    <mergeCell ref="BI311"/>
    <mergeCell ref="BI98"/>
    <mergeCell ref="BJ275"/>
    <mergeCell ref="BJ361"/>
    <mergeCell ref="BJ362"/>
    <mergeCell ref="BJ359"/>
    <mergeCell ref="BJ360"/>
    <mergeCell ref="BJ357"/>
    <mergeCell ref="BJ358"/>
    <mergeCell ref="BJ355"/>
    <mergeCell ref="BJ356"/>
    <mergeCell ref="BJ353"/>
    <mergeCell ref="BJ354"/>
    <mergeCell ref="BJ351"/>
    <mergeCell ref="BJ340"/>
    <mergeCell ref="BJ337"/>
    <mergeCell ref="BJ338"/>
    <mergeCell ref="BJ335"/>
    <mergeCell ref="BJ336"/>
    <mergeCell ref="BJ345"/>
    <mergeCell ref="BJ276"/>
    <mergeCell ref="BJ63"/>
    <mergeCell ref="BJ273"/>
    <mergeCell ref="BJ60"/>
    <mergeCell ref="BJ274"/>
    <mergeCell ref="BJ61"/>
    <mergeCell ref="BJ271"/>
    <mergeCell ref="BJ58"/>
    <mergeCell ref="BJ272"/>
    <mergeCell ref="BJ59"/>
    <mergeCell ref="BJ281"/>
    <mergeCell ref="BJ68"/>
    <mergeCell ref="BJ282"/>
    <mergeCell ref="BJ69"/>
    <mergeCell ref="BJ279"/>
    <mergeCell ref="BJ66"/>
    <mergeCell ref="BJ280"/>
    <mergeCell ref="BJ67"/>
    <mergeCell ref="BJ277"/>
    <mergeCell ref="BJ64"/>
    <mergeCell ref="BJ278"/>
    <mergeCell ref="BJ65"/>
    <mergeCell ref="BJ287"/>
    <mergeCell ref="BJ74"/>
    <mergeCell ref="BJ288"/>
    <mergeCell ref="BJ75"/>
    <mergeCell ref="BJ285"/>
    <mergeCell ref="BJ72"/>
    <mergeCell ref="BJ286"/>
    <mergeCell ref="BJ73"/>
    <mergeCell ref="BJ283"/>
    <mergeCell ref="BJ70"/>
    <mergeCell ref="BJ284"/>
    <mergeCell ref="BJ71"/>
    <mergeCell ref="BJ257"/>
    <mergeCell ref="BJ258"/>
    <mergeCell ref="BJ255"/>
    <mergeCell ref="BJ42"/>
    <mergeCell ref="BJ256"/>
    <mergeCell ref="BJ43"/>
    <mergeCell ref="BJ253"/>
    <mergeCell ref="BJ40"/>
    <mergeCell ref="BJ254"/>
    <mergeCell ref="BJ41"/>
    <mergeCell ref="BJ263"/>
    <mergeCell ref="BJ50"/>
    <mergeCell ref="BJ264"/>
    <mergeCell ref="BJ51"/>
    <mergeCell ref="BJ261"/>
    <mergeCell ref="BJ48"/>
    <mergeCell ref="BJ262"/>
    <mergeCell ref="BJ49"/>
    <mergeCell ref="BJ259"/>
    <mergeCell ref="BJ46"/>
    <mergeCell ref="BJ260"/>
    <mergeCell ref="BJ47"/>
    <mergeCell ref="BJ269"/>
    <mergeCell ref="BJ56"/>
    <mergeCell ref="BJ270"/>
    <mergeCell ref="BJ57"/>
    <mergeCell ref="BJ267"/>
    <mergeCell ref="BJ54"/>
    <mergeCell ref="BJ268"/>
    <mergeCell ref="BJ55"/>
    <mergeCell ref="BJ265"/>
    <mergeCell ref="BJ52"/>
    <mergeCell ref="BJ266"/>
    <mergeCell ref="BJ53"/>
    <mergeCell ref="BJ148"/>
    <mergeCell ref="BJ149"/>
    <mergeCell ref="BJ146"/>
    <mergeCell ref="BJ147"/>
    <mergeCell ref="BJ144"/>
    <mergeCell ref="BJ145"/>
    <mergeCell ref="BJ142"/>
    <mergeCell ref="BJ143"/>
    <mergeCell ref="BJ140"/>
    <mergeCell ref="BJ141"/>
    <mergeCell ref="BJ138"/>
    <mergeCell ref="BJ221"/>
    <mergeCell ref="BJ239"/>
    <mergeCell ref="BJ240"/>
    <mergeCell ref="BJ237"/>
    <mergeCell ref="BJ62"/>
    <mergeCell ref="BJ9"/>
    <mergeCell ref="BJ219"/>
    <mergeCell ref="BJ6"/>
    <mergeCell ref="BJ220"/>
    <mergeCell ref="BJ7"/>
    <mergeCell ref="BJ217"/>
    <mergeCell ref="BJ4"/>
    <mergeCell ref="BJ218"/>
    <mergeCell ref="BJ5"/>
    <mergeCell ref="BJ227"/>
    <mergeCell ref="BJ14"/>
    <mergeCell ref="BJ228"/>
    <mergeCell ref="BJ15"/>
    <mergeCell ref="BJ225"/>
    <mergeCell ref="BJ12"/>
    <mergeCell ref="BJ226"/>
    <mergeCell ref="BJ13"/>
    <mergeCell ref="BJ223"/>
    <mergeCell ref="BJ10"/>
    <mergeCell ref="BJ224"/>
    <mergeCell ref="BJ11"/>
    <mergeCell ref="BJ233"/>
    <mergeCell ref="BJ20"/>
    <mergeCell ref="BJ234"/>
    <mergeCell ref="BJ21"/>
    <mergeCell ref="BJ231"/>
    <mergeCell ref="BJ18"/>
    <mergeCell ref="BJ232"/>
    <mergeCell ref="BJ19"/>
    <mergeCell ref="BJ229"/>
    <mergeCell ref="BJ16"/>
    <mergeCell ref="BJ230"/>
    <mergeCell ref="BJ17"/>
    <mergeCell ref="BJ26"/>
    <mergeCell ref="BJ27"/>
    <mergeCell ref="BJ24"/>
    <mergeCell ref="BJ127"/>
    <mergeCell ref="BJ124"/>
    <mergeCell ref="BJ125"/>
    <mergeCell ref="BJ122"/>
    <mergeCell ref="BJ123"/>
    <mergeCell ref="BJ132"/>
    <mergeCell ref="BJ44"/>
    <mergeCell ref="BJ45"/>
    <mergeCell ref="BJ343"/>
    <mergeCell ref="BJ130"/>
    <mergeCell ref="BJ344"/>
    <mergeCell ref="BJ131"/>
    <mergeCell ref="BJ341"/>
    <mergeCell ref="BJ128"/>
    <mergeCell ref="BJ342"/>
    <mergeCell ref="BJ129"/>
    <mergeCell ref="BJ352"/>
    <mergeCell ref="BJ139"/>
    <mergeCell ref="BJ349"/>
    <mergeCell ref="BJ136"/>
    <mergeCell ref="BJ350"/>
    <mergeCell ref="BJ137"/>
    <mergeCell ref="BJ347"/>
    <mergeCell ref="BJ134"/>
    <mergeCell ref="BJ348"/>
    <mergeCell ref="BJ135"/>
    <mergeCell ref="BJ216"/>
    <mergeCell ref="BJ3"/>
    <mergeCell ref="BJ238"/>
    <mergeCell ref="BJ25"/>
    <mergeCell ref="BJ235"/>
    <mergeCell ref="BJ22"/>
    <mergeCell ref="BJ236"/>
    <mergeCell ref="BJ23"/>
    <mergeCell ref="BJ245"/>
    <mergeCell ref="BJ32"/>
    <mergeCell ref="BJ246"/>
    <mergeCell ref="BJ33"/>
    <mergeCell ref="BJ243"/>
    <mergeCell ref="BJ30"/>
    <mergeCell ref="BJ244"/>
    <mergeCell ref="BJ31"/>
    <mergeCell ref="BJ241"/>
    <mergeCell ref="BJ28"/>
    <mergeCell ref="BJ242"/>
    <mergeCell ref="BJ29"/>
    <mergeCell ref="BJ251"/>
    <mergeCell ref="BJ38"/>
    <mergeCell ref="BJ252"/>
    <mergeCell ref="BJ39"/>
    <mergeCell ref="BJ249"/>
    <mergeCell ref="BJ36"/>
    <mergeCell ref="BJ250"/>
    <mergeCell ref="BJ37"/>
    <mergeCell ref="BJ247"/>
    <mergeCell ref="BJ34"/>
    <mergeCell ref="BJ248"/>
    <mergeCell ref="BJ35"/>
    <mergeCell ref="BJ319"/>
    <mergeCell ref="BJ106"/>
    <mergeCell ref="BJ320"/>
    <mergeCell ref="BJ107"/>
    <mergeCell ref="BJ317"/>
    <mergeCell ref="BJ104"/>
    <mergeCell ref="BJ318"/>
    <mergeCell ref="BJ105"/>
    <mergeCell ref="BJ327"/>
    <mergeCell ref="BJ114"/>
    <mergeCell ref="BJ328"/>
    <mergeCell ref="BJ115"/>
    <mergeCell ref="BJ8"/>
    <mergeCell ref="BJ222"/>
    <mergeCell ref="BJ326"/>
    <mergeCell ref="BJ113"/>
    <mergeCell ref="BJ323"/>
    <mergeCell ref="BJ110"/>
    <mergeCell ref="BJ324"/>
    <mergeCell ref="BJ111"/>
    <mergeCell ref="BJ333"/>
    <mergeCell ref="BJ120"/>
    <mergeCell ref="BJ334"/>
    <mergeCell ref="BJ121"/>
    <mergeCell ref="BJ331"/>
    <mergeCell ref="BJ118"/>
    <mergeCell ref="BJ332"/>
    <mergeCell ref="BJ119"/>
    <mergeCell ref="BJ329"/>
    <mergeCell ref="BJ116"/>
    <mergeCell ref="BJ330"/>
    <mergeCell ref="BJ117"/>
    <mergeCell ref="BJ339"/>
    <mergeCell ref="BJ126"/>
    <mergeCell ref="BJ297"/>
    <mergeCell ref="BJ84"/>
    <mergeCell ref="BJ298"/>
    <mergeCell ref="BJ85"/>
    <mergeCell ref="BJ296"/>
    <mergeCell ref="BJ83"/>
    <mergeCell ref="BJ424"/>
    <mergeCell ref="BJ211"/>
    <mergeCell ref="BJ425"/>
    <mergeCell ref="BJ212"/>
    <mergeCell ref="BJ422"/>
    <mergeCell ref="BJ209"/>
    <mergeCell ref="BJ423"/>
    <mergeCell ref="BJ210"/>
    <mergeCell ref="BJ420"/>
    <mergeCell ref="BJ207"/>
    <mergeCell ref="BJ421"/>
    <mergeCell ref="BJ208"/>
    <mergeCell ref="BJ418"/>
    <mergeCell ref="BJ205"/>
    <mergeCell ref="BJ419"/>
    <mergeCell ref="BJ206"/>
    <mergeCell ref="BJ416"/>
    <mergeCell ref="BJ203"/>
    <mergeCell ref="BJ303"/>
    <mergeCell ref="BJ90"/>
    <mergeCell ref="BJ304"/>
    <mergeCell ref="BJ91"/>
    <mergeCell ref="BJ301"/>
    <mergeCell ref="BJ88"/>
    <mergeCell ref="BJ302"/>
    <mergeCell ref="BJ89"/>
    <mergeCell ref="BJ299"/>
    <mergeCell ref="BJ86"/>
    <mergeCell ref="BJ300"/>
    <mergeCell ref="BJ87"/>
    <mergeCell ref="BJ309"/>
    <mergeCell ref="BJ96"/>
    <mergeCell ref="BJ310"/>
    <mergeCell ref="BJ97"/>
    <mergeCell ref="BJ307"/>
    <mergeCell ref="BJ94"/>
    <mergeCell ref="BJ346"/>
    <mergeCell ref="BJ133"/>
    <mergeCell ref="BJ308"/>
    <mergeCell ref="BJ95"/>
    <mergeCell ref="BJ305"/>
    <mergeCell ref="BJ92"/>
    <mergeCell ref="BJ306"/>
    <mergeCell ref="BJ93"/>
    <mergeCell ref="BJ315"/>
    <mergeCell ref="BJ102"/>
    <mergeCell ref="BJ316"/>
    <mergeCell ref="BJ103"/>
    <mergeCell ref="BJ313"/>
    <mergeCell ref="BJ100"/>
    <mergeCell ref="BJ314"/>
    <mergeCell ref="BJ101"/>
    <mergeCell ref="BJ311"/>
    <mergeCell ref="BJ98"/>
    <mergeCell ref="BJ312"/>
    <mergeCell ref="BJ99"/>
    <mergeCell ref="BJ321"/>
    <mergeCell ref="BJ108"/>
    <mergeCell ref="BJ322"/>
    <mergeCell ref="BJ109"/>
    <mergeCell ref="BJ404"/>
    <mergeCell ref="BJ191"/>
    <mergeCell ref="BJ405"/>
    <mergeCell ref="BJ192"/>
    <mergeCell ref="BJ402"/>
    <mergeCell ref="BJ189"/>
    <mergeCell ref="BJ403"/>
    <mergeCell ref="BJ190"/>
    <mergeCell ref="BJ400"/>
    <mergeCell ref="BJ187"/>
    <mergeCell ref="BJ401"/>
    <mergeCell ref="BJ188"/>
    <mergeCell ref="BJ155"/>
    <mergeCell ref="BJ156"/>
    <mergeCell ref="BJ153"/>
    <mergeCell ref="BJ154"/>
    <mergeCell ref="BJ152"/>
    <mergeCell ref="BJ161"/>
    <mergeCell ref="BJ375"/>
    <mergeCell ref="BJ162"/>
    <mergeCell ref="BJ372"/>
    <mergeCell ref="BJ159"/>
    <mergeCell ref="BJ373"/>
    <mergeCell ref="BJ160"/>
    <mergeCell ref="BJ370"/>
    <mergeCell ref="BJ157"/>
    <mergeCell ref="BJ371"/>
    <mergeCell ref="BJ158"/>
    <mergeCell ref="BJ380"/>
    <mergeCell ref="BJ167"/>
    <mergeCell ref="BJ381"/>
    <mergeCell ref="BJ168"/>
    <mergeCell ref="BJ378"/>
    <mergeCell ref="BJ165"/>
    <mergeCell ref="BJ379"/>
    <mergeCell ref="BJ166"/>
    <mergeCell ref="BJ376"/>
    <mergeCell ref="BJ163"/>
    <mergeCell ref="BJ377"/>
    <mergeCell ref="BJ164"/>
    <mergeCell ref="BJ325"/>
    <mergeCell ref="BJ112"/>
    <mergeCell ref="BJ410"/>
    <mergeCell ref="BJ197"/>
    <mergeCell ref="BJ411"/>
    <mergeCell ref="BJ198"/>
    <mergeCell ref="BJ408"/>
    <mergeCell ref="BJ195"/>
    <mergeCell ref="BJ409"/>
    <mergeCell ref="BJ196"/>
    <mergeCell ref="BJ406"/>
    <mergeCell ref="BJ193"/>
    <mergeCell ref="BJ407"/>
    <mergeCell ref="BJ194"/>
    <mergeCell ref="BJ417"/>
    <mergeCell ref="BJ204"/>
    <mergeCell ref="BJ414"/>
    <mergeCell ref="BJ201"/>
    <mergeCell ref="BJ415"/>
    <mergeCell ref="BJ202"/>
    <mergeCell ref="BJ412"/>
    <mergeCell ref="BJ199"/>
    <mergeCell ref="BJ413"/>
    <mergeCell ref="BJ200"/>
    <mergeCell ref="BJ386"/>
    <mergeCell ref="BJ173"/>
    <mergeCell ref="BJ387"/>
    <mergeCell ref="BJ174"/>
    <mergeCell ref="BJ384"/>
    <mergeCell ref="BJ171"/>
    <mergeCell ref="BJ385"/>
    <mergeCell ref="BJ172"/>
    <mergeCell ref="BJ382"/>
    <mergeCell ref="BJ169"/>
    <mergeCell ref="BJ383"/>
    <mergeCell ref="BJ170"/>
    <mergeCell ref="BJ392"/>
    <mergeCell ref="BJ179"/>
    <mergeCell ref="BJ393"/>
    <mergeCell ref="BJ180"/>
    <mergeCell ref="BJ390"/>
    <mergeCell ref="BJ177"/>
    <mergeCell ref="BJ391"/>
    <mergeCell ref="BJ178"/>
    <mergeCell ref="BJ388"/>
    <mergeCell ref="BJ175"/>
    <mergeCell ref="BJ389"/>
    <mergeCell ref="BJ176"/>
    <mergeCell ref="BJ398"/>
    <mergeCell ref="BJ185"/>
    <mergeCell ref="BJ399"/>
    <mergeCell ref="BJ186"/>
    <mergeCell ref="BJ396"/>
    <mergeCell ref="BJ183"/>
    <mergeCell ref="BJ397"/>
    <mergeCell ref="BJ184"/>
    <mergeCell ref="BJ394"/>
    <mergeCell ref="BJ181"/>
    <mergeCell ref="BJ395"/>
    <mergeCell ref="BJ182"/>
    <mergeCell ref="BJ368"/>
    <mergeCell ref="BJ369"/>
    <mergeCell ref="BJ366"/>
    <mergeCell ref="BJ367"/>
    <mergeCell ref="BJ365"/>
    <mergeCell ref="BJ374"/>
    <mergeCell ref="BK282"/>
    <mergeCell ref="BK69"/>
    <mergeCell ref="BK287"/>
    <mergeCell ref="BK74"/>
    <mergeCell ref="BK286"/>
    <mergeCell ref="BK73"/>
    <mergeCell ref="BK285"/>
    <mergeCell ref="BK72"/>
    <mergeCell ref="BK290"/>
    <mergeCell ref="BK77"/>
    <mergeCell ref="BK289"/>
    <mergeCell ref="BK76"/>
    <mergeCell ref="BK288"/>
    <mergeCell ref="BK75"/>
    <mergeCell ref="BK293"/>
    <mergeCell ref="BK80"/>
    <mergeCell ref="BK292"/>
    <mergeCell ref="BK79"/>
    <mergeCell ref="BK291"/>
    <mergeCell ref="BK78"/>
    <mergeCell ref="BK272"/>
    <mergeCell ref="BK59"/>
    <mergeCell ref="BK271"/>
    <mergeCell ref="BK58"/>
    <mergeCell ref="BK270"/>
    <mergeCell ref="BK57"/>
    <mergeCell ref="BK275"/>
    <mergeCell ref="BK62"/>
    <mergeCell ref="BK274"/>
    <mergeCell ref="BK61"/>
    <mergeCell ref="BK273"/>
    <mergeCell ref="BK60"/>
    <mergeCell ref="BK278"/>
    <mergeCell ref="BK65"/>
    <mergeCell ref="BK277"/>
    <mergeCell ref="BK64"/>
    <mergeCell ref="BK276"/>
    <mergeCell ref="BK63"/>
    <mergeCell ref="BK281"/>
    <mergeCell ref="BK68"/>
    <mergeCell ref="BK280"/>
    <mergeCell ref="BK67"/>
    <mergeCell ref="BK279"/>
    <mergeCell ref="BK66"/>
    <mergeCell ref="BK260"/>
    <mergeCell ref="BK47"/>
    <mergeCell ref="BK259"/>
    <mergeCell ref="BK46"/>
    <mergeCell ref="BK258"/>
    <mergeCell ref="BK45"/>
    <mergeCell ref="BK263"/>
    <mergeCell ref="BK50"/>
    <mergeCell ref="BK262"/>
    <mergeCell ref="BK49"/>
    <mergeCell ref="BK261"/>
    <mergeCell ref="BK48"/>
    <mergeCell ref="BK266"/>
    <mergeCell ref="BK53"/>
    <mergeCell ref="BK265"/>
    <mergeCell ref="BK52"/>
    <mergeCell ref="BK264"/>
    <mergeCell ref="BK51"/>
    <mergeCell ref="BK269"/>
    <mergeCell ref="BK56"/>
    <mergeCell ref="BK268"/>
    <mergeCell ref="BK55"/>
    <mergeCell ref="BK267"/>
    <mergeCell ref="BK54"/>
    <mergeCell ref="BK248"/>
    <mergeCell ref="BK35"/>
    <mergeCell ref="BK247"/>
    <mergeCell ref="BK34"/>
    <mergeCell ref="BK246"/>
    <mergeCell ref="BK33"/>
    <mergeCell ref="BK251"/>
    <mergeCell ref="BK38"/>
    <mergeCell ref="BK250"/>
    <mergeCell ref="BK37"/>
    <mergeCell ref="BK249"/>
    <mergeCell ref="BK36"/>
    <mergeCell ref="BK254"/>
    <mergeCell ref="BK41"/>
    <mergeCell ref="BK253"/>
    <mergeCell ref="BK40"/>
    <mergeCell ref="BK252"/>
    <mergeCell ref="BK39"/>
    <mergeCell ref="BK257"/>
    <mergeCell ref="BK44"/>
    <mergeCell ref="BK256"/>
    <mergeCell ref="BK43"/>
    <mergeCell ref="BK255"/>
    <mergeCell ref="BK42"/>
    <mergeCell ref="BK236"/>
    <mergeCell ref="BK118"/>
    <mergeCell ref="BK71"/>
    <mergeCell ref="BK70"/>
    <mergeCell ref="BK23"/>
    <mergeCell ref="BK235"/>
    <mergeCell ref="BK22"/>
    <mergeCell ref="BK234"/>
    <mergeCell ref="BK21"/>
    <mergeCell ref="BK239"/>
    <mergeCell ref="BK26"/>
    <mergeCell ref="BK238"/>
    <mergeCell ref="BK25"/>
    <mergeCell ref="BK237"/>
    <mergeCell ref="BK24"/>
    <mergeCell ref="BK242"/>
    <mergeCell ref="BK29"/>
    <mergeCell ref="BK241"/>
    <mergeCell ref="BK28"/>
    <mergeCell ref="BK240"/>
    <mergeCell ref="BK27"/>
    <mergeCell ref="BK245"/>
    <mergeCell ref="BK32"/>
    <mergeCell ref="BK244"/>
    <mergeCell ref="BK31"/>
    <mergeCell ref="BK243"/>
    <mergeCell ref="BK30"/>
    <mergeCell ref="BK362"/>
    <mergeCell ref="BK149"/>
    <mergeCell ref="BK361"/>
    <mergeCell ref="BK148"/>
    <mergeCell ref="BK360"/>
    <mergeCell ref="BK147"/>
    <mergeCell ref="BK218"/>
    <mergeCell ref="BK5"/>
    <mergeCell ref="BK217"/>
    <mergeCell ref="BK4"/>
    <mergeCell ref="BK216"/>
    <mergeCell ref="BK353"/>
    <mergeCell ref="BK352"/>
    <mergeCell ref="BK351"/>
    <mergeCell ref="BK356"/>
    <mergeCell ref="BK355"/>
    <mergeCell ref="BK354"/>
    <mergeCell ref="BK359"/>
    <mergeCell ref="BK358"/>
    <mergeCell ref="BK357"/>
    <mergeCell ref="BK347"/>
    <mergeCell ref="BK134"/>
    <mergeCell ref="BK346"/>
    <mergeCell ref="BK133"/>
    <mergeCell ref="BK345"/>
    <mergeCell ref="BK132"/>
    <mergeCell ref="BK326"/>
    <mergeCell ref="BK113"/>
    <mergeCell ref="BK325"/>
    <mergeCell ref="BK112"/>
    <mergeCell ref="BK324"/>
    <mergeCell ref="BK111"/>
    <mergeCell ref="BK329"/>
    <mergeCell ref="BK116"/>
    <mergeCell ref="BK328"/>
    <mergeCell ref="BK115"/>
    <mergeCell ref="BK327"/>
    <mergeCell ref="BK114"/>
    <mergeCell ref="BK332"/>
    <mergeCell ref="BK119"/>
    <mergeCell ref="BK331"/>
    <mergeCell ref="BK3"/>
    <mergeCell ref="BK221"/>
    <mergeCell ref="BK8"/>
    <mergeCell ref="BK220"/>
    <mergeCell ref="BK7"/>
    <mergeCell ref="BK219"/>
    <mergeCell ref="BK6"/>
    <mergeCell ref="BK224"/>
    <mergeCell ref="BK11"/>
    <mergeCell ref="BK223"/>
    <mergeCell ref="BK10"/>
    <mergeCell ref="BK222"/>
    <mergeCell ref="BK9"/>
    <mergeCell ref="BK227"/>
    <mergeCell ref="BK14"/>
    <mergeCell ref="BK226"/>
    <mergeCell ref="BK13"/>
    <mergeCell ref="BK225"/>
    <mergeCell ref="BK12"/>
    <mergeCell ref="BK230"/>
    <mergeCell ref="BK17"/>
    <mergeCell ref="BK229"/>
    <mergeCell ref="BK16"/>
    <mergeCell ref="BK228"/>
    <mergeCell ref="BK15"/>
    <mergeCell ref="BK233"/>
    <mergeCell ref="BK20"/>
    <mergeCell ref="BK232"/>
    <mergeCell ref="BK19"/>
    <mergeCell ref="BK231"/>
    <mergeCell ref="BK18"/>
    <mergeCell ref="BK350"/>
    <mergeCell ref="BK137"/>
    <mergeCell ref="BK349"/>
    <mergeCell ref="BK136"/>
    <mergeCell ref="BK348"/>
    <mergeCell ref="BK135"/>
    <mergeCell ref="BK140"/>
    <mergeCell ref="BK139"/>
    <mergeCell ref="BK138"/>
    <mergeCell ref="BK143"/>
    <mergeCell ref="BK142"/>
    <mergeCell ref="BK141"/>
    <mergeCell ref="BK146"/>
    <mergeCell ref="BK145"/>
    <mergeCell ref="BK144"/>
    <mergeCell ref="BK338"/>
    <mergeCell ref="BK125"/>
    <mergeCell ref="BK337"/>
    <mergeCell ref="BK124"/>
    <mergeCell ref="BK336"/>
    <mergeCell ref="BK123"/>
    <mergeCell ref="BK341"/>
    <mergeCell ref="BK128"/>
    <mergeCell ref="BK340"/>
    <mergeCell ref="BK127"/>
    <mergeCell ref="BK339"/>
    <mergeCell ref="BK126"/>
    <mergeCell ref="BK344"/>
    <mergeCell ref="BK131"/>
    <mergeCell ref="BK343"/>
    <mergeCell ref="BK130"/>
    <mergeCell ref="BK342"/>
    <mergeCell ref="BK129"/>
    <mergeCell ref="BK412"/>
    <mergeCell ref="BK199"/>
    <mergeCell ref="BK411"/>
    <mergeCell ref="BK198"/>
    <mergeCell ref="BK410"/>
    <mergeCell ref="BK197"/>
    <mergeCell ref="BK415"/>
    <mergeCell ref="BK202"/>
    <mergeCell ref="BK414"/>
    <mergeCell ref="BK201"/>
    <mergeCell ref="BK413"/>
    <mergeCell ref="BK200"/>
    <mergeCell ref="BK418"/>
    <mergeCell ref="BK205"/>
    <mergeCell ref="BK417"/>
    <mergeCell ref="BK204"/>
    <mergeCell ref="BK416"/>
    <mergeCell ref="BK203"/>
    <mergeCell ref="BK296"/>
    <mergeCell ref="BK83"/>
    <mergeCell ref="BK425"/>
    <mergeCell ref="BK212"/>
    <mergeCell ref="BK424"/>
    <mergeCell ref="BK211"/>
    <mergeCell ref="BK423"/>
    <mergeCell ref="BK210"/>
    <mergeCell ref="BK422"/>
    <mergeCell ref="BK209"/>
    <mergeCell ref="BK421"/>
    <mergeCell ref="BK208"/>
    <mergeCell ref="BK420"/>
    <mergeCell ref="BK207"/>
    <mergeCell ref="BK419"/>
    <mergeCell ref="BK206"/>
    <mergeCell ref="BK299"/>
    <mergeCell ref="BK86"/>
    <mergeCell ref="BK298"/>
    <mergeCell ref="BK85"/>
    <mergeCell ref="BK297"/>
    <mergeCell ref="BK84"/>
    <mergeCell ref="BK302"/>
    <mergeCell ref="BK89"/>
    <mergeCell ref="BK400"/>
    <mergeCell ref="BK187"/>
    <mergeCell ref="BK399"/>
    <mergeCell ref="BK186"/>
    <mergeCell ref="BK398"/>
    <mergeCell ref="BK185"/>
    <mergeCell ref="BK403"/>
    <mergeCell ref="BK190"/>
    <mergeCell ref="BK402"/>
    <mergeCell ref="BK189"/>
    <mergeCell ref="BK401"/>
    <mergeCell ref="BK188"/>
    <mergeCell ref="BK406"/>
    <mergeCell ref="BK193"/>
    <mergeCell ref="BK405"/>
    <mergeCell ref="BK192"/>
    <mergeCell ref="BK404"/>
    <mergeCell ref="BK191"/>
    <mergeCell ref="BK409"/>
    <mergeCell ref="BK196"/>
    <mergeCell ref="BK408"/>
    <mergeCell ref="BK195"/>
    <mergeCell ref="BL315"/>
    <mergeCell ref="BL320"/>
    <mergeCell ref="BL319"/>
    <mergeCell ref="BL318"/>
    <mergeCell ref="BK407"/>
    <mergeCell ref="BK194"/>
    <mergeCell ref="BK388"/>
    <mergeCell ref="BK175"/>
    <mergeCell ref="BK387"/>
    <mergeCell ref="BK174"/>
    <mergeCell ref="BK386"/>
    <mergeCell ref="BK173"/>
    <mergeCell ref="BK391"/>
    <mergeCell ref="BK178"/>
    <mergeCell ref="BK390"/>
    <mergeCell ref="BK177"/>
    <mergeCell ref="BK389"/>
    <mergeCell ref="BK176"/>
    <mergeCell ref="BK394"/>
    <mergeCell ref="BK181"/>
    <mergeCell ref="BK393"/>
    <mergeCell ref="BK180"/>
    <mergeCell ref="BK392"/>
    <mergeCell ref="BK179"/>
    <mergeCell ref="BK397"/>
    <mergeCell ref="BK184"/>
    <mergeCell ref="BK396"/>
    <mergeCell ref="BK183"/>
    <mergeCell ref="BK395"/>
    <mergeCell ref="BK182"/>
    <mergeCell ref="BK376"/>
    <mergeCell ref="BK163"/>
    <mergeCell ref="BK375"/>
    <mergeCell ref="BK374"/>
    <mergeCell ref="BK379"/>
    <mergeCell ref="BK166"/>
    <mergeCell ref="BK378"/>
    <mergeCell ref="BK165"/>
    <mergeCell ref="BK377"/>
    <mergeCell ref="BK164"/>
    <mergeCell ref="BK382"/>
    <mergeCell ref="BK169"/>
    <mergeCell ref="BK381"/>
    <mergeCell ref="BK168"/>
    <mergeCell ref="BK380"/>
    <mergeCell ref="BK167"/>
    <mergeCell ref="BK385"/>
    <mergeCell ref="BK172"/>
    <mergeCell ref="BK384"/>
    <mergeCell ref="BK171"/>
    <mergeCell ref="BK383"/>
    <mergeCell ref="BK170"/>
    <mergeCell ref="BK330"/>
    <mergeCell ref="BK335"/>
    <mergeCell ref="BK334"/>
    <mergeCell ref="BK333"/>
    <mergeCell ref="BK309"/>
    <mergeCell ref="BK314"/>
    <mergeCell ref="BK313"/>
    <mergeCell ref="BK312"/>
    <mergeCell ref="BK317"/>
    <mergeCell ref="BK316"/>
    <mergeCell ref="BK315"/>
    <mergeCell ref="BK320"/>
    <mergeCell ref="BK367"/>
    <mergeCell ref="BK154"/>
    <mergeCell ref="BK366"/>
    <mergeCell ref="BK153"/>
    <mergeCell ref="BK365"/>
    <mergeCell ref="BK152"/>
    <mergeCell ref="BK370"/>
    <mergeCell ref="BK157"/>
    <mergeCell ref="BK369"/>
    <mergeCell ref="BK156"/>
    <mergeCell ref="BK368"/>
    <mergeCell ref="BK155"/>
    <mergeCell ref="BK373"/>
    <mergeCell ref="BK160"/>
    <mergeCell ref="BK372"/>
    <mergeCell ref="BK159"/>
    <mergeCell ref="BK371"/>
    <mergeCell ref="BK158"/>
    <mergeCell ref="BK301"/>
    <mergeCell ref="BK88"/>
    <mergeCell ref="BK300"/>
    <mergeCell ref="BK87"/>
    <mergeCell ref="BK305"/>
    <mergeCell ref="BK92"/>
    <mergeCell ref="BK304"/>
    <mergeCell ref="BK91"/>
    <mergeCell ref="BK303"/>
    <mergeCell ref="BK90"/>
    <mergeCell ref="BK308"/>
    <mergeCell ref="BK95"/>
    <mergeCell ref="BK307"/>
    <mergeCell ref="BK94"/>
    <mergeCell ref="BK306"/>
    <mergeCell ref="BK93"/>
    <mergeCell ref="BK311"/>
    <mergeCell ref="BK98"/>
    <mergeCell ref="BK310"/>
    <mergeCell ref="BK162"/>
    <mergeCell ref="BK161"/>
    <mergeCell ref="BK117"/>
    <mergeCell ref="BK122"/>
    <mergeCell ref="BK121"/>
    <mergeCell ref="BK120"/>
    <mergeCell ref="BK97"/>
    <mergeCell ref="BK96"/>
    <mergeCell ref="BK101"/>
    <mergeCell ref="BK100"/>
    <mergeCell ref="BK99"/>
    <mergeCell ref="BK104"/>
    <mergeCell ref="BK103"/>
    <mergeCell ref="BK102"/>
    <mergeCell ref="BK107"/>
    <mergeCell ref="BK319"/>
    <mergeCell ref="BK106"/>
    <mergeCell ref="BK318"/>
    <mergeCell ref="BK105"/>
    <mergeCell ref="BK323"/>
    <mergeCell ref="BK110"/>
    <mergeCell ref="BK322"/>
    <mergeCell ref="BK109"/>
    <mergeCell ref="BK321"/>
    <mergeCell ref="BK108"/>
    <mergeCell ref="BK284"/>
    <mergeCell ref="BK283"/>
    <mergeCell ref="BL68"/>
    <mergeCell ref="BL280"/>
    <mergeCell ref="BL67"/>
    <mergeCell ref="BL279"/>
    <mergeCell ref="BL66"/>
    <mergeCell ref="BL284"/>
    <mergeCell ref="BL71"/>
    <mergeCell ref="BL283"/>
    <mergeCell ref="BL70"/>
    <mergeCell ref="BL282"/>
    <mergeCell ref="BL69"/>
    <mergeCell ref="BL287"/>
    <mergeCell ref="BL74"/>
    <mergeCell ref="BL286"/>
    <mergeCell ref="BL73"/>
    <mergeCell ref="BL285"/>
    <mergeCell ref="BL72"/>
    <mergeCell ref="BL290"/>
    <mergeCell ref="BL77"/>
    <mergeCell ref="BL289"/>
    <mergeCell ref="BL76"/>
    <mergeCell ref="BL288"/>
    <mergeCell ref="BL75"/>
    <mergeCell ref="BL269"/>
    <mergeCell ref="BL56"/>
    <mergeCell ref="BL268"/>
    <mergeCell ref="BL55"/>
    <mergeCell ref="BL267"/>
    <mergeCell ref="BL54"/>
    <mergeCell ref="BL272"/>
    <mergeCell ref="BL59"/>
    <mergeCell ref="BL271"/>
    <mergeCell ref="BL58"/>
    <mergeCell ref="BL270"/>
    <mergeCell ref="BL57"/>
    <mergeCell ref="BL275"/>
    <mergeCell ref="BL62"/>
    <mergeCell ref="BL274"/>
    <mergeCell ref="BL61"/>
    <mergeCell ref="BL273"/>
    <mergeCell ref="BL60"/>
    <mergeCell ref="BL278"/>
    <mergeCell ref="BL65"/>
    <mergeCell ref="BL277"/>
    <mergeCell ref="BL64"/>
    <mergeCell ref="BL276"/>
    <mergeCell ref="BL63"/>
    <mergeCell ref="BL257"/>
    <mergeCell ref="BL105"/>
    <mergeCell ref="BL80"/>
    <mergeCell ref="BL79"/>
    <mergeCell ref="BL78"/>
    <mergeCell ref="BL281"/>
    <mergeCell ref="BL44"/>
    <mergeCell ref="BL256"/>
    <mergeCell ref="BL43"/>
    <mergeCell ref="BL255"/>
    <mergeCell ref="BL42"/>
    <mergeCell ref="BL260"/>
    <mergeCell ref="BL47"/>
    <mergeCell ref="BL259"/>
    <mergeCell ref="BL46"/>
    <mergeCell ref="BL258"/>
    <mergeCell ref="BL45"/>
    <mergeCell ref="BL263"/>
    <mergeCell ref="BL50"/>
    <mergeCell ref="BL262"/>
    <mergeCell ref="BL49"/>
    <mergeCell ref="BL261"/>
    <mergeCell ref="BL48"/>
    <mergeCell ref="BL266"/>
    <mergeCell ref="BL53"/>
    <mergeCell ref="BL265"/>
    <mergeCell ref="BL52"/>
    <mergeCell ref="BL264"/>
    <mergeCell ref="BL51"/>
    <mergeCell ref="BL245"/>
    <mergeCell ref="BL32"/>
    <mergeCell ref="BL244"/>
    <mergeCell ref="BL31"/>
    <mergeCell ref="BL243"/>
    <mergeCell ref="BL30"/>
    <mergeCell ref="BL248"/>
    <mergeCell ref="BL35"/>
    <mergeCell ref="BL247"/>
    <mergeCell ref="BL34"/>
    <mergeCell ref="BL246"/>
    <mergeCell ref="BL33"/>
    <mergeCell ref="BL251"/>
    <mergeCell ref="BL38"/>
    <mergeCell ref="BL250"/>
    <mergeCell ref="BL37"/>
    <mergeCell ref="BL249"/>
    <mergeCell ref="BL36"/>
    <mergeCell ref="BL254"/>
    <mergeCell ref="BL41"/>
    <mergeCell ref="BL253"/>
    <mergeCell ref="BL40"/>
    <mergeCell ref="BL252"/>
    <mergeCell ref="BL39"/>
    <mergeCell ref="BL233"/>
    <mergeCell ref="BL115"/>
    <mergeCell ref="BL114"/>
    <mergeCell ref="BL119"/>
    <mergeCell ref="BL118"/>
    <mergeCell ref="BL117"/>
    <mergeCell ref="BL98"/>
    <mergeCell ref="BL97"/>
    <mergeCell ref="BL96"/>
    <mergeCell ref="BL101"/>
    <mergeCell ref="BL100"/>
    <mergeCell ref="BL99"/>
    <mergeCell ref="BL104"/>
    <mergeCell ref="BL103"/>
    <mergeCell ref="BL102"/>
    <mergeCell ref="BL107"/>
    <mergeCell ref="BL106"/>
    <mergeCell ref="BL20"/>
    <mergeCell ref="BL232"/>
    <mergeCell ref="BL19"/>
    <mergeCell ref="BL231"/>
    <mergeCell ref="BL18"/>
    <mergeCell ref="BL236"/>
    <mergeCell ref="BL23"/>
    <mergeCell ref="BL235"/>
    <mergeCell ref="BL22"/>
    <mergeCell ref="BL234"/>
    <mergeCell ref="BL21"/>
    <mergeCell ref="BL239"/>
    <mergeCell ref="BL26"/>
    <mergeCell ref="BL238"/>
    <mergeCell ref="BL25"/>
    <mergeCell ref="BL237"/>
    <mergeCell ref="BL24"/>
    <mergeCell ref="BL242"/>
    <mergeCell ref="BL29"/>
    <mergeCell ref="BL241"/>
    <mergeCell ref="BL28"/>
    <mergeCell ref="BL240"/>
    <mergeCell ref="BL27"/>
    <mergeCell ref="BL359"/>
    <mergeCell ref="BL146"/>
    <mergeCell ref="BL358"/>
    <mergeCell ref="BL145"/>
    <mergeCell ref="BL357"/>
    <mergeCell ref="BL144"/>
    <mergeCell ref="BL362"/>
    <mergeCell ref="BL149"/>
    <mergeCell ref="BL361"/>
    <mergeCell ref="BL148"/>
    <mergeCell ref="BL360"/>
    <mergeCell ref="BL147"/>
    <mergeCell ref="BL218"/>
    <mergeCell ref="BL350"/>
    <mergeCell ref="BL349"/>
    <mergeCell ref="BL348"/>
    <mergeCell ref="BL353"/>
    <mergeCell ref="BL352"/>
    <mergeCell ref="BL351"/>
    <mergeCell ref="BL356"/>
    <mergeCell ref="BL355"/>
    <mergeCell ref="BL354"/>
    <mergeCell ref="BL343"/>
    <mergeCell ref="BL130"/>
    <mergeCell ref="BL342"/>
    <mergeCell ref="BL129"/>
    <mergeCell ref="BL323"/>
    <mergeCell ref="BL110"/>
    <mergeCell ref="BL322"/>
    <mergeCell ref="BL109"/>
    <mergeCell ref="BL321"/>
    <mergeCell ref="BL108"/>
    <mergeCell ref="BL326"/>
    <mergeCell ref="BL113"/>
    <mergeCell ref="BL325"/>
    <mergeCell ref="BL112"/>
    <mergeCell ref="BL324"/>
    <mergeCell ref="BL111"/>
    <mergeCell ref="BL329"/>
    <mergeCell ref="BL116"/>
    <mergeCell ref="BL328"/>
    <mergeCell ref="BL5"/>
    <mergeCell ref="BL217"/>
    <mergeCell ref="BL4"/>
    <mergeCell ref="BL216"/>
    <mergeCell ref="BL3"/>
    <mergeCell ref="BL221"/>
    <mergeCell ref="BL8"/>
    <mergeCell ref="BL220"/>
    <mergeCell ref="BL7"/>
    <mergeCell ref="BL219"/>
    <mergeCell ref="BL6"/>
    <mergeCell ref="BL224"/>
    <mergeCell ref="BL11"/>
    <mergeCell ref="BL223"/>
    <mergeCell ref="BL10"/>
    <mergeCell ref="BL222"/>
    <mergeCell ref="BL9"/>
    <mergeCell ref="BL227"/>
    <mergeCell ref="BL14"/>
    <mergeCell ref="BL226"/>
    <mergeCell ref="BL13"/>
    <mergeCell ref="BL225"/>
    <mergeCell ref="BL12"/>
    <mergeCell ref="BL230"/>
    <mergeCell ref="BL17"/>
    <mergeCell ref="BL229"/>
    <mergeCell ref="BL16"/>
    <mergeCell ref="BL228"/>
    <mergeCell ref="BL15"/>
    <mergeCell ref="BL347"/>
    <mergeCell ref="BL134"/>
    <mergeCell ref="BL346"/>
    <mergeCell ref="BL133"/>
    <mergeCell ref="BL345"/>
    <mergeCell ref="BL132"/>
    <mergeCell ref="BL137"/>
    <mergeCell ref="BL136"/>
    <mergeCell ref="BL135"/>
    <mergeCell ref="BL140"/>
    <mergeCell ref="BL139"/>
    <mergeCell ref="BL138"/>
    <mergeCell ref="BL143"/>
    <mergeCell ref="BL142"/>
    <mergeCell ref="BL141"/>
    <mergeCell ref="BL335"/>
    <mergeCell ref="BL122"/>
    <mergeCell ref="BL334"/>
    <mergeCell ref="BL121"/>
    <mergeCell ref="BL333"/>
    <mergeCell ref="BL120"/>
    <mergeCell ref="BL338"/>
    <mergeCell ref="BL125"/>
    <mergeCell ref="BL337"/>
    <mergeCell ref="BL124"/>
    <mergeCell ref="BL336"/>
    <mergeCell ref="BL123"/>
    <mergeCell ref="BL341"/>
    <mergeCell ref="BL128"/>
    <mergeCell ref="BL340"/>
    <mergeCell ref="BL127"/>
    <mergeCell ref="BL339"/>
    <mergeCell ref="BL126"/>
    <mergeCell ref="BL344"/>
    <mergeCell ref="BL131"/>
    <mergeCell ref="BL412"/>
    <mergeCell ref="BL199"/>
    <mergeCell ref="BL411"/>
    <mergeCell ref="BL198"/>
    <mergeCell ref="BL410"/>
    <mergeCell ref="BL197"/>
    <mergeCell ref="BL415"/>
    <mergeCell ref="BL202"/>
    <mergeCell ref="BL414"/>
    <mergeCell ref="BL201"/>
    <mergeCell ref="BL413"/>
    <mergeCell ref="BL200"/>
    <mergeCell ref="BL418"/>
    <mergeCell ref="BL205"/>
    <mergeCell ref="BL417"/>
    <mergeCell ref="BL204"/>
    <mergeCell ref="BL416"/>
    <mergeCell ref="BL203"/>
    <mergeCell ref="BL296"/>
    <mergeCell ref="BL83"/>
    <mergeCell ref="BL425"/>
    <mergeCell ref="BL212"/>
    <mergeCell ref="BL424"/>
    <mergeCell ref="BL211"/>
    <mergeCell ref="BL423"/>
    <mergeCell ref="BL210"/>
    <mergeCell ref="BL422"/>
    <mergeCell ref="BL209"/>
    <mergeCell ref="BL421"/>
    <mergeCell ref="BL208"/>
    <mergeCell ref="BL420"/>
    <mergeCell ref="BL207"/>
    <mergeCell ref="BL419"/>
    <mergeCell ref="BL206"/>
    <mergeCell ref="BL299"/>
    <mergeCell ref="BL86"/>
    <mergeCell ref="BL298"/>
    <mergeCell ref="BL85"/>
    <mergeCell ref="BL297"/>
    <mergeCell ref="BL84"/>
    <mergeCell ref="BL302"/>
    <mergeCell ref="BL89"/>
    <mergeCell ref="BL400"/>
    <mergeCell ref="BL187"/>
    <mergeCell ref="BL399"/>
    <mergeCell ref="BL186"/>
    <mergeCell ref="BL398"/>
    <mergeCell ref="BL185"/>
    <mergeCell ref="BL403"/>
    <mergeCell ref="BL190"/>
    <mergeCell ref="BL402"/>
    <mergeCell ref="BL189"/>
    <mergeCell ref="BL401"/>
    <mergeCell ref="BL188"/>
    <mergeCell ref="BL406"/>
    <mergeCell ref="BL193"/>
    <mergeCell ref="BL405"/>
    <mergeCell ref="BL192"/>
    <mergeCell ref="BL404"/>
    <mergeCell ref="BL191"/>
    <mergeCell ref="BL409"/>
    <mergeCell ref="BL196"/>
    <mergeCell ref="BL408"/>
    <mergeCell ref="BL195"/>
    <mergeCell ref="BL407"/>
    <mergeCell ref="BL194"/>
    <mergeCell ref="BL388"/>
    <mergeCell ref="BL175"/>
    <mergeCell ref="BL387"/>
    <mergeCell ref="BL174"/>
    <mergeCell ref="BL386"/>
    <mergeCell ref="BL173"/>
    <mergeCell ref="BL391"/>
    <mergeCell ref="BL178"/>
    <mergeCell ref="BL390"/>
    <mergeCell ref="BL177"/>
    <mergeCell ref="BL389"/>
    <mergeCell ref="BL176"/>
    <mergeCell ref="BL394"/>
    <mergeCell ref="BL181"/>
    <mergeCell ref="BL393"/>
    <mergeCell ref="BL180"/>
    <mergeCell ref="BL392"/>
    <mergeCell ref="BL179"/>
    <mergeCell ref="BL397"/>
    <mergeCell ref="BL184"/>
    <mergeCell ref="BL396"/>
    <mergeCell ref="BL183"/>
    <mergeCell ref="BL395"/>
    <mergeCell ref="BL182"/>
    <mergeCell ref="BL376"/>
    <mergeCell ref="BL163"/>
    <mergeCell ref="BL375"/>
    <mergeCell ref="BL162"/>
    <mergeCell ref="BL374"/>
    <mergeCell ref="BL161"/>
    <mergeCell ref="BL379"/>
    <mergeCell ref="BL166"/>
    <mergeCell ref="BL378"/>
    <mergeCell ref="BL165"/>
    <mergeCell ref="BL377"/>
    <mergeCell ref="BL164"/>
    <mergeCell ref="BL382"/>
    <mergeCell ref="BL169"/>
    <mergeCell ref="BL381"/>
    <mergeCell ref="BL168"/>
    <mergeCell ref="BL380"/>
    <mergeCell ref="BL167"/>
    <mergeCell ref="BL385"/>
    <mergeCell ref="BL172"/>
    <mergeCell ref="BL384"/>
    <mergeCell ref="BL171"/>
    <mergeCell ref="BL383"/>
    <mergeCell ref="BL170"/>
    <mergeCell ref="BL293"/>
    <mergeCell ref="BL292"/>
    <mergeCell ref="BL291"/>
    <mergeCell ref="BL327"/>
    <mergeCell ref="BL332"/>
    <mergeCell ref="BL331"/>
    <mergeCell ref="BL330"/>
    <mergeCell ref="BL310"/>
    <mergeCell ref="BL309"/>
    <mergeCell ref="BL314"/>
    <mergeCell ref="BL313"/>
    <mergeCell ref="BL312"/>
    <mergeCell ref="BL317"/>
    <mergeCell ref="BL316"/>
    <mergeCell ref="BM292"/>
    <mergeCell ref="BM79"/>
    <mergeCell ref="BM293"/>
    <mergeCell ref="BM80"/>
    <mergeCell ref="BM290"/>
    <mergeCell ref="BM77"/>
    <mergeCell ref="BM291"/>
    <mergeCell ref="BM78"/>
    <mergeCell ref="BL367"/>
    <mergeCell ref="BL154"/>
    <mergeCell ref="BL366"/>
    <mergeCell ref="BL153"/>
    <mergeCell ref="BL365"/>
    <mergeCell ref="BL152"/>
    <mergeCell ref="BL370"/>
    <mergeCell ref="BL157"/>
    <mergeCell ref="BL369"/>
    <mergeCell ref="BL156"/>
    <mergeCell ref="BL368"/>
    <mergeCell ref="BL155"/>
    <mergeCell ref="BL373"/>
    <mergeCell ref="BL160"/>
    <mergeCell ref="BL372"/>
    <mergeCell ref="BL159"/>
    <mergeCell ref="BL371"/>
    <mergeCell ref="BL158"/>
    <mergeCell ref="BL301"/>
    <mergeCell ref="BL88"/>
    <mergeCell ref="BL300"/>
    <mergeCell ref="BL87"/>
    <mergeCell ref="BL305"/>
    <mergeCell ref="BL92"/>
    <mergeCell ref="BL304"/>
    <mergeCell ref="BL91"/>
    <mergeCell ref="BL303"/>
    <mergeCell ref="BL90"/>
    <mergeCell ref="BL308"/>
    <mergeCell ref="BL95"/>
    <mergeCell ref="BL307"/>
    <mergeCell ref="BL94"/>
    <mergeCell ref="BL306"/>
    <mergeCell ref="BL93"/>
    <mergeCell ref="BL311"/>
    <mergeCell ref="BM280"/>
    <mergeCell ref="BM322"/>
    <mergeCell ref="BM323"/>
    <mergeCell ref="BM328"/>
    <mergeCell ref="BM329"/>
    <mergeCell ref="BM326"/>
    <mergeCell ref="BM327"/>
    <mergeCell ref="BM302"/>
    <mergeCell ref="BM303"/>
    <mergeCell ref="BM308"/>
    <mergeCell ref="BM309"/>
    <mergeCell ref="BM306"/>
    <mergeCell ref="BM307"/>
    <mergeCell ref="BM312"/>
    <mergeCell ref="BM313"/>
    <mergeCell ref="BM310"/>
    <mergeCell ref="BM311"/>
    <mergeCell ref="BM316"/>
    <mergeCell ref="BM317"/>
    <mergeCell ref="BM314"/>
    <mergeCell ref="BM315"/>
    <mergeCell ref="BM75"/>
    <mergeCell ref="BM289"/>
    <mergeCell ref="BM76"/>
    <mergeCell ref="BM286"/>
    <mergeCell ref="BM73"/>
    <mergeCell ref="BM287"/>
    <mergeCell ref="BM74"/>
    <mergeCell ref="BM268"/>
    <mergeCell ref="BM55"/>
    <mergeCell ref="BM269"/>
    <mergeCell ref="BM56"/>
    <mergeCell ref="BM266"/>
    <mergeCell ref="BM53"/>
    <mergeCell ref="BM267"/>
    <mergeCell ref="BM54"/>
    <mergeCell ref="BM272"/>
    <mergeCell ref="BM59"/>
    <mergeCell ref="BM273"/>
    <mergeCell ref="BM60"/>
    <mergeCell ref="BM270"/>
    <mergeCell ref="BM57"/>
    <mergeCell ref="BM271"/>
    <mergeCell ref="BM58"/>
    <mergeCell ref="BM276"/>
    <mergeCell ref="BM63"/>
    <mergeCell ref="BM277"/>
    <mergeCell ref="BM64"/>
    <mergeCell ref="BM274"/>
    <mergeCell ref="BM61"/>
    <mergeCell ref="BM275"/>
    <mergeCell ref="BM62"/>
    <mergeCell ref="BM256"/>
    <mergeCell ref="BM98"/>
    <mergeCell ref="BM103"/>
    <mergeCell ref="BM104"/>
    <mergeCell ref="BM101"/>
    <mergeCell ref="BM102"/>
    <mergeCell ref="BM154"/>
    <mergeCell ref="BM155"/>
    <mergeCell ref="BM152"/>
    <mergeCell ref="BM153"/>
    <mergeCell ref="BM158"/>
    <mergeCell ref="BM159"/>
    <mergeCell ref="BM156"/>
    <mergeCell ref="BM157"/>
    <mergeCell ref="BM162"/>
    <mergeCell ref="BM163"/>
    <mergeCell ref="BM160"/>
    <mergeCell ref="BM161"/>
    <mergeCell ref="BM67"/>
    <mergeCell ref="BM68"/>
    <mergeCell ref="BM65"/>
    <mergeCell ref="BM279"/>
    <mergeCell ref="BM66"/>
    <mergeCell ref="BM284"/>
    <mergeCell ref="BM71"/>
    <mergeCell ref="BM285"/>
    <mergeCell ref="BM72"/>
    <mergeCell ref="BM282"/>
    <mergeCell ref="BM69"/>
    <mergeCell ref="BM283"/>
    <mergeCell ref="BM70"/>
    <mergeCell ref="BM288"/>
    <mergeCell ref="BM43"/>
    <mergeCell ref="BM257"/>
    <mergeCell ref="BM44"/>
    <mergeCell ref="BM254"/>
    <mergeCell ref="BM41"/>
    <mergeCell ref="BM255"/>
    <mergeCell ref="BM42"/>
    <mergeCell ref="BM260"/>
    <mergeCell ref="BM47"/>
    <mergeCell ref="BM261"/>
    <mergeCell ref="BM48"/>
    <mergeCell ref="BM258"/>
    <mergeCell ref="BM45"/>
    <mergeCell ref="BM259"/>
    <mergeCell ref="BM46"/>
    <mergeCell ref="BM264"/>
    <mergeCell ref="BM51"/>
    <mergeCell ref="BM265"/>
    <mergeCell ref="BM52"/>
    <mergeCell ref="BM262"/>
    <mergeCell ref="BM49"/>
    <mergeCell ref="BM263"/>
    <mergeCell ref="BM50"/>
    <mergeCell ref="BM244"/>
    <mergeCell ref="BM31"/>
    <mergeCell ref="BM245"/>
    <mergeCell ref="BM32"/>
    <mergeCell ref="BM242"/>
    <mergeCell ref="BM29"/>
    <mergeCell ref="BM243"/>
    <mergeCell ref="BM30"/>
    <mergeCell ref="BM248"/>
    <mergeCell ref="BM35"/>
    <mergeCell ref="BM249"/>
    <mergeCell ref="BM36"/>
    <mergeCell ref="BM246"/>
    <mergeCell ref="BM33"/>
    <mergeCell ref="BM247"/>
    <mergeCell ref="BM34"/>
    <mergeCell ref="BM252"/>
    <mergeCell ref="BM39"/>
    <mergeCell ref="BM253"/>
    <mergeCell ref="BM40"/>
    <mergeCell ref="BM250"/>
    <mergeCell ref="BM37"/>
    <mergeCell ref="BM251"/>
    <mergeCell ref="BM38"/>
    <mergeCell ref="BM226"/>
    <mergeCell ref="BM112"/>
    <mergeCell ref="BM109"/>
    <mergeCell ref="BM110"/>
    <mergeCell ref="BM115"/>
    <mergeCell ref="BM116"/>
    <mergeCell ref="BM113"/>
    <mergeCell ref="BM114"/>
    <mergeCell ref="BM89"/>
    <mergeCell ref="BM90"/>
    <mergeCell ref="BM95"/>
    <mergeCell ref="BM96"/>
    <mergeCell ref="BM93"/>
    <mergeCell ref="BM94"/>
    <mergeCell ref="BM99"/>
    <mergeCell ref="BM100"/>
    <mergeCell ref="BM97"/>
    <mergeCell ref="BM13"/>
    <mergeCell ref="BM227"/>
    <mergeCell ref="BM14"/>
    <mergeCell ref="BM232"/>
    <mergeCell ref="BM19"/>
    <mergeCell ref="BM233"/>
    <mergeCell ref="BM20"/>
    <mergeCell ref="BM230"/>
    <mergeCell ref="BM17"/>
    <mergeCell ref="BM231"/>
    <mergeCell ref="BM18"/>
    <mergeCell ref="BM236"/>
    <mergeCell ref="BM23"/>
    <mergeCell ref="BM237"/>
    <mergeCell ref="BM24"/>
    <mergeCell ref="BM234"/>
    <mergeCell ref="BM21"/>
    <mergeCell ref="BM235"/>
    <mergeCell ref="BM22"/>
    <mergeCell ref="BM240"/>
    <mergeCell ref="BM27"/>
    <mergeCell ref="BM241"/>
    <mergeCell ref="BM28"/>
    <mergeCell ref="BM238"/>
    <mergeCell ref="BM25"/>
    <mergeCell ref="BM239"/>
    <mergeCell ref="BM26"/>
    <mergeCell ref="BM357"/>
    <mergeCell ref="BM144"/>
    <mergeCell ref="BM354"/>
    <mergeCell ref="BM141"/>
    <mergeCell ref="BM355"/>
    <mergeCell ref="BM142"/>
    <mergeCell ref="BM216"/>
    <mergeCell ref="BM117"/>
    <mergeCell ref="BM331"/>
    <mergeCell ref="BM118"/>
    <mergeCell ref="BM336"/>
    <mergeCell ref="BM123"/>
    <mergeCell ref="BM337"/>
    <mergeCell ref="BM124"/>
    <mergeCell ref="BM334"/>
    <mergeCell ref="BM121"/>
    <mergeCell ref="BM335"/>
    <mergeCell ref="BM122"/>
    <mergeCell ref="BM340"/>
    <mergeCell ref="BM127"/>
    <mergeCell ref="BM341"/>
    <mergeCell ref="BM128"/>
    <mergeCell ref="BM338"/>
    <mergeCell ref="BM125"/>
    <mergeCell ref="BM339"/>
    <mergeCell ref="BM126"/>
    <mergeCell ref="BM320"/>
    <mergeCell ref="BM107"/>
    <mergeCell ref="BM321"/>
    <mergeCell ref="BM108"/>
    <mergeCell ref="BM318"/>
    <mergeCell ref="BM105"/>
    <mergeCell ref="BM319"/>
    <mergeCell ref="BM106"/>
    <mergeCell ref="BM324"/>
    <mergeCell ref="BM111"/>
    <mergeCell ref="BM325"/>
    <mergeCell ref="BM3"/>
    <mergeCell ref="BM217"/>
    <mergeCell ref="BM4"/>
    <mergeCell ref="BM362"/>
    <mergeCell ref="BM149"/>
    <mergeCell ref="BM360"/>
    <mergeCell ref="BM147"/>
    <mergeCell ref="BM361"/>
    <mergeCell ref="BM148"/>
    <mergeCell ref="BM358"/>
    <mergeCell ref="BM145"/>
    <mergeCell ref="BM359"/>
    <mergeCell ref="BM146"/>
    <mergeCell ref="BM356"/>
    <mergeCell ref="BM143"/>
    <mergeCell ref="BM220"/>
    <mergeCell ref="BM7"/>
    <mergeCell ref="BM221"/>
    <mergeCell ref="BM8"/>
    <mergeCell ref="BM218"/>
    <mergeCell ref="BM5"/>
    <mergeCell ref="BM219"/>
    <mergeCell ref="BM6"/>
    <mergeCell ref="BM224"/>
    <mergeCell ref="BM11"/>
    <mergeCell ref="BM225"/>
    <mergeCell ref="BM12"/>
    <mergeCell ref="BM222"/>
    <mergeCell ref="BM9"/>
    <mergeCell ref="BM223"/>
    <mergeCell ref="BM10"/>
    <mergeCell ref="BM228"/>
    <mergeCell ref="BM15"/>
    <mergeCell ref="BM229"/>
    <mergeCell ref="BM16"/>
    <mergeCell ref="BM344"/>
    <mergeCell ref="BM131"/>
    <mergeCell ref="BM345"/>
    <mergeCell ref="BM132"/>
    <mergeCell ref="BM342"/>
    <mergeCell ref="BM129"/>
    <mergeCell ref="BM343"/>
    <mergeCell ref="BM130"/>
    <mergeCell ref="BM348"/>
    <mergeCell ref="BM135"/>
    <mergeCell ref="BM349"/>
    <mergeCell ref="BM136"/>
    <mergeCell ref="BM346"/>
    <mergeCell ref="BM133"/>
    <mergeCell ref="BM347"/>
    <mergeCell ref="BM134"/>
    <mergeCell ref="BM352"/>
    <mergeCell ref="BM139"/>
    <mergeCell ref="BM353"/>
    <mergeCell ref="BM140"/>
    <mergeCell ref="BM350"/>
    <mergeCell ref="BM137"/>
    <mergeCell ref="BM351"/>
    <mergeCell ref="BM138"/>
    <mergeCell ref="BM332"/>
    <mergeCell ref="BM119"/>
    <mergeCell ref="BM333"/>
    <mergeCell ref="BM120"/>
    <mergeCell ref="BM330"/>
    <mergeCell ref="BM415"/>
    <mergeCell ref="BM202"/>
    <mergeCell ref="BM416"/>
    <mergeCell ref="BM203"/>
    <mergeCell ref="BM413"/>
    <mergeCell ref="BM200"/>
    <mergeCell ref="BM414"/>
    <mergeCell ref="BM201"/>
    <mergeCell ref="BM420"/>
    <mergeCell ref="BM207"/>
    <mergeCell ref="BM417"/>
    <mergeCell ref="BM204"/>
    <mergeCell ref="BM418"/>
    <mergeCell ref="BM205"/>
    <mergeCell ref="BM296"/>
    <mergeCell ref="BM83"/>
    <mergeCell ref="BM297"/>
    <mergeCell ref="BM84"/>
    <mergeCell ref="BM425"/>
    <mergeCell ref="BM212"/>
    <mergeCell ref="BM423"/>
    <mergeCell ref="BM210"/>
    <mergeCell ref="BM424"/>
    <mergeCell ref="BM211"/>
    <mergeCell ref="BM421"/>
    <mergeCell ref="BM208"/>
    <mergeCell ref="BM422"/>
    <mergeCell ref="BM209"/>
    <mergeCell ref="BM419"/>
    <mergeCell ref="BM206"/>
    <mergeCell ref="BM300"/>
    <mergeCell ref="BM87"/>
    <mergeCell ref="BM301"/>
    <mergeCell ref="BM88"/>
    <mergeCell ref="BM298"/>
    <mergeCell ref="BM85"/>
    <mergeCell ref="BM299"/>
    <mergeCell ref="BM86"/>
    <mergeCell ref="BM304"/>
    <mergeCell ref="BM91"/>
    <mergeCell ref="BM305"/>
    <mergeCell ref="BM92"/>
    <mergeCell ref="BM403"/>
    <mergeCell ref="BM190"/>
    <mergeCell ref="BM404"/>
    <mergeCell ref="BM191"/>
    <mergeCell ref="BM401"/>
    <mergeCell ref="BM188"/>
    <mergeCell ref="BM402"/>
    <mergeCell ref="BM189"/>
    <mergeCell ref="BM407"/>
    <mergeCell ref="BM194"/>
    <mergeCell ref="BM408"/>
    <mergeCell ref="BM195"/>
    <mergeCell ref="BM405"/>
    <mergeCell ref="BM192"/>
    <mergeCell ref="BM406"/>
    <mergeCell ref="BM193"/>
    <mergeCell ref="BM411"/>
    <mergeCell ref="BM198"/>
    <mergeCell ref="BM412"/>
    <mergeCell ref="BM199"/>
    <mergeCell ref="BM409"/>
    <mergeCell ref="BM196"/>
    <mergeCell ref="BM410"/>
    <mergeCell ref="BM197"/>
    <mergeCell ref="BM391"/>
    <mergeCell ref="BM178"/>
    <mergeCell ref="BM392"/>
    <mergeCell ref="BM179"/>
    <mergeCell ref="BM389"/>
    <mergeCell ref="BM176"/>
    <mergeCell ref="BM390"/>
    <mergeCell ref="BM177"/>
    <mergeCell ref="BM395"/>
    <mergeCell ref="BM182"/>
    <mergeCell ref="BM396"/>
    <mergeCell ref="BM183"/>
    <mergeCell ref="BM393"/>
    <mergeCell ref="BM180"/>
    <mergeCell ref="BM394"/>
    <mergeCell ref="BM181"/>
    <mergeCell ref="BM399"/>
    <mergeCell ref="BM186"/>
    <mergeCell ref="BM400"/>
    <mergeCell ref="BM187"/>
    <mergeCell ref="BM397"/>
    <mergeCell ref="BM184"/>
    <mergeCell ref="BM398"/>
    <mergeCell ref="BM185"/>
    <mergeCell ref="BM379"/>
    <mergeCell ref="BM166"/>
    <mergeCell ref="BM380"/>
    <mergeCell ref="BM167"/>
    <mergeCell ref="BM377"/>
    <mergeCell ref="BM164"/>
    <mergeCell ref="BM378"/>
    <mergeCell ref="BM165"/>
    <mergeCell ref="BM383"/>
    <mergeCell ref="BM170"/>
    <mergeCell ref="BM384"/>
    <mergeCell ref="BM171"/>
    <mergeCell ref="BM381"/>
    <mergeCell ref="BM168"/>
    <mergeCell ref="BM382"/>
    <mergeCell ref="BM169"/>
    <mergeCell ref="BM387"/>
    <mergeCell ref="BM174"/>
    <mergeCell ref="BM388"/>
    <mergeCell ref="BM175"/>
    <mergeCell ref="BM385"/>
    <mergeCell ref="BM172"/>
    <mergeCell ref="BM386"/>
    <mergeCell ref="BM173"/>
    <mergeCell ref="BM367"/>
    <mergeCell ref="BM368"/>
    <mergeCell ref="BM365"/>
    <mergeCell ref="BM366"/>
    <mergeCell ref="BM371"/>
    <mergeCell ref="BM372"/>
    <mergeCell ref="BM369"/>
    <mergeCell ref="BM370"/>
    <mergeCell ref="BM375"/>
    <mergeCell ref="BM376"/>
    <mergeCell ref="BM373"/>
    <mergeCell ref="BM374"/>
    <mergeCell ref="BM281"/>
    <mergeCell ref="BM278"/>
    <mergeCell ref="BN36"/>
    <mergeCell ref="BN254"/>
    <mergeCell ref="BN41"/>
    <mergeCell ref="BN253"/>
    <mergeCell ref="BN40"/>
    <mergeCell ref="BN252"/>
    <mergeCell ref="BN39"/>
    <mergeCell ref="BN257"/>
    <mergeCell ref="BN44"/>
    <mergeCell ref="BN256"/>
    <mergeCell ref="BN43"/>
    <mergeCell ref="BN255"/>
    <mergeCell ref="BN42"/>
    <mergeCell ref="BN236"/>
    <mergeCell ref="BN118"/>
    <mergeCell ref="BN117"/>
    <mergeCell ref="BN284"/>
    <mergeCell ref="BN71"/>
    <mergeCell ref="BN283"/>
    <mergeCell ref="BN70"/>
    <mergeCell ref="BN282"/>
    <mergeCell ref="BN69"/>
    <mergeCell ref="BN287"/>
    <mergeCell ref="BN74"/>
    <mergeCell ref="BN286"/>
    <mergeCell ref="BN73"/>
    <mergeCell ref="BN285"/>
    <mergeCell ref="BN72"/>
    <mergeCell ref="BN290"/>
    <mergeCell ref="BN77"/>
    <mergeCell ref="BN289"/>
    <mergeCell ref="BN76"/>
    <mergeCell ref="BN288"/>
    <mergeCell ref="BN75"/>
    <mergeCell ref="BN80"/>
    <mergeCell ref="BN79"/>
    <mergeCell ref="BN78"/>
    <mergeCell ref="BN272"/>
    <mergeCell ref="BN59"/>
    <mergeCell ref="BN271"/>
    <mergeCell ref="BN58"/>
    <mergeCell ref="BN270"/>
    <mergeCell ref="BN57"/>
    <mergeCell ref="BN275"/>
    <mergeCell ref="BN62"/>
    <mergeCell ref="BN274"/>
    <mergeCell ref="BN61"/>
    <mergeCell ref="BN273"/>
    <mergeCell ref="BN60"/>
    <mergeCell ref="BN278"/>
    <mergeCell ref="BN65"/>
    <mergeCell ref="BN277"/>
    <mergeCell ref="BN64"/>
    <mergeCell ref="BN276"/>
    <mergeCell ref="BN63"/>
    <mergeCell ref="BN281"/>
    <mergeCell ref="BN68"/>
    <mergeCell ref="BN280"/>
    <mergeCell ref="BN67"/>
    <mergeCell ref="BN279"/>
    <mergeCell ref="BN66"/>
    <mergeCell ref="BN260"/>
    <mergeCell ref="BN21"/>
    <mergeCell ref="BN239"/>
    <mergeCell ref="BN26"/>
    <mergeCell ref="BN238"/>
    <mergeCell ref="BN25"/>
    <mergeCell ref="BN237"/>
    <mergeCell ref="BN24"/>
    <mergeCell ref="BN242"/>
    <mergeCell ref="BN29"/>
    <mergeCell ref="BN241"/>
    <mergeCell ref="BN28"/>
    <mergeCell ref="BN240"/>
    <mergeCell ref="BN27"/>
    <mergeCell ref="BN245"/>
    <mergeCell ref="BN32"/>
    <mergeCell ref="BN244"/>
    <mergeCell ref="BN31"/>
    <mergeCell ref="BN243"/>
    <mergeCell ref="BN30"/>
    <mergeCell ref="BN362"/>
    <mergeCell ref="BN149"/>
    <mergeCell ref="BN361"/>
    <mergeCell ref="BN148"/>
    <mergeCell ref="BN360"/>
    <mergeCell ref="BN147"/>
    <mergeCell ref="BN218"/>
    <mergeCell ref="BN5"/>
    <mergeCell ref="BN217"/>
    <mergeCell ref="BN4"/>
    <mergeCell ref="BN216"/>
    <mergeCell ref="BN353"/>
    <mergeCell ref="BN352"/>
    <mergeCell ref="BN351"/>
    <mergeCell ref="BN356"/>
    <mergeCell ref="BN355"/>
    <mergeCell ref="BN354"/>
    <mergeCell ref="BN359"/>
    <mergeCell ref="BN358"/>
    <mergeCell ref="BN357"/>
    <mergeCell ref="BN347"/>
    <mergeCell ref="BN134"/>
    <mergeCell ref="BN346"/>
    <mergeCell ref="BN133"/>
    <mergeCell ref="BN345"/>
    <mergeCell ref="BN132"/>
    <mergeCell ref="BN326"/>
    <mergeCell ref="BN113"/>
    <mergeCell ref="BN325"/>
    <mergeCell ref="BN112"/>
    <mergeCell ref="BN324"/>
    <mergeCell ref="BN111"/>
    <mergeCell ref="BN329"/>
    <mergeCell ref="BN116"/>
    <mergeCell ref="BN328"/>
    <mergeCell ref="BN115"/>
    <mergeCell ref="BN327"/>
    <mergeCell ref="BN114"/>
    <mergeCell ref="BN332"/>
    <mergeCell ref="BN119"/>
    <mergeCell ref="BN331"/>
    <mergeCell ref="BN47"/>
    <mergeCell ref="BN259"/>
    <mergeCell ref="BN46"/>
    <mergeCell ref="BN258"/>
    <mergeCell ref="BN136"/>
    <mergeCell ref="BN348"/>
    <mergeCell ref="BN135"/>
    <mergeCell ref="BN140"/>
    <mergeCell ref="BN139"/>
    <mergeCell ref="BN138"/>
    <mergeCell ref="BN143"/>
    <mergeCell ref="BN142"/>
    <mergeCell ref="BN141"/>
    <mergeCell ref="BN146"/>
    <mergeCell ref="BN145"/>
    <mergeCell ref="BN144"/>
    <mergeCell ref="BN338"/>
    <mergeCell ref="BN125"/>
    <mergeCell ref="BN337"/>
    <mergeCell ref="BN124"/>
    <mergeCell ref="BN336"/>
    <mergeCell ref="BN123"/>
    <mergeCell ref="BN341"/>
    <mergeCell ref="BN128"/>
    <mergeCell ref="BN340"/>
    <mergeCell ref="BN127"/>
    <mergeCell ref="BN339"/>
    <mergeCell ref="BN126"/>
    <mergeCell ref="BN344"/>
    <mergeCell ref="BN131"/>
    <mergeCell ref="BN343"/>
    <mergeCell ref="BN130"/>
    <mergeCell ref="BN342"/>
    <mergeCell ref="BN129"/>
    <mergeCell ref="BN23"/>
    <mergeCell ref="BN235"/>
    <mergeCell ref="BN22"/>
    <mergeCell ref="BN234"/>
    <mergeCell ref="BN45"/>
    <mergeCell ref="BN263"/>
    <mergeCell ref="BN50"/>
    <mergeCell ref="BN262"/>
    <mergeCell ref="BN49"/>
    <mergeCell ref="BN261"/>
    <mergeCell ref="BN48"/>
    <mergeCell ref="BN266"/>
    <mergeCell ref="BN53"/>
    <mergeCell ref="BN265"/>
    <mergeCell ref="BN52"/>
    <mergeCell ref="BN264"/>
    <mergeCell ref="BN51"/>
    <mergeCell ref="BN269"/>
    <mergeCell ref="BN56"/>
    <mergeCell ref="BN268"/>
    <mergeCell ref="BN55"/>
    <mergeCell ref="BN267"/>
    <mergeCell ref="BN54"/>
    <mergeCell ref="BN248"/>
    <mergeCell ref="BN35"/>
    <mergeCell ref="BN247"/>
    <mergeCell ref="BN34"/>
    <mergeCell ref="BN246"/>
    <mergeCell ref="BN33"/>
    <mergeCell ref="BN251"/>
    <mergeCell ref="BN38"/>
    <mergeCell ref="BN250"/>
    <mergeCell ref="BN37"/>
    <mergeCell ref="BN249"/>
    <mergeCell ref="BN122"/>
    <mergeCell ref="BN334"/>
    <mergeCell ref="BN121"/>
    <mergeCell ref="BN333"/>
    <mergeCell ref="BN120"/>
    <mergeCell ref="BN97"/>
    <mergeCell ref="BN309"/>
    <mergeCell ref="BN96"/>
    <mergeCell ref="BN314"/>
    <mergeCell ref="BN101"/>
    <mergeCell ref="BN313"/>
    <mergeCell ref="BN100"/>
    <mergeCell ref="BN312"/>
    <mergeCell ref="BN99"/>
    <mergeCell ref="BN317"/>
    <mergeCell ref="BN104"/>
    <mergeCell ref="BN316"/>
    <mergeCell ref="BN103"/>
    <mergeCell ref="BN315"/>
    <mergeCell ref="BN102"/>
    <mergeCell ref="BN320"/>
    <mergeCell ref="BN107"/>
    <mergeCell ref="BN319"/>
    <mergeCell ref="BN106"/>
    <mergeCell ref="BN318"/>
    <mergeCell ref="BN105"/>
    <mergeCell ref="BN323"/>
    <mergeCell ref="BN110"/>
    <mergeCell ref="BN322"/>
    <mergeCell ref="BN109"/>
    <mergeCell ref="BN321"/>
    <mergeCell ref="BN108"/>
    <mergeCell ref="BN3"/>
    <mergeCell ref="BN221"/>
    <mergeCell ref="BN8"/>
    <mergeCell ref="BN220"/>
    <mergeCell ref="BN7"/>
    <mergeCell ref="BN219"/>
    <mergeCell ref="BN6"/>
    <mergeCell ref="BN224"/>
    <mergeCell ref="BN11"/>
    <mergeCell ref="BN223"/>
    <mergeCell ref="BN10"/>
    <mergeCell ref="BN222"/>
    <mergeCell ref="BN9"/>
    <mergeCell ref="BN227"/>
    <mergeCell ref="BN14"/>
    <mergeCell ref="BN226"/>
    <mergeCell ref="BN13"/>
    <mergeCell ref="BN225"/>
    <mergeCell ref="BN12"/>
    <mergeCell ref="BN230"/>
    <mergeCell ref="BN17"/>
    <mergeCell ref="BN229"/>
    <mergeCell ref="BN16"/>
    <mergeCell ref="BN228"/>
    <mergeCell ref="BN15"/>
    <mergeCell ref="BN233"/>
    <mergeCell ref="BN20"/>
    <mergeCell ref="BN232"/>
    <mergeCell ref="BN19"/>
    <mergeCell ref="BN231"/>
    <mergeCell ref="BN18"/>
    <mergeCell ref="BN137"/>
    <mergeCell ref="BN412"/>
    <mergeCell ref="BN199"/>
    <mergeCell ref="BN411"/>
    <mergeCell ref="BN198"/>
    <mergeCell ref="BN410"/>
    <mergeCell ref="BN197"/>
    <mergeCell ref="BN415"/>
    <mergeCell ref="BN202"/>
    <mergeCell ref="BN414"/>
    <mergeCell ref="BN201"/>
    <mergeCell ref="BN413"/>
    <mergeCell ref="BN200"/>
    <mergeCell ref="BN418"/>
    <mergeCell ref="BN205"/>
    <mergeCell ref="BN417"/>
    <mergeCell ref="BN204"/>
    <mergeCell ref="BN416"/>
    <mergeCell ref="BN203"/>
    <mergeCell ref="BN296"/>
    <mergeCell ref="BN83"/>
    <mergeCell ref="BN425"/>
    <mergeCell ref="BN212"/>
    <mergeCell ref="BN424"/>
    <mergeCell ref="BN211"/>
    <mergeCell ref="BN423"/>
    <mergeCell ref="BN210"/>
    <mergeCell ref="BN422"/>
    <mergeCell ref="BN209"/>
    <mergeCell ref="BN421"/>
    <mergeCell ref="BN208"/>
    <mergeCell ref="BN420"/>
    <mergeCell ref="BN207"/>
    <mergeCell ref="BN419"/>
    <mergeCell ref="BN206"/>
    <mergeCell ref="BN299"/>
    <mergeCell ref="BN86"/>
    <mergeCell ref="BN298"/>
    <mergeCell ref="BN85"/>
    <mergeCell ref="BN297"/>
    <mergeCell ref="BN84"/>
    <mergeCell ref="BN302"/>
    <mergeCell ref="BN89"/>
    <mergeCell ref="BN400"/>
    <mergeCell ref="BN187"/>
    <mergeCell ref="BN399"/>
    <mergeCell ref="BN186"/>
    <mergeCell ref="BN398"/>
    <mergeCell ref="BN185"/>
    <mergeCell ref="BN403"/>
    <mergeCell ref="BN190"/>
    <mergeCell ref="BN402"/>
    <mergeCell ref="BN189"/>
    <mergeCell ref="BN401"/>
    <mergeCell ref="BN188"/>
    <mergeCell ref="BN406"/>
    <mergeCell ref="BN193"/>
    <mergeCell ref="BN405"/>
    <mergeCell ref="BN192"/>
    <mergeCell ref="BN404"/>
    <mergeCell ref="BN191"/>
    <mergeCell ref="BN409"/>
    <mergeCell ref="BN196"/>
    <mergeCell ref="BN408"/>
    <mergeCell ref="BN195"/>
    <mergeCell ref="BN407"/>
    <mergeCell ref="BN194"/>
    <mergeCell ref="BN388"/>
    <mergeCell ref="BN175"/>
    <mergeCell ref="BN387"/>
    <mergeCell ref="BN174"/>
    <mergeCell ref="BN386"/>
    <mergeCell ref="BN173"/>
    <mergeCell ref="BN391"/>
    <mergeCell ref="BN178"/>
    <mergeCell ref="BN390"/>
    <mergeCell ref="BN177"/>
    <mergeCell ref="BN389"/>
    <mergeCell ref="BN176"/>
    <mergeCell ref="BN394"/>
    <mergeCell ref="BN181"/>
    <mergeCell ref="BN393"/>
    <mergeCell ref="BN180"/>
    <mergeCell ref="BN392"/>
    <mergeCell ref="BN179"/>
    <mergeCell ref="BN397"/>
    <mergeCell ref="BN184"/>
    <mergeCell ref="BN396"/>
    <mergeCell ref="BN183"/>
    <mergeCell ref="BN395"/>
    <mergeCell ref="BN182"/>
    <mergeCell ref="BN376"/>
    <mergeCell ref="BN163"/>
    <mergeCell ref="BN375"/>
    <mergeCell ref="BN162"/>
    <mergeCell ref="BN374"/>
    <mergeCell ref="BN161"/>
    <mergeCell ref="BN379"/>
    <mergeCell ref="BN166"/>
    <mergeCell ref="BN378"/>
    <mergeCell ref="BN165"/>
    <mergeCell ref="BN377"/>
    <mergeCell ref="BN164"/>
    <mergeCell ref="BN382"/>
    <mergeCell ref="BN169"/>
    <mergeCell ref="BN381"/>
    <mergeCell ref="BN168"/>
    <mergeCell ref="BN380"/>
    <mergeCell ref="BN167"/>
    <mergeCell ref="BN385"/>
    <mergeCell ref="BN172"/>
    <mergeCell ref="BN384"/>
    <mergeCell ref="BN171"/>
    <mergeCell ref="BN383"/>
    <mergeCell ref="BN170"/>
    <mergeCell ref="BN330"/>
    <mergeCell ref="BN335"/>
    <mergeCell ref="BN350"/>
    <mergeCell ref="BN349"/>
    <mergeCell ref="BN293"/>
    <mergeCell ref="BN292"/>
    <mergeCell ref="BN291"/>
    <mergeCell ref="BO293"/>
    <mergeCell ref="BO80"/>
    <mergeCell ref="BO292"/>
    <mergeCell ref="BO79"/>
    <mergeCell ref="BO291"/>
    <mergeCell ref="BO78"/>
    <mergeCell ref="BN367"/>
    <mergeCell ref="BN154"/>
    <mergeCell ref="BN366"/>
    <mergeCell ref="BN153"/>
    <mergeCell ref="BN365"/>
    <mergeCell ref="BN152"/>
    <mergeCell ref="BN370"/>
    <mergeCell ref="BN157"/>
    <mergeCell ref="BN369"/>
    <mergeCell ref="BN156"/>
    <mergeCell ref="BN368"/>
    <mergeCell ref="BN155"/>
    <mergeCell ref="BN373"/>
    <mergeCell ref="BN160"/>
    <mergeCell ref="BN372"/>
    <mergeCell ref="BN159"/>
    <mergeCell ref="BN371"/>
    <mergeCell ref="BN158"/>
    <mergeCell ref="BN301"/>
    <mergeCell ref="BN88"/>
    <mergeCell ref="BN300"/>
    <mergeCell ref="BN87"/>
    <mergeCell ref="BN305"/>
    <mergeCell ref="BN92"/>
    <mergeCell ref="BN304"/>
    <mergeCell ref="BN91"/>
    <mergeCell ref="BN303"/>
    <mergeCell ref="BN90"/>
    <mergeCell ref="BN308"/>
    <mergeCell ref="BN95"/>
    <mergeCell ref="BN307"/>
    <mergeCell ref="BN94"/>
    <mergeCell ref="BN306"/>
    <mergeCell ref="BN93"/>
    <mergeCell ref="BN311"/>
    <mergeCell ref="BN98"/>
    <mergeCell ref="BN310"/>
    <mergeCell ref="BO281"/>
    <mergeCell ref="BO362"/>
    <mergeCell ref="BO361"/>
    <mergeCell ref="BO360"/>
    <mergeCell ref="BO344"/>
    <mergeCell ref="BO343"/>
    <mergeCell ref="BO342"/>
    <mergeCell ref="BO347"/>
    <mergeCell ref="BO346"/>
    <mergeCell ref="BO345"/>
    <mergeCell ref="BO350"/>
    <mergeCell ref="BO349"/>
    <mergeCell ref="BO348"/>
    <mergeCell ref="BO353"/>
    <mergeCell ref="BO352"/>
    <mergeCell ref="BO351"/>
    <mergeCell ref="BO332"/>
    <mergeCell ref="BO331"/>
    <mergeCell ref="BO330"/>
    <mergeCell ref="BO335"/>
    <mergeCell ref="BO334"/>
    <mergeCell ref="BO73"/>
    <mergeCell ref="BO285"/>
    <mergeCell ref="BO72"/>
    <mergeCell ref="BO290"/>
    <mergeCell ref="BO77"/>
    <mergeCell ref="BO289"/>
    <mergeCell ref="BO76"/>
    <mergeCell ref="BO288"/>
    <mergeCell ref="BO75"/>
    <mergeCell ref="BO269"/>
    <mergeCell ref="BO56"/>
    <mergeCell ref="BO268"/>
    <mergeCell ref="BO55"/>
    <mergeCell ref="BO267"/>
    <mergeCell ref="BO54"/>
    <mergeCell ref="BO272"/>
    <mergeCell ref="BO59"/>
    <mergeCell ref="BO271"/>
    <mergeCell ref="BO58"/>
    <mergeCell ref="BO270"/>
    <mergeCell ref="BO57"/>
    <mergeCell ref="BO275"/>
    <mergeCell ref="BO62"/>
    <mergeCell ref="BO274"/>
    <mergeCell ref="BO61"/>
    <mergeCell ref="BO273"/>
    <mergeCell ref="BO60"/>
    <mergeCell ref="BO278"/>
    <mergeCell ref="BO65"/>
    <mergeCell ref="BO277"/>
    <mergeCell ref="BO64"/>
    <mergeCell ref="BO276"/>
    <mergeCell ref="BO63"/>
    <mergeCell ref="BO257"/>
    <mergeCell ref="BO119"/>
    <mergeCell ref="BO118"/>
    <mergeCell ref="BO117"/>
    <mergeCell ref="BO122"/>
    <mergeCell ref="BO121"/>
    <mergeCell ref="BO91"/>
    <mergeCell ref="BO90"/>
    <mergeCell ref="BO95"/>
    <mergeCell ref="BO94"/>
    <mergeCell ref="BO93"/>
    <mergeCell ref="BO98"/>
    <mergeCell ref="BO97"/>
    <mergeCell ref="BO96"/>
    <mergeCell ref="BO101"/>
    <mergeCell ref="BO100"/>
    <mergeCell ref="BO99"/>
    <mergeCell ref="BO161"/>
    <mergeCell ref="BO104"/>
    <mergeCell ref="BO120"/>
    <mergeCell ref="BO68"/>
    <mergeCell ref="BO67"/>
    <mergeCell ref="BO66"/>
    <mergeCell ref="BO284"/>
    <mergeCell ref="BO71"/>
    <mergeCell ref="BO283"/>
    <mergeCell ref="BO70"/>
    <mergeCell ref="BO282"/>
    <mergeCell ref="BO69"/>
    <mergeCell ref="BO287"/>
    <mergeCell ref="BO74"/>
    <mergeCell ref="BO44"/>
    <mergeCell ref="BO256"/>
    <mergeCell ref="BO43"/>
    <mergeCell ref="BO255"/>
    <mergeCell ref="BO42"/>
    <mergeCell ref="BO260"/>
    <mergeCell ref="BO47"/>
    <mergeCell ref="BO259"/>
    <mergeCell ref="BO46"/>
    <mergeCell ref="BO258"/>
    <mergeCell ref="BO45"/>
    <mergeCell ref="BO263"/>
    <mergeCell ref="BO50"/>
    <mergeCell ref="BO262"/>
    <mergeCell ref="BO49"/>
    <mergeCell ref="BO261"/>
    <mergeCell ref="BO48"/>
    <mergeCell ref="BO266"/>
    <mergeCell ref="BO53"/>
    <mergeCell ref="BO265"/>
    <mergeCell ref="BO52"/>
    <mergeCell ref="BO264"/>
    <mergeCell ref="BO51"/>
    <mergeCell ref="BO241"/>
    <mergeCell ref="BO28"/>
    <mergeCell ref="BO240"/>
    <mergeCell ref="BO27"/>
    <mergeCell ref="BO245"/>
    <mergeCell ref="BO32"/>
    <mergeCell ref="BO244"/>
    <mergeCell ref="BO31"/>
    <mergeCell ref="BO243"/>
    <mergeCell ref="BO30"/>
    <mergeCell ref="BO248"/>
    <mergeCell ref="BO35"/>
    <mergeCell ref="BO247"/>
    <mergeCell ref="BO34"/>
    <mergeCell ref="BO246"/>
    <mergeCell ref="BO33"/>
    <mergeCell ref="BO251"/>
    <mergeCell ref="BO38"/>
    <mergeCell ref="BO250"/>
    <mergeCell ref="BO37"/>
    <mergeCell ref="BO249"/>
    <mergeCell ref="BO36"/>
    <mergeCell ref="BO254"/>
    <mergeCell ref="BO41"/>
    <mergeCell ref="BO253"/>
    <mergeCell ref="BO40"/>
    <mergeCell ref="BO252"/>
    <mergeCell ref="BO39"/>
    <mergeCell ref="BO216"/>
    <mergeCell ref="BO131"/>
    <mergeCell ref="BO130"/>
    <mergeCell ref="BO129"/>
    <mergeCell ref="BO134"/>
    <mergeCell ref="BO133"/>
    <mergeCell ref="BO132"/>
    <mergeCell ref="BO137"/>
    <mergeCell ref="BO136"/>
    <mergeCell ref="BO135"/>
    <mergeCell ref="BO140"/>
    <mergeCell ref="BO139"/>
    <mergeCell ref="BO138"/>
    <mergeCell ref="BO3"/>
    <mergeCell ref="BO221"/>
    <mergeCell ref="BO8"/>
    <mergeCell ref="BO220"/>
    <mergeCell ref="BO7"/>
    <mergeCell ref="BO219"/>
    <mergeCell ref="BO6"/>
    <mergeCell ref="BO224"/>
    <mergeCell ref="BO11"/>
    <mergeCell ref="BO223"/>
    <mergeCell ref="BO10"/>
    <mergeCell ref="BO222"/>
    <mergeCell ref="BO9"/>
    <mergeCell ref="BO227"/>
    <mergeCell ref="BO14"/>
    <mergeCell ref="BO226"/>
    <mergeCell ref="BO13"/>
    <mergeCell ref="BO225"/>
    <mergeCell ref="BO12"/>
    <mergeCell ref="BO230"/>
    <mergeCell ref="BO17"/>
    <mergeCell ref="BO229"/>
    <mergeCell ref="BO16"/>
    <mergeCell ref="BO228"/>
    <mergeCell ref="BO15"/>
    <mergeCell ref="BO356"/>
    <mergeCell ref="BO143"/>
    <mergeCell ref="BO355"/>
    <mergeCell ref="BO142"/>
    <mergeCell ref="BO354"/>
    <mergeCell ref="BO141"/>
    <mergeCell ref="BO359"/>
    <mergeCell ref="BO146"/>
    <mergeCell ref="BO358"/>
    <mergeCell ref="BO145"/>
    <mergeCell ref="BO357"/>
    <mergeCell ref="BO144"/>
    <mergeCell ref="BO149"/>
    <mergeCell ref="BO148"/>
    <mergeCell ref="BO147"/>
    <mergeCell ref="BO218"/>
    <mergeCell ref="BO5"/>
    <mergeCell ref="BO217"/>
    <mergeCell ref="BO4"/>
    <mergeCell ref="BO233"/>
    <mergeCell ref="BO20"/>
    <mergeCell ref="BO232"/>
    <mergeCell ref="BO19"/>
    <mergeCell ref="BO231"/>
    <mergeCell ref="BO18"/>
    <mergeCell ref="BO236"/>
    <mergeCell ref="BO23"/>
    <mergeCell ref="BO235"/>
    <mergeCell ref="BO22"/>
    <mergeCell ref="BO234"/>
    <mergeCell ref="BO21"/>
    <mergeCell ref="BO239"/>
    <mergeCell ref="BO26"/>
    <mergeCell ref="BO238"/>
    <mergeCell ref="BO25"/>
    <mergeCell ref="BO237"/>
    <mergeCell ref="BO24"/>
    <mergeCell ref="BO242"/>
    <mergeCell ref="BO29"/>
    <mergeCell ref="BO338"/>
    <mergeCell ref="BO125"/>
    <mergeCell ref="BO337"/>
    <mergeCell ref="BO124"/>
    <mergeCell ref="BO336"/>
    <mergeCell ref="BO123"/>
    <mergeCell ref="BO341"/>
    <mergeCell ref="BO128"/>
    <mergeCell ref="BO340"/>
    <mergeCell ref="BO127"/>
    <mergeCell ref="BO339"/>
    <mergeCell ref="BO126"/>
    <mergeCell ref="BO320"/>
    <mergeCell ref="BO107"/>
    <mergeCell ref="BO319"/>
    <mergeCell ref="BO106"/>
    <mergeCell ref="BO318"/>
    <mergeCell ref="BO105"/>
    <mergeCell ref="BO323"/>
    <mergeCell ref="BO110"/>
    <mergeCell ref="BO322"/>
    <mergeCell ref="BO109"/>
    <mergeCell ref="BO321"/>
    <mergeCell ref="BO108"/>
    <mergeCell ref="BO326"/>
    <mergeCell ref="BO113"/>
    <mergeCell ref="BO325"/>
    <mergeCell ref="BO112"/>
    <mergeCell ref="BO324"/>
    <mergeCell ref="BO111"/>
    <mergeCell ref="BO329"/>
    <mergeCell ref="BO116"/>
    <mergeCell ref="BO328"/>
    <mergeCell ref="BO115"/>
    <mergeCell ref="BO327"/>
    <mergeCell ref="BO114"/>
    <mergeCell ref="BO304"/>
    <mergeCell ref="BO303"/>
    <mergeCell ref="BO308"/>
    <mergeCell ref="BO307"/>
    <mergeCell ref="BO306"/>
    <mergeCell ref="BO311"/>
    <mergeCell ref="BO310"/>
    <mergeCell ref="BO309"/>
    <mergeCell ref="BO314"/>
    <mergeCell ref="BO313"/>
    <mergeCell ref="BO312"/>
    <mergeCell ref="BO317"/>
    <mergeCell ref="BO194"/>
    <mergeCell ref="BO165"/>
    <mergeCell ref="BO164"/>
    <mergeCell ref="BO154"/>
    <mergeCell ref="BO153"/>
    <mergeCell ref="BO152"/>
    <mergeCell ref="BO157"/>
    <mergeCell ref="BO156"/>
    <mergeCell ref="BO155"/>
    <mergeCell ref="BO160"/>
    <mergeCell ref="BO159"/>
    <mergeCell ref="BO158"/>
    <mergeCell ref="BO163"/>
    <mergeCell ref="BO162"/>
    <mergeCell ref="BO280"/>
    <mergeCell ref="BO279"/>
    <mergeCell ref="BO316"/>
    <mergeCell ref="BO103"/>
    <mergeCell ref="BO315"/>
    <mergeCell ref="BO102"/>
    <mergeCell ref="BO415"/>
    <mergeCell ref="BO202"/>
    <mergeCell ref="BO414"/>
    <mergeCell ref="BO201"/>
    <mergeCell ref="BO413"/>
    <mergeCell ref="BO200"/>
    <mergeCell ref="BO418"/>
    <mergeCell ref="BO205"/>
    <mergeCell ref="BO417"/>
    <mergeCell ref="BO204"/>
    <mergeCell ref="BO416"/>
    <mergeCell ref="BO203"/>
    <mergeCell ref="BO296"/>
    <mergeCell ref="BO83"/>
    <mergeCell ref="BO425"/>
    <mergeCell ref="BO212"/>
    <mergeCell ref="BO424"/>
    <mergeCell ref="BO211"/>
    <mergeCell ref="BO423"/>
    <mergeCell ref="BO210"/>
    <mergeCell ref="BO422"/>
    <mergeCell ref="BO209"/>
    <mergeCell ref="BO421"/>
    <mergeCell ref="BO208"/>
    <mergeCell ref="BO420"/>
    <mergeCell ref="BO207"/>
    <mergeCell ref="BO419"/>
    <mergeCell ref="BO206"/>
    <mergeCell ref="BO299"/>
    <mergeCell ref="BO86"/>
    <mergeCell ref="BO298"/>
    <mergeCell ref="BO85"/>
    <mergeCell ref="BO297"/>
    <mergeCell ref="BO84"/>
    <mergeCell ref="BO302"/>
    <mergeCell ref="BO89"/>
    <mergeCell ref="BO301"/>
    <mergeCell ref="BO88"/>
    <mergeCell ref="BO300"/>
    <mergeCell ref="BO87"/>
    <mergeCell ref="BO305"/>
    <mergeCell ref="BO92"/>
    <mergeCell ref="BO403"/>
    <mergeCell ref="BO190"/>
    <mergeCell ref="BO402"/>
    <mergeCell ref="BO189"/>
    <mergeCell ref="BO401"/>
    <mergeCell ref="BO188"/>
    <mergeCell ref="BO406"/>
    <mergeCell ref="BO193"/>
    <mergeCell ref="BO405"/>
    <mergeCell ref="BO192"/>
    <mergeCell ref="BO404"/>
    <mergeCell ref="BO191"/>
    <mergeCell ref="BO409"/>
    <mergeCell ref="BO196"/>
    <mergeCell ref="BO408"/>
    <mergeCell ref="BO195"/>
    <mergeCell ref="BO407"/>
    <mergeCell ref="BO333"/>
    <mergeCell ref="BO412"/>
    <mergeCell ref="BO199"/>
    <mergeCell ref="BO411"/>
    <mergeCell ref="BO198"/>
    <mergeCell ref="BO410"/>
    <mergeCell ref="BO197"/>
    <mergeCell ref="BO391"/>
    <mergeCell ref="BO178"/>
    <mergeCell ref="BO390"/>
    <mergeCell ref="BO177"/>
    <mergeCell ref="BO389"/>
    <mergeCell ref="BO176"/>
    <mergeCell ref="BO394"/>
    <mergeCell ref="BO181"/>
    <mergeCell ref="BO393"/>
    <mergeCell ref="BO180"/>
    <mergeCell ref="BO392"/>
    <mergeCell ref="BO179"/>
    <mergeCell ref="BO397"/>
    <mergeCell ref="BO184"/>
    <mergeCell ref="BO396"/>
    <mergeCell ref="BO183"/>
    <mergeCell ref="BO395"/>
    <mergeCell ref="BO182"/>
    <mergeCell ref="BO400"/>
    <mergeCell ref="BO187"/>
    <mergeCell ref="BO399"/>
    <mergeCell ref="BO186"/>
    <mergeCell ref="BO398"/>
    <mergeCell ref="BO185"/>
    <mergeCell ref="BO379"/>
    <mergeCell ref="BO166"/>
    <mergeCell ref="BO378"/>
    <mergeCell ref="BO377"/>
    <mergeCell ref="BO382"/>
    <mergeCell ref="BO169"/>
    <mergeCell ref="BO381"/>
    <mergeCell ref="BO168"/>
    <mergeCell ref="BO380"/>
    <mergeCell ref="BO167"/>
    <mergeCell ref="BO385"/>
    <mergeCell ref="BO172"/>
    <mergeCell ref="BO384"/>
    <mergeCell ref="BO171"/>
    <mergeCell ref="BO383"/>
    <mergeCell ref="BO170"/>
    <mergeCell ref="BO388"/>
    <mergeCell ref="BO175"/>
    <mergeCell ref="BO387"/>
    <mergeCell ref="BO174"/>
    <mergeCell ref="BO386"/>
    <mergeCell ref="BO173"/>
    <mergeCell ref="BO367"/>
    <mergeCell ref="BO366"/>
    <mergeCell ref="BO365"/>
    <mergeCell ref="BO370"/>
    <mergeCell ref="BO369"/>
    <mergeCell ref="BO368"/>
    <mergeCell ref="BO373"/>
    <mergeCell ref="BO372"/>
    <mergeCell ref="BO371"/>
    <mergeCell ref="BO376"/>
    <mergeCell ref="BO375"/>
    <mergeCell ref="BO374"/>
    <mergeCell ref="BP77"/>
    <mergeCell ref="BP289"/>
    <mergeCell ref="BP76"/>
    <mergeCell ref="BP288"/>
    <mergeCell ref="BP75"/>
    <mergeCell ref="BP293"/>
    <mergeCell ref="BP80"/>
    <mergeCell ref="BP292"/>
    <mergeCell ref="BP79"/>
    <mergeCell ref="BP291"/>
    <mergeCell ref="BP78"/>
    <mergeCell ref="BP272"/>
    <mergeCell ref="BP59"/>
    <mergeCell ref="BP271"/>
    <mergeCell ref="BP58"/>
    <mergeCell ref="BP270"/>
    <mergeCell ref="BP57"/>
    <mergeCell ref="BP275"/>
    <mergeCell ref="BP62"/>
    <mergeCell ref="BP274"/>
    <mergeCell ref="BP61"/>
    <mergeCell ref="BP273"/>
    <mergeCell ref="BP60"/>
    <mergeCell ref="BP278"/>
    <mergeCell ref="BP65"/>
    <mergeCell ref="BP277"/>
    <mergeCell ref="BP64"/>
    <mergeCell ref="BP276"/>
    <mergeCell ref="BP63"/>
    <mergeCell ref="BP281"/>
    <mergeCell ref="BP68"/>
    <mergeCell ref="BP280"/>
    <mergeCell ref="BP67"/>
    <mergeCell ref="BP279"/>
    <mergeCell ref="BP66"/>
    <mergeCell ref="BP260"/>
    <mergeCell ref="BP4"/>
    <mergeCell ref="BP216"/>
    <mergeCell ref="BP353"/>
    <mergeCell ref="BP352"/>
    <mergeCell ref="BP351"/>
    <mergeCell ref="BP356"/>
    <mergeCell ref="BP355"/>
    <mergeCell ref="BP354"/>
    <mergeCell ref="BP359"/>
    <mergeCell ref="BP358"/>
    <mergeCell ref="BP357"/>
    <mergeCell ref="BP347"/>
    <mergeCell ref="BP134"/>
    <mergeCell ref="BP346"/>
    <mergeCell ref="BP133"/>
    <mergeCell ref="BP345"/>
    <mergeCell ref="BP132"/>
    <mergeCell ref="BP326"/>
    <mergeCell ref="BP113"/>
    <mergeCell ref="BP325"/>
    <mergeCell ref="BP112"/>
    <mergeCell ref="BP324"/>
    <mergeCell ref="BP111"/>
    <mergeCell ref="BP329"/>
    <mergeCell ref="BP116"/>
    <mergeCell ref="BP328"/>
    <mergeCell ref="BP115"/>
    <mergeCell ref="BP327"/>
    <mergeCell ref="BP114"/>
    <mergeCell ref="BP332"/>
    <mergeCell ref="BP119"/>
    <mergeCell ref="BP331"/>
    <mergeCell ref="BO286"/>
    <mergeCell ref="BP47"/>
    <mergeCell ref="BP259"/>
    <mergeCell ref="BP46"/>
    <mergeCell ref="BP258"/>
    <mergeCell ref="BP45"/>
    <mergeCell ref="BP263"/>
    <mergeCell ref="BP50"/>
    <mergeCell ref="BP262"/>
    <mergeCell ref="BP49"/>
    <mergeCell ref="BP261"/>
    <mergeCell ref="BP48"/>
    <mergeCell ref="BP266"/>
    <mergeCell ref="BP53"/>
    <mergeCell ref="BP265"/>
    <mergeCell ref="BP52"/>
    <mergeCell ref="BP264"/>
    <mergeCell ref="BP51"/>
    <mergeCell ref="BP269"/>
    <mergeCell ref="BP56"/>
    <mergeCell ref="BP268"/>
    <mergeCell ref="BP55"/>
    <mergeCell ref="BP267"/>
    <mergeCell ref="BP54"/>
    <mergeCell ref="BP248"/>
    <mergeCell ref="BP35"/>
    <mergeCell ref="BP247"/>
    <mergeCell ref="BP34"/>
    <mergeCell ref="BP246"/>
    <mergeCell ref="BP33"/>
    <mergeCell ref="BP251"/>
    <mergeCell ref="BP38"/>
    <mergeCell ref="BP129"/>
    <mergeCell ref="BP23"/>
    <mergeCell ref="BP235"/>
    <mergeCell ref="BP22"/>
    <mergeCell ref="BP234"/>
    <mergeCell ref="BP21"/>
    <mergeCell ref="BP239"/>
    <mergeCell ref="BP26"/>
    <mergeCell ref="BP238"/>
    <mergeCell ref="BP25"/>
    <mergeCell ref="BP237"/>
    <mergeCell ref="BP24"/>
    <mergeCell ref="BP242"/>
    <mergeCell ref="BP29"/>
    <mergeCell ref="BP241"/>
    <mergeCell ref="BP28"/>
    <mergeCell ref="BP240"/>
    <mergeCell ref="BP27"/>
    <mergeCell ref="BP245"/>
    <mergeCell ref="BP32"/>
    <mergeCell ref="BP244"/>
    <mergeCell ref="BP31"/>
    <mergeCell ref="BP243"/>
    <mergeCell ref="BP30"/>
    <mergeCell ref="BP362"/>
    <mergeCell ref="BP149"/>
    <mergeCell ref="BP361"/>
    <mergeCell ref="BP148"/>
    <mergeCell ref="BP360"/>
    <mergeCell ref="BP147"/>
    <mergeCell ref="BP218"/>
    <mergeCell ref="BP5"/>
    <mergeCell ref="BP217"/>
    <mergeCell ref="BP250"/>
    <mergeCell ref="BP37"/>
    <mergeCell ref="BP249"/>
    <mergeCell ref="BP36"/>
    <mergeCell ref="BP254"/>
    <mergeCell ref="BP41"/>
    <mergeCell ref="BP253"/>
    <mergeCell ref="BP40"/>
    <mergeCell ref="BP252"/>
    <mergeCell ref="BP39"/>
    <mergeCell ref="BP257"/>
    <mergeCell ref="BP44"/>
    <mergeCell ref="BP256"/>
    <mergeCell ref="BP43"/>
    <mergeCell ref="BP255"/>
    <mergeCell ref="BP42"/>
    <mergeCell ref="BP236"/>
    <mergeCell ref="BP118"/>
    <mergeCell ref="BP117"/>
    <mergeCell ref="BP284"/>
    <mergeCell ref="BP71"/>
    <mergeCell ref="BP283"/>
    <mergeCell ref="BP70"/>
    <mergeCell ref="BP282"/>
    <mergeCell ref="BP69"/>
    <mergeCell ref="BP287"/>
    <mergeCell ref="BP74"/>
    <mergeCell ref="BP286"/>
    <mergeCell ref="BP73"/>
    <mergeCell ref="BP285"/>
    <mergeCell ref="BP72"/>
    <mergeCell ref="BP102"/>
    <mergeCell ref="BP320"/>
    <mergeCell ref="BP107"/>
    <mergeCell ref="BP319"/>
    <mergeCell ref="BP106"/>
    <mergeCell ref="BP318"/>
    <mergeCell ref="BP105"/>
    <mergeCell ref="BP323"/>
    <mergeCell ref="BP110"/>
    <mergeCell ref="BP322"/>
    <mergeCell ref="BP109"/>
    <mergeCell ref="BP321"/>
    <mergeCell ref="BP108"/>
    <mergeCell ref="BP3"/>
    <mergeCell ref="BP221"/>
    <mergeCell ref="BP8"/>
    <mergeCell ref="BP220"/>
    <mergeCell ref="BP7"/>
    <mergeCell ref="BP219"/>
    <mergeCell ref="BP6"/>
    <mergeCell ref="BP224"/>
    <mergeCell ref="BP11"/>
    <mergeCell ref="BP223"/>
    <mergeCell ref="BP10"/>
    <mergeCell ref="BP222"/>
    <mergeCell ref="BP9"/>
    <mergeCell ref="BP227"/>
    <mergeCell ref="BP14"/>
    <mergeCell ref="BP226"/>
    <mergeCell ref="BP13"/>
    <mergeCell ref="BP225"/>
    <mergeCell ref="BP12"/>
    <mergeCell ref="BP230"/>
    <mergeCell ref="BP17"/>
    <mergeCell ref="BP229"/>
    <mergeCell ref="BP16"/>
    <mergeCell ref="BP228"/>
    <mergeCell ref="BP15"/>
    <mergeCell ref="BP233"/>
    <mergeCell ref="BP20"/>
    <mergeCell ref="BP232"/>
    <mergeCell ref="BP19"/>
    <mergeCell ref="BP231"/>
    <mergeCell ref="BP18"/>
    <mergeCell ref="BP137"/>
    <mergeCell ref="BP136"/>
    <mergeCell ref="BP135"/>
    <mergeCell ref="BP140"/>
    <mergeCell ref="BP139"/>
    <mergeCell ref="BP138"/>
    <mergeCell ref="BP143"/>
    <mergeCell ref="BP142"/>
    <mergeCell ref="BP141"/>
    <mergeCell ref="BP146"/>
    <mergeCell ref="BP145"/>
    <mergeCell ref="BP144"/>
    <mergeCell ref="BP125"/>
    <mergeCell ref="BP124"/>
    <mergeCell ref="BP123"/>
    <mergeCell ref="BP128"/>
    <mergeCell ref="BP127"/>
    <mergeCell ref="BP126"/>
    <mergeCell ref="BP131"/>
    <mergeCell ref="BP130"/>
    <mergeCell ref="BP83"/>
    <mergeCell ref="BP425"/>
    <mergeCell ref="BP212"/>
    <mergeCell ref="BP424"/>
    <mergeCell ref="BP211"/>
    <mergeCell ref="BP423"/>
    <mergeCell ref="BP210"/>
    <mergeCell ref="BP422"/>
    <mergeCell ref="BP209"/>
    <mergeCell ref="BP421"/>
    <mergeCell ref="BP208"/>
    <mergeCell ref="BP420"/>
    <mergeCell ref="BP207"/>
    <mergeCell ref="BP419"/>
    <mergeCell ref="BP206"/>
    <mergeCell ref="BP299"/>
    <mergeCell ref="BP86"/>
    <mergeCell ref="BP298"/>
    <mergeCell ref="BP85"/>
    <mergeCell ref="BP297"/>
    <mergeCell ref="BP84"/>
    <mergeCell ref="BP302"/>
    <mergeCell ref="BP89"/>
    <mergeCell ref="BP400"/>
    <mergeCell ref="BP187"/>
    <mergeCell ref="BP399"/>
    <mergeCell ref="BP186"/>
    <mergeCell ref="BP398"/>
    <mergeCell ref="BP185"/>
    <mergeCell ref="BP403"/>
    <mergeCell ref="BP190"/>
    <mergeCell ref="BP402"/>
    <mergeCell ref="BP189"/>
    <mergeCell ref="BP401"/>
    <mergeCell ref="BP188"/>
    <mergeCell ref="BP406"/>
    <mergeCell ref="BP193"/>
    <mergeCell ref="BP405"/>
    <mergeCell ref="BP192"/>
    <mergeCell ref="BP404"/>
    <mergeCell ref="BP191"/>
    <mergeCell ref="BP409"/>
    <mergeCell ref="BP196"/>
    <mergeCell ref="BP408"/>
    <mergeCell ref="BP195"/>
    <mergeCell ref="BP335"/>
    <mergeCell ref="BP122"/>
    <mergeCell ref="BP334"/>
    <mergeCell ref="BP121"/>
    <mergeCell ref="BP333"/>
    <mergeCell ref="BP120"/>
    <mergeCell ref="BP97"/>
    <mergeCell ref="BP309"/>
    <mergeCell ref="BP96"/>
    <mergeCell ref="BP314"/>
    <mergeCell ref="BP101"/>
    <mergeCell ref="BP313"/>
    <mergeCell ref="BP100"/>
    <mergeCell ref="BP312"/>
    <mergeCell ref="BP99"/>
    <mergeCell ref="BP317"/>
    <mergeCell ref="BP104"/>
    <mergeCell ref="BP316"/>
    <mergeCell ref="BP103"/>
    <mergeCell ref="BP161"/>
    <mergeCell ref="BP379"/>
    <mergeCell ref="BP166"/>
    <mergeCell ref="BP378"/>
    <mergeCell ref="BP165"/>
    <mergeCell ref="BP377"/>
    <mergeCell ref="BP164"/>
    <mergeCell ref="BP382"/>
    <mergeCell ref="BP169"/>
    <mergeCell ref="BP381"/>
    <mergeCell ref="BP168"/>
    <mergeCell ref="BP380"/>
    <mergeCell ref="BP167"/>
    <mergeCell ref="BP385"/>
    <mergeCell ref="BP172"/>
    <mergeCell ref="BP384"/>
    <mergeCell ref="BP171"/>
    <mergeCell ref="BP383"/>
    <mergeCell ref="BP170"/>
    <mergeCell ref="BP330"/>
    <mergeCell ref="BP412"/>
    <mergeCell ref="BP199"/>
    <mergeCell ref="BP411"/>
    <mergeCell ref="BP198"/>
    <mergeCell ref="BP410"/>
    <mergeCell ref="BP197"/>
    <mergeCell ref="BP415"/>
    <mergeCell ref="BP202"/>
    <mergeCell ref="BP414"/>
    <mergeCell ref="BP201"/>
    <mergeCell ref="BP413"/>
    <mergeCell ref="BP200"/>
    <mergeCell ref="BP418"/>
    <mergeCell ref="BP205"/>
    <mergeCell ref="BP417"/>
    <mergeCell ref="BP204"/>
    <mergeCell ref="BP416"/>
    <mergeCell ref="BP203"/>
    <mergeCell ref="BP296"/>
    <mergeCell ref="BP315"/>
    <mergeCell ref="BP350"/>
    <mergeCell ref="BP349"/>
    <mergeCell ref="BP348"/>
    <mergeCell ref="BP338"/>
    <mergeCell ref="BP337"/>
    <mergeCell ref="BP336"/>
    <mergeCell ref="BP341"/>
    <mergeCell ref="BP340"/>
    <mergeCell ref="BP339"/>
    <mergeCell ref="BP344"/>
    <mergeCell ref="BP343"/>
    <mergeCell ref="BP342"/>
    <mergeCell ref="BP290"/>
    <mergeCell ref="BQ335"/>
    <mergeCell ref="BQ334"/>
    <mergeCell ref="BP407"/>
    <mergeCell ref="BP194"/>
    <mergeCell ref="BP388"/>
    <mergeCell ref="BP175"/>
    <mergeCell ref="BP387"/>
    <mergeCell ref="BP174"/>
    <mergeCell ref="BP386"/>
    <mergeCell ref="BP173"/>
    <mergeCell ref="BP391"/>
    <mergeCell ref="BP178"/>
    <mergeCell ref="BP390"/>
    <mergeCell ref="BP177"/>
    <mergeCell ref="BP389"/>
    <mergeCell ref="BP176"/>
    <mergeCell ref="BP394"/>
    <mergeCell ref="BP181"/>
    <mergeCell ref="BP393"/>
    <mergeCell ref="BP180"/>
    <mergeCell ref="BP392"/>
    <mergeCell ref="BP179"/>
    <mergeCell ref="BP397"/>
    <mergeCell ref="BP184"/>
    <mergeCell ref="BP396"/>
    <mergeCell ref="BP183"/>
    <mergeCell ref="BP395"/>
    <mergeCell ref="BP182"/>
    <mergeCell ref="BP376"/>
    <mergeCell ref="BP163"/>
    <mergeCell ref="BP375"/>
    <mergeCell ref="BP162"/>
    <mergeCell ref="BP374"/>
    <mergeCell ref="BQ287"/>
    <mergeCell ref="BQ74"/>
    <mergeCell ref="BQ293"/>
    <mergeCell ref="BQ80"/>
    <mergeCell ref="BQ292"/>
    <mergeCell ref="BQ79"/>
    <mergeCell ref="BQ291"/>
    <mergeCell ref="BQ78"/>
    <mergeCell ref="BP367"/>
    <mergeCell ref="BP154"/>
    <mergeCell ref="BP366"/>
    <mergeCell ref="BP153"/>
    <mergeCell ref="BP365"/>
    <mergeCell ref="BP152"/>
    <mergeCell ref="BP370"/>
    <mergeCell ref="BP157"/>
    <mergeCell ref="BP369"/>
    <mergeCell ref="BP156"/>
    <mergeCell ref="BP368"/>
    <mergeCell ref="BP155"/>
    <mergeCell ref="BP373"/>
    <mergeCell ref="BP160"/>
    <mergeCell ref="BP372"/>
    <mergeCell ref="BP159"/>
    <mergeCell ref="BP371"/>
    <mergeCell ref="BP158"/>
    <mergeCell ref="BP301"/>
    <mergeCell ref="BP88"/>
    <mergeCell ref="BP300"/>
    <mergeCell ref="BP87"/>
    <mergeCell ref="BP305"/>
    <mergeCell ref="BP92"/>
    <mergeCell ref="BP304"/>
    <mergeCell ref="BP91"/>
    <mergeCell ref="BP303"/>
    <mergeCell ref="BP90"/>
    <mergeCell ref="BP308"/>
    <mergeCell ref="BP95"/>
    <mergeCell ref="BP307"/>
    <mergeCell ref="BP94"/>
    <mergeCell ref="BP306"/>
    <mergeCell ref="BP93"/>
    <mergeCell ref="BP311"/>
    <mergeCell ref="BP98"/>
    <mergeCell ref="BP310"/>
    <mergeCell ref="BQ281"/>
    <mergeCell ref="BQ362"/>
    <mergeCell ref="BQ361"/>
    <mergeCell ref="BQ360"/>
    <mergeCell ref="BQ344"/>
    <mergeCell ref="BQ343"/>
    <mergeCell ref="BQ342"/>
    <mergeCell ref="BQ347"/>
    <mergeCell ref="BQ346"/>
    <mergeCell ref="BQ345"/>
    <mergeCell ref="BQ350"/>
    <mergeCell ref="BQ349"/>
    <mergeCell ref="BQ348"/>
    <mergeCell ref="BQ353"/>
    <mergeCell ref="BQ352"/>
    <mergeCell ref="BQ351"/>
    <mergeCell ref="BQ332"/>
    <mergeCell ref="BQ331"/>
    <mergeCell ref="BQ330"/>
    <mergeCell ref="BQ139"/>
    <mergeCell ref="BQ138"/>
    <mergeCell ref="BQ73"/>
    <mergeCell ref="BQ285"/>
    <mergeCell ref="BQ72"/>
    <mergeCell ref="BQ290"/>
    <mergeCell ref="BQ77"/>
    <mergeCell ref="BQ289"/>
    <mergeCell ref="BQ76"/>
    <mergeCell ref="BQ288"/>
    <mergeCell ref="BQ75"/>
    <mergeCell ref="BQ269"/>
    <mergeCell ref="BQ56"/>
    <mergeCell ref="BQ268"/>
    <mergeCell ref="BQ55"/>
    <mergeCell ref="BQ267"/>
    <mergeCell ref="BQ54"/>
    <mergeCell ref="BQ272"/>
    <mergeCell ref="BQ59"/>
    <mergeCell ref="BQ271"/>
    <mergeCell ref="BQ58"/>
    <mergeCell ref="BQ270"/>
    <mergeCell ref="BQ57"/>
    <mergeCell ref="BQ275"/>
    <mergeCell ref="BQ62"/>
    <mergeCell ref="BQ274"/>
    <mergeCell ref="BQ61"/>
    <mergeCell ref="BQ273"/>
    <mergeCell ref="BQ60"/>
    <mergeCell ref="BQ278"/>
    <mergeCell ref="BQ65"/>
    <mergeCell ref="BQ277"/>
    <mergeCell ref="BQ64"/>
    <mergeCell ref="BQ276"/>
    <mergeCell ref="BQ63"/>
    <mergeCell ref="BQ257"/>
    <mergeCell ref="BQ119"/>
    <mergeCell ref="BQ118"/>
    <mergeCell ref="BQ117"/>
    <mergeCell ref="BQ122"/>
    <mergeCell ref="BQ121"/>
    <mergeCell ref="BQ91"/>
    <mergeCell ref="BQ90"/>
    <mergeCell ref="BQ95"/>
    <mergeCell ref="BQ94"/>
    <mergeCell ref="BQ93"/>
    <mergeCell ref="BQ98"/>
    <mergeCell ref="BQ97"/>
    <mergeCell ref="BQ96"/>
    <mergeCell ref="BQ101"/>
    <mergeCell ref="BQ100"/>
    <mergeCell ref="BQ99"/>
    <mergeCell ref="BQ161"/>
    <mergeCell ref="BQ104"/>
    <mergeCell ref="BQ120"/>
    <mergeCell ref="BQ68"/>
    <mergeCell ref="BQ67"/>
    <mergeCell ref="BQ66"/>
    <mergeCell ref="BQ284"/>
    <mergeCell ref="BQ71"/>
    <mergeCell ref="BQ283"/>
    <mergeCell ref="BQ70"/>
    <mergeCell ref="BQ282"/>
    <mergeCell ref="BQ69"/>
    <mergeCell ref="BQ359"/>
    <mergeCell ref="BQ146"/>
    <mergeCell ref="BQ358"/>
    <mergeCell ref="BQ145"/>
    <mergeCell ref="BQ357"/>
    <mergeCell ref="BQ144"/>
    <mergeCell ref="BQ149"/>
    <mergeCell ref="BQ148"/>
    <mergeCell ref="BQ147"/>
    <mergeCell ref="BQ218"/>
    <mergeCell ref="BQ5"/>
    <mergeCell ref="BQ217"/>
    <mergeCell ref="BQ4"/>
    <mergeCell ref="BQ233"/>
    <mergeCell ref="BQ20"/>
    <mergeCell ref="BQ232"/>
    <mergeCell ref="BQ19"/>
    <mergeCell ref="BQ231"/>
    <mergeCell ref="BQ18"/>
    <mergeCell ref="BQ236"/>
    <mergeCell ref="BQ23"/>
    <mergeCell ref="BQ235"/>
    <mergeCell ref="BQ22"/>
    <mergeCell ref="BQ234"/>
    <mergeCell ref="BQ21"/>
    <mergeCell ref="BQ239"/>
    <mergeCell ref="BQ26"/>
    <mergeCell ref="BQ238"/>
    <mergeCell ref="BQ25"/>
    <mergeCell ref="BQ237"/>
    <mergeCell ref="BQ24"/>
    <mergeCell ref="BQ242"/>
    <mergeCell ref="BQ29"/>
    <mergeCell ref="BQ44"/>
    <mergeCell ref="BQ256"/>
    <mergeCell ref="BQ43"/>
    <mergeCell ref="BQ255"/>
    <mergeCell ref="BQ42"/>
    <mergeCell ref="BQ260"/>
    <mergeCell ref="BQ47"/>
    <mergeCell ref="BQ259"/>
    <mergeCell ref="BQ46"/>
    <mergeCell ref="BQ258"/>
    <mergeCell ref="BQ45"/>
    <mergeCell ref="BQ263"/>
    <mergeCell ref="BQ50"/>
    <mergeCell ref="BQ262"/>
    <mergeCell ref="BQ49"/>
    <mergeCell ref="BQ261"/>
    <mergeCell ref="BQ48"/>
    <mergeCell ref="BQ266"/>
    <mergeCell ref="BQ53"/>
    <mergeCell ref="BQ265"/>
    <mergeCell ref="BQ52"/>
    <mergeCell ref="BQ264"/>
    <mergeCell ref="BQ51"/>
    <mergeCell ref="BQ241"/>
    <mergeCell ref="BQ28"/>
    <mergeCell ref="BQ240"/>
    <mergeCell ref="BQ27"/>
    <mergeCell ref="BQ245"/>
    <mergeCell ref="BQ32"/>
    <mergeCell ref="BQ244"/>
    <mergeCell ref="BQ31"/>
    <mergeCell ref="BQ280"/>
    <mergeCell ref="BQ279"/>
    <mergeCell ref="BQ3"/>
    <mergeCell ref="BQ221"/>
    <mergeCell ref="BQ8"/>
    <mergeCell ref="BQ220"/>
    <mergeCell ref="BQ7"/>
    <mergeCell ref="BQ219"/>
    <mergeCell ref="BQ6"/>
    <mergeCell ref="BQ224"/>
    <mergeCell ref="BQ11"/>
    <mergeCell ref="BQ223"/>
    <mergeCell ref="BQ10"/>
    <mergeCell ref="BQ222"/>
    <mergeCell ref="BQ9"/>
    <mergeCell ref="BQ227"/>
    <mergeCell ref="BQ14"/>
    <mergeCell ref="BQ226"/>
    <mergeCell ref="BQ13"/>
    <mergeCell ref="BQ225"/>
    <mergeCell ref="BQ12"/>
    <mergeCell ref="BQ230"/>
    <mergeCell ref="BQ17"/>
    <mergeCell ref="BQ229"/>
    <mergeCell ref="BQ16"/>
    <mergeCell ref="BQ228"/>
    <mergeCell ref="BQ15"/>
    <mergeCell ref="BQ356"/>
    <mergeCell ref="BQ143"/>
    <mergeCell ref="BQ355"/>
    <mergeCell ref="BQ142"/>
    <mergeCell ref="BQ354"/>
    <mergeCell ref="BQ141"/>
    <mergeCell ref="BQ243"/>
    <mergeCell ref="BQ30"/>
    <mergeCell ref="BQ248"/>
    <mergeCell ref="BQ35"/>
    <mergeCell ref="BQ247"/>
    <mergeCell ref="BQ34"/>
    <mergeCell ref="BQ246"/>
    <mergeCell ref="BQ33"/>
    <mergeCell ref="BQ251"/>
    <mergeCell ref="BQ38"/>
    <mergeCell ref="BQ250"/>
    <mergeCell ref="BQ37"/>
    <mergeCell ref="BQ249"/>
    <mergeCell ref="BQ36"/>
    <mergeCell ref="BQ254"/>
    <mergeCell ref="BQ41"/>
    <mergeCell ref="BQ253"/>
    <mergeCell ref="BQ40"/>
    <mergeCell ref="BQ252"/>
    <mergeCell ref="BQ39"/>
    <mergeCell ref="BQ216"/>
    <mergeCell ref="BQ131"/>
    <mergeCell ref="BQ130"/>
    <mergeCell ref="BQ129"/>
    <mergeCell ref="BQ134"/>
    <mergeCell ref="BQ133"/>
    <mergeCell ref="BQ132"/>
    <mergeCell ref="BQ137"/>
    <mergeCell ref="BQ136"/>
    <mergeCell ref="BQ135"/>
    <mergeCell ref="BQ140"/>
    <mergeCell ref="BQ407"/>
    <mergeCell ref="BQ333"/>
    <mergeCell ref="BQ338"/>
    <mergeCell ref="BQ125"/>
    <mergeCell ref="BQ337"/>
    <mergeCell ref="BQ124"/>
    <mergeCell ref="BQ336"/>
    <mergeCell ref="BQ123"/>
    <mergeCell ref="BQ341"/>
    <mergeCell ref="BQ128"/>
    <mergeCell ref="BQ340"/>
    <mergeCell ref="BQ127"/>
    <mergeCell ref="BQ339"/>
    <mergeCell ref="BQ126"/>
    <mergeCell ref="BQ320"/>
    <mergeCell ref="BQ107"/>
    <mergeCell ref="BQ319"/>
    <mergeCell ref="BQ106"/>
    <mergeCell ref="BQ318"/>
    <mergeCell ref="BQ105"/>
    <mergeCell ref="BQ323"/>
    <mergeCell ref="BQ110"/>
    <mergeCell ref="BQ322"/>
    <mergeCell ref="BQ109"/>
    <mergeCell ref="BQ321"/>
    <mergeCell ref="BQ108"/>
    <mergeCell ref="BQ326"/>
    <mergeCell ref="BQ113"/>
    <mergeCell ref="BQ325"/>
    <mergeCell ref="BQ112"/>
    <mergeCell ref="BQ324"/>
    <mergeCell ref="BQ111"/>
    <mergeCell ref="BQ329"/>
    <mergeCell ref="BQ116"/>
    <mergeCell ref="BQ328"/>
    <mergeCell ref="BQ115"/>
    <mergeCell ref="BQ327"/>
    <mergeCell ref="BQ114"/>
    <mergeCell ref="BQ304"/>
    <mergeCell ref="BQ303"/>
    <mergeCell ref="BQ308"/>
    <mergeCell ref="BQ307"/>
    <mergeCell ref="BQ306"/>
    <mergeCell ref="BQ311"/>
    <mergeCell ref="BQ310"/>
    <mergeCell ref="BQ309"/>
    <mergeCell ref="BQ314"/>
    <mergeCell ref="BQ313"/>
    <mergeCell ref="BQ312"/>
    <mergeCell ref="BQ317"/>
    <mergeCell ref="BQ194"/>
    <mergeCell ref="BQ165"/>
    <mergeCell ref="BQ164"/>
    <mergeCell ref="BQ154"/>
    <mergeCell ref="BQ153"/>
    <mergeCell ref="BQ152"/>
    <mergeCell ref="BQ157"/>
    <mergeCell ref="BQ156"/>
    <mergeCell ref="BQ155"/>
    <mergeCell ref="BQ160"/>
    <mergeCell ref="BQ159"/>
    <mergeCell ref="BQ158"/>
    <mergeCell ref="BQ163"/>
    <mergeCell ref="BQ162"/>
    <mergeCell ref="BQ375"/>
    <mergeCell ref="BQ374"/>
    <mergeCell ref="BQ316"/>
    <mergeCell ref="BQ103"/>
    <mergeCell ref="BQ315"/>
    <mergeCell ref="BQ102"/>
    <mergeCell ref="BQ415"/>
    <mergeCell ref="BQ202"/>
    <mergeCell ref="BQ414"/>
    <mergeCell ref="BQ201"/>
    <mergeCell ref="BQ413"/>
    <mergeCell ref="BQ200"/>
    <mergeCell ref="BQ418"/>
    <mergeCell ref="BQ205"/>
    <mergeCell ref="BQ417"/>
    <mergeCell ref="BQ204"/>
    <mergeCell ref="BQ416"/>
    <mergeCell ref="BQ203"/>
    <mergeCell ref="BQ296"/>
    <mergeCell ref="BQ83"/>
    <mergeCell ref="BQ425"/>
    <mergeCell ref="BQ212"/>
    <mergeCell ref="BQ424"/>
    <mergeCell ref="BQ211"/>
    <mergeCell ref="BQ423"/>
    <mergeCell ref="BQ210"/>
    <mergeCell ref="BQ422"/>
    <mergeCell ref="BQ209"/>
    <mergeCell ref="BQ421"/>
    <mergeCell ref="BQ208"/>
    <mergeCell ref="BQ420"/>
    <mergeCell ref="BQ207"/>
    <mergeCell ref="BQ419"/>
    <mergeCell ref="BQ206"/>
    <mergeCell ref="BQ299"/>
    <mergeCell ref="BQ86"/>
    <mergeCell ref="BQ298"/>
    <mergeCell ref="BQ85"/>
    <mergeCell ref="BQ297"/>
    <mergeCell ref="BQ84"/>
    <mergeCell ref="BQ302"/>
    <mergeCell ref="BQ89"/>
    <mergeCell ref="BQ301"/>
    <mergeCell ref="BQ88"/>
    <mergeCell ref="BQ300"/>
    <mergeCell ref="BQ87"/>
    <mergeCell ref="BQ305"/>
    <mergeCell ref="BQ92"/>
    <mergeCell ref="BQ403"/>
    <mergeCell ref="BQ190"/>
    <mergeCell ref="BQ402"/>
    <mergeCell ref="BQ189"/>
    <mergeCell ref="BQ401"/>
    <mergeCell ref="BQ188"/>
    <mergeCell ref="BQ406"/>
    <mergeCell ref="BQ193"/>
    <mergeCell ref="BQ405"/>
    <mergeCell ref="BQ192"/>
    <mergeCell ref="BQ404"/>
    <mergeCell ref="BQ191"/>
    <mergeCell ref="BQ409"/>
    <mergeCell ref="BQ196"/>
    <mergeCell ref="BQ408"/>
    <mergeCell ref="BQ195"/>
    <mergeCell ref="BR66"/>
    <mergeCell ref="BR260"/>
    <mergeCell ref="BQ412"/>
    <mergeCell ref="BQ199"/>
    <mergeCell ref="BQ411"/>
    <mergeCell ref="BQ198"/>
    <mergeCell ref="BQ410"/>
    <mergeCell ref="BQ197"/>
    <mergeCell ref="BQ391"/>
    <mergeCell ref="BQ178"/>
    <mergeCell ref="BQ390"/>
    <mergeCell ref="BQ177"/>
    <mergeCell ref="BQ389"/>
    <mergeCell ref="BQ176"/>
    <mergeCell ref="BQ394"/>
    <mergeCell ref="BQ181"/>
    <mergeCell ref="BQ393"/>
    <mergeCell ref="BQ180"/>
    <mergeCell ref="BQ392"/>
    <mergeCell ref="BQ179"/>
    <mergeCell ref="BQ397"/>
    <mergeCell ref="BQ184"/>
    <mergeCell ref="BQ396"/>
    <mergeCell ref="BQ183"/>
    <mergeCell ref="BQ395"/>
    <mergeCell ref="BQ182"/>
    <mergeCell ref="BQ400"/>
    <mergeCell ref="BQ187"/>
    <mergeCell ref="BQ399"/>
    <mergeCell ref="BQ186"/>
    <mergeCell ref="BQ398"/>
    <mergeCell ref="BQ185"/>
    <mergeCell ref="BQ379"/>
    <mergeCell ref="BQ166"/>
    <mergeCell ref="BQ378"/>
    <mergeCell ref="BQ377"/>
    <mergeCell ref="BQ382"/>
    <mergeCell ref="BQ169"/>
    <mergeCell ref="BQ381"/>
    <mergeCell ref="BQ168"/>
    <mergeCell ref="BQ380"/>
    <mergeCell ref="BQ167"/>
    <mergeCell ref="BQ385"/>
    <mergeCell ref="BQ172"/>
    <mergeCell ref="BQ384"/>
    <mergeCell ref="BQ171"/>
    <mergeCell ref="BQ383"/>
    <mergeCell ref="BQ170"/>
    <mergeCell ref="BQ388"/>
    <mergeCell ref="BQ175"/>
    <mergeCell ref="BQ387"/>
    <mergeCell ref="BQ174"/>
    <mergeCell ref="BQ386"/>
    <mergeCell ref="BQ173"/>
    <mergeCell ref="BQ367"/>
    <mergeCell ref="BQ366"/>
    <mergeCell ref="BQ365"/>
    <mergeCell ref="BQ370"/>
    <mergeCell ref="BQ369"/>
    <mergeCell ref="BQ368"/>
    <mergeCell ref="BQ373"/>
    <mergeCell ref="BQ372"/>
    <mergeCell ref="BQ371"/>
    <mergeCell ref="BQ376"/>
    <mergeCell ref="BQ286"/>
    <mergeCell ref="BR47"/>
    <mergeCell ref="BR259"/>
    <mergeCell ref="BR46"/>
    <mergeCell ref="BR258"/>
    <mergeCell ref="BR45"/>
    <mergeCell ref="BR263"/>
    <mergeCell ref="BR50"/>
    <mergeCell ref="BR262"/>
    <mergeCell ref="BR49"/>
    <mergeCell ref="BR261"/>
    <mergeCell ref="BR48"/>
    <mergeCell ref="BR266"/>
    <mergeCell ref="BR53"/>
    <mergeCell ref="BR265"/>
    <mergeCell ref="BR52"/>
    <mergeCell ref="BR264"/>
    <mergeCell ref="BR51"/>
    <mergeCell ref="BR269"/>
    <mergeCell ref="BR56"/>
    <mergeCell ref="BR268"/>
    <mergeCell ref="BR55"/>
    <mergeCell ref="BR267"/>
    <mergeCell ref="BR54"/>
    <mergeCell ref="BR248"/>
    <mergeCell ref="BR35"/>
    <mergeCell ref="BR247"/>
    <mergeCell ref="BR34"/>
    <mergeCell ref="BR246"/>
    <mergeCell ref="BR33"/>
    <mergeCell ref="BR251"/>
    <mergeCell ref="BR38"/>
    <mergeCell ref="BR250"/>
    <mergeCell ref="BR37"/>
    <mergeCell ref="BR249"/>
    <mergeCell ref="BR36"/>
    <mergeCell ref="BR254"/>
    <mergeCell ref="BR41"/>
    <mergeCell ref="BR253"/>
    <mergeCell ref="BR40"/>
    <mergeCell ref="BR252"/>
    <mergeCell ref="BR39"/>
    <mergeCell ref="BR257"/>
    <mergeCell ref="BR44"/>
    <mergeCell ref="BR256"/>
    <mergeCell ref="BR43"/>
    <mergeCell ref="BR255"/>
    <mergeCell ref="BR42"/>
    <mergeCell ref="BR236"/>
    <mergeCell ref="BR118"/>
    <mergeCell ref="BR117"/>
    <mergeCell ref="BR284"/>
    <mergeCell ref="BR71"/>
    <mergeCell ref="BR283"/>
    <mergeCell ref="BR70"/>
    <mergeCell ref="BR282"/>
    <mergeCell ref="BR69"/>
    <mergeCell ref="BR74"/>
    <mergeCell ref="BR286"/>
    <mergeCell ref="BR73"/>
    <mergeCell ref="BR285"/>
    <mergeCell ref="BR72"/>
    <mergeCell ref="BR77"/>
    <mergeCell ref="BR76"/>
    <mergeCell ref="BR21"/>
    <mergeCell ref="BR239"/>
    <mergeCell ref="BR26"/>
    <mergeCell ref="BR238"/>
    <mergeCell ref="BR25"/>
    <mergeCell ref="BR237"/>
    <mergeCell ref="BR24"/>
    <mergeCell ref="BR242"/>
    <mergeCell ref="BR29"/>
    <mergeCell ref="BR241"/>
    <mergeCell ref="BR28"/>
    <mergeCell ref="BR240"/>
    <mergeCell ref="BR27"/>
    <mergeCell ref="BR245"/>
    <mergeCell ref="BR32"/>
    <mergeCell ref="BR244"/>
    <mergeCell ref="BR31"/>
    <mergeCell ref="BR243"/>
    <mergeCell ref="BR30"/>
    <mergeCell ref="BR362"/>
    <mergeCell ref="BR149"/>
    <mergeCell ref="BR361"/>
    <mergeCell ref="BR148"/>
    <mergeCell ref="BR360"/>
    <mergeCell ref="BR147"/>
    <mergeCell ref="BR218"/>
    <mergeCell ref="BR5"/>
    <mergeCell ref="BR217"/>
    <mergeCell ref="BR4"/>
    <mergeCell ref="BR216"/>
    <mergeCell ref="BR353"/>
    <mergeCell ref="BR352"/>
    <mergeCell ref="BR351"/>
    <mergeCell ref="BR356"/>
    <mergeCell ref="BR355"/>
    <mergeCell ref="BR354"/>
    <mergeCell ref="BR359"/>
    <mergeCell ref="BR358"/>
    <mergeCell ref="BR357"/>
    <mergeCell ref="BR347"/>
    <mergeCell ref="BR134"/>
    <mergeCell ref="BR346"/>
    <mergeCell ref="BR133"/>
    <mergeCell ref="BR345"/>
    <mergeCell ref="BR132"/>
    <mergeCell ref="BR326"/>
    <mergeCell ref="BR113"/>
    <mergeCell ref="BR325"/>
    <mergeCell ref="BR112"/>
    <mergeCell ref="BR324"/>
    <mergeCell ref="BR111"/>
    <mergeCell ref="BR329"/>
    <mergeCell ref="BR116"/>
    <mergeCell ref="BR328"/>
    <mergeCell ref="BR115"/>
    <mergeCell ref="BR327"/>
    <mergeCell ref="BR114"/>
    <mergeCell ref="BR332"/>
    <mergeCell ref="BR119"/>
    <mergeCell ref="BR331"/>
    <mergeCell ref="BR287"/>
    <mergeCell ref="BR290"/>
    <mergeCell ref="BR289"/>
    <mergeCell ref="BR288"/>
    <mergeCell ref="BR136"/>
    <mergeCell ref="BR348"/>
    <mergeCell ref="BR135"/>
    <mergeCell ref="BR140"/>
    <mergeCell ref="BR139"/>
    <mergeCell ref="BR138"/>
    <mergeCell ref="BR143"/>
    <mergeCell ref="BR142"/>
    <mergeCell ref="BR141"/>
    <mergeCell ref="BR146"/>
    <mergeCell ref="BR145"/>
    <mergeCell ref="BR144"/>
    <mergeCell ref="BR338"/>
    <mergeCell ref="BR125"/>
    <mergeCell ref="BR337"/>
    <mergeCell ref="BR124"/>
    <mergeCell ref="BR336"/>
    <mergeCell ref="BR123"/>
    <mergeCell ref="BR341"/>
    <mergeCell ref="BR128"/>
    <mergeCell ref="BR340"/>
    <mergeCell ref="BR127"/>
    <mergeCell ref="BR339"/>
    <mergeCell ref="BR126"/>
    <mergeCell ref="BR344"/>
    <mergeCell ref="BR131"/>
    <mergeCell ref="BR343"/>
    <mergeCell ref="BR130"/>
    <mergeCell ref="BR342"/>
    <mergeCell ref="BR129"/>
    <mergeCell ref="BR23"/>
    <mergeCell ref="BR235"/>
    <mergeCell ref="BR22"/>
    <mergeCell ref="BR234"/>
    <mergeCell ref="BR75"/>
    <mergeCell ref="BR293"/>
    <mergeCell ref="BR80"/>
    <mergeCell ref="BR292"/>
    <mergeCell ref="BR79"/>
    <mergeCell ref="BR291"/>
    <mergeCell ref="BR78"/>
    <mergeCell ref="BR272"/>
    <mergeCell ref="BR59"/>
    <mergeCell ref="BR271"/>
    <mergeCell ref="BR58"/>
    <mergeCell ref="BR270"/>
    <mergeCell ref="BR57"/>
    <mergeCell ref="BR275"/>
    <mergeCell ref="BR62"/>
    <mergeCell ref="BR274"/>
    <mergeCell ref="BR61"/>
    <mergeCell ref="BR273"/>
    <mergeCell ref="BR60"/>
    <mergeCell ref="BR278"/>
    <mergeCell ref="BR65"/>
    <mergeCell ref="BR277"/>
    <mergeCell ref="BR64"/>
    <mergeCell ref="BR276"/>
    <mergeCell ref="BR63"/>
    <mergeCell ref="BR281"/>
    <mergeCell ref="BR68"/>
    <mergeCell ref="BR280"/>
    <mergeCell ref="BR67"/>
    <mergeCell ref="BR279"/>
    <mergeCell ref="BR122"/>
    <mergeCell ref="BR334"/>
    <mergeCell ref="BR121"/>
    <mergeCell ref="BR333"/>
    <mergeCell ref="BR120"/>
    <mergeCell ref="BR97"/>
    <mergeCell ref="BR309"/>
    <mergeCell ref="BR96"/>
    <mergeCell ref="BR314"/>
    <mergeCell ref="BR101"/>
    <mergeCell ref="BR313"/>
    <mergeCell ref="BR100"/>
    <mergeCell ref="BR312"/>
    <mergeCell ref="BR99"/>
    <mergeCell ref="BR317"/>
    <mergeCell ref="BR104"/>
    <mergeCell ref="BR316"/>
    <mergeCell ref="BR103"/>
    <mergeCell ref="BR315"/>
    <mergeCell ref="BR102"/>
    <mergeCell ref="BR320"/>
    <mergeCell ref="BR107"/>
    <mergeCell ref="BR319"/>
    <mergeCell ref="BR106"/>
    <mergeCell ref="BR318"/>
    <mergeCell ref="BR105"/>
    <mergeCell ref="BR323"/>
    <mergeCell ref="BR110"/>
    <mergeCell ref="BR322"/>
    <mergeCell ref="BR109"/>
    <mergeCell ref="BR321"/>
    <mergeCell ref="BR108"/>
    <mergeCell ref="BR3"/>
    <mergeCell ref="BR221"/>
    <mergeCell ref="BR8"/>
    <mergeCell ref="BR220"/>
    <mergeCell ref="BR7"/>
    <mergeCell ref="BR219"/>
    <mergeCell ref="BR6"/>
    <mergeCell ref="BR224"/>
    <mergeCell ref="BR11"/>
    <mergeCell ref="BR223"/>
    <mergeCell ref="BR10"/>
    <mergeCell ref="BR222"/>
    <mergeCell ref="BR9"/>
    <mergeCell ref="BR227"/>
    <mergeCell ref="BR14"/>
    <mergeCell ref="BR226"/>
    <mergeCell ref="BR13"/>
    <mergeCell ref="BR225"/>
    <mergeCell ref="BR12"/>
    <mergeCell ref="BR230"/>
    <mergeCell ref="BR17"/>
    <mergeCell ref="BR229"/>
    <mergeCell ref="BR16"/>
    <mergeCell ref="BR228"/>
    <mergeCell ref="BR15"/>
    <mergeCell ref="BR233"/>
    <mergeCell ref="BR20"/>
    <mergeCell ref="BR232"/>
    <mergeCell ref="BR19"/>
    <mergeCell ref="BR231"/>
    <mergeCell ref="BR18"/>
    <mergeCell ref="BR137"/>
    <mergeCell ref="BR412"/>
    <mergeCell ref="BR199"/>
    <mergeCell ref="BR411"/>
    <mergeCell ref="BR198"/>
    <mergeCell ref="BR410"/>
    <mergeCell ref="BR197"/>
    <mergeCell ref="BR415"/>
    <mergeCell ref="BR202"/>
    <mergeCell ref="BR414"/>
    <mergeCell ref="BR201"/>
    <mergeCell ref="BR413"/>
    <mergeCell ref="BR200"/>
    <mergeCell ref="BR418"/>
    <mergeCell ref="BR205"/>
    <mergeCell ref="BR417"/>
    <mergeCell ref="BR204"/>
    <mergeCell ref="BR416"/>
    <mergeCell ref="BR203"/>
    <mergeCell ref="BR296"/>
    <mergeCell ref="BR83"/>
    <mergeCell ref="BR425"/>
    <mergeCell ref="BR212"/>
    <mergeCell ref="BR424"/>
    <mergeCell ref="BR211"/>
    <mergeCell ref="BR423"/>
    <mergeCell ref="BR210"/>
    <mergeCell ref="BR422"/>
    <mergeCell ref="BR209"/>
    <mergeCell ref="BR421"/>
    <mergeCell ref="BR208"/>
    <mergeCell ref="BR420"/>
    <mergeCell ref="BR207"/>
    <mergeCell ref="BR419"/>
    <mergeCell ref="BR206"/>
    <mergeCell ref="BR299"/>
    <mergeCell ref="BR86"/>
    <mergeCell ref="BR298"/>
    <mergeCell ref="BR85"/>
    <mergeCell ref="BR297"/>
    <mergeCell ref="BR84"/>
    <mergeCell ref="BR302"/>
    <mergeCell ref="BR89"/>
    <mergeCell ref="BR400"/>
    <mergeCell ref="BR187"/>
    <mergeCell ref="BR399"/>
    <mergeCell ref="BR186"/>
    <mergeCell ref="BR398"/>
    <mergeCell ref="BR185"/>
    <mergeCell ref="BR403"/>
    <mergeCell ref="BR190"/>
    <mergeCell ref="BR402"/>
    <mergeCell ref="BR189"/>
    <mergeCell ref="BR401"/>
    <mergeCell ref="BR188"/>
    <mergeCell ref="BR406"/>
    <mergeCell ref="BR193"/>
    <mergeCell ref="BR405"/>
    <mergeCell ref="BR192"/>
    <mergeCell ref="BR404"/>
    <mergeCell ref="BR191"/>
    <mergeCell ref="BR409"/>
    <mergeCell ref="BR196"/>
    <mergeCell ref="BR408"/>
    <mergeCell ref="BR195"/>
    <mergeCell ref="BR407"/>
    <mergeCell ref="BR194"/>
    <mergeCell ref="BR388"/>
    <mergeCell ref="BR175"/>
    <mergeCell ref="BR387"/>
    <mergeCell ref="BR174"/>
    <mergeCell ref="BR386"/>
    <mergeCell ref="BR173"/>
    <mergeCell ref="BR391"/>
    <mergeCell ref="BR178"/>
    <mergeCell ref="BR390"/>
    <mergeCell ref="BR177"/>
    <mergeCell ref="BR389"/>
    <mergeCell ref="BR176"/>
    <mergeCell ref="BR394"/>
    <mergeCell ref="BR181"/>
    <mergeCell ref="BR393"/>
    <mergeCell ref="BR180"/>
    <mergeCell ref="BR392"/>
    <mergeCell ref="BR179"/>
    <mergeCell ref="BR397"/>
    <mergeCell ref="BR184"/>
    <mergeCell ref="BR396"/>
    <mergeCell ref="BR183"/>
    <mergeCell ref="BR395"/>
    <mergeCell ref="BR182"/>
    <mergeCell ref="BR376"/>
    <mergeCell ref="BR163"/>
    <mergeCell ref="BR375"/>
    <mergeCell ref="BR162"/>
    <mergeCell ref="BR374"/>
    <mergeCell ref="BR161"/>
    <mergeCell ref="BR379"/>
    <mergeCell ref="BR166"/>
    <mergeCell ref="BR378"/>
    <mergeCell ref="BR165"/>
    <mergeCell ref="BR377"/>
    <mergeCell ref="BR164"/>
    <mergeCell ref="BR382"/>
    <mergeCell ref="BR169"/>
    <mergeCell ref="BR381"/>
    <mergeCell ref="BR168"/>
    <mergeCell ref="BR380"/>
    <mergeCell ref="BR167"/>
    <mergeCell ref="BR385"/>
    <mergeCell ref="BR172"/>
    <mergeCell ref="BR384"/>
    <mergeCell ref="BR171"/>
    <mergeCell ref="BR383"/>
    <mergeCell ref="BR170"/>
    <mergeCell ref="BR330"/>
    <mergeCell ref="BR335"/>
    <mergeCell ref="BR350"/>
    <mergeCell ref="BR349"/>
    <mergeCell ref="BS293"/>
    <mergeCell ref="BS80"/>
    <mergeCell ref="BS292"/>
    <mergeCell ref="BS79"/>
    <mergeCell ref="BS291"/>
    <mergeCell ref="BS78"/>
    <mergeCell ref="BR367"/>
    <mergeCell ref="BR154"/>
    <mergeCell ref="BR366"/>
    <mergeCell ref="BR153"/>
    <mergeCell ref="BR365"/>
    <mergeCell ref="BR152"/>
    <mergeCell ref="BR370"/>
    <mergeCell ref="BR157"/>
    <mergeCell ref="BR369"/>
    <mergeCell ref="BR156"/>
    <mergeCell ref="BR368"/>
    <mergeCell ref="BR155"/>
    <mergeCell ref="BR373"/>
    <mergeCell ref="BR160"/>
    <mergeCell ref="BR372"/>
    <mergeCell ref="BR159"/>
    <mergeCell ref="BR371"/>
    <mergeCell ref="BR158"/>
    <mergeCell ref="BR301"/>
    <mergeCell ref="BR88"/>
    <mergeCell ref="BR300"/>
    <mergeCell ref="BR87"/>
    <mergeCell ref="BR305"/>
    <mergeCell ref="BR92"/>
    <mergeCell ref="BR304"/>
    <mergeCell ref="BR91"/>
    <mergeCell ref="BR303"/>
    <mergeCell ref="BR90"/>
    <mergeCell ref="BR308"/>
    <mergeCell ref="BR95"/>
    <mergeCell ref="BR307"/>
    <mergeCell ref="BR94"/>
    <mergeCell ref="BR306"/>
    <mergeCell ref="BR93"/>
    <mergeCell ref="BR311"/>
    <mergeCell ref="BR98"/>
    <mergeCell ref="BR310"/>
    <mergeCell ref="BS281"/>
    <mergeCell ref="BS362"/>
    <mergeCell ref="BS361"/>
    <mergeCell ref="BS360"/>
    <mergeCell ref="BS344"/>
    <mergeCell ref="BS343"/>
    <mergeCell ref="BS342"/>
    <mergeCell ref="BS347"/>
    <mergeCell ref="BS346"/>
    <mergeCell ref="BS345"/>
    <mergeCell ref="BS350"/>
    <mergeCell ref="BS349"/>
    <mergeCell ref="BS348"/>
    <mergeCell ref="BS353"/>
    <mergeCell ref="BS352"/>
    <mergeCell ref="BS351"/>
    <mergeCell ref="BS332"/>
    <mergeCell ref="BS331"/>
    <mergeCell ref="BS330"/>
    <mergeCell ref="BS335"/>
    <mergeCell ref="BS334"/>
    <mergeCell ref="BS73"/>
    <mergeCell ref="BS285"/>
    <mergeCell ref="BS72"/>
    <mergeCell ref="BS290"/>
    <mergeCell ref="BS77"/>
    <mergeCell ref="BS289"/>
    <mergeCell ref="BS76"/>
    <mergeCell ref="BS288"/>
    <mergeCell ref="BS75"/>
    <mergeCell ref="BS269"/>
    <mergeCell ref="BS56"/>
    <mergeCell ref="BS268"/>
    <mergeCell ref="BS55"/>
    <mergeCell ref="BS267"/>
    <mergeCell ref="BS54"/>
    <mergeCell ref="BS272"/>
    <mergeCell ref="BS59"/>
    <mergeCell ref="BS271"/>
    <mergeCell ref="BS58"/>
    <mergeCell ref="BS270"/>
    <mergeCell ref="BS57"/>
    <mergeCell ref="BS275"/>
    <mergeCell ref="BS62"/>
    <mergeCell ref="BS274"/>
    <mergeCell ref="BS61"/>
    <mergeCell ref="BS273"/>
    <mergeCell ref="BS60"/>
    <mergeCell ref="BS278"/>
    <mergeCell ref="BS65"/>
    <mergeCell ref="BS277"/>
    <mergeCell ref="BS64"/>
    <mergeCell ref="BS276"/>
    <mergeCell ref="BS63"/>
    <mergeCell ref="BS257"/>
    <mergeCell ref="BS119"/>
    <mergeCell ref="BS118"/>
    <mergeCell ref="BS117"/>
    <mergeCell ref="BS122"/>
    <mergeCell ref="BS121"/>
    <mergeCell ref="BS91"/>
    <mergeCell ref="BS90"/>
    <mergeCell ref="BS95"/>
    <mergeCell ref="BS94"/>
    <mergeCell ref="BS93"/>
    <mergeCell ref="BS98"/>
    <mergeCell ref="BS97"/>
    <mergeCell ref="BS96"/>
    <mergeCell ref="BS101"/>
    <mergeCell ref="BS100"/>
    <mergeCell ref="BS99"/>
    <mergeCell ref="BS161"/>
    <mergeCell ref="BS104"/>
    <mergeCell ref="BS120"/>
    <mergeCell ref="BS68"/>
    <mergeCell ref="BS67"/>
    <mergeCell ref="BS66"/>
    <mergeCell ref="BS284"/>
    <mergeCell ref="BS71"/>
    <mergeCell ref="BS283"/>
    <mergeCell ref="BS70"/>
    <mergeCell ref="BS282"/>
    <mergeCell ref="BS69"/>
    <mergeCell ref="BS287"/>
    <mergeCell ref="BS74"/>
    <mergeCell ref="BS44"/>
    <mergeCell ref="BS256"/>
    <mergeCell ref="BS43"/>
    <mergeCell ref="BS255"/>
    <mergeCell ref="BS42"/>
    <mergeCell ref="BS260"/>
    <mergeCell ref="BS47"/>
    <mergeCell ref="BS259"/>
    <mergeCell ref="BS46"/>
    <mergeCell ref="BS258"/>
    <mergeCell ref="BS45"/>
    <mergeCell ref="BS263"/>
    <mergeCell ref="BS50"/>
    <mergeCell ref="BS262"/>
    <mergeCell ref="BS49"/>
    <mergeCell ref="BS261"/>
    <mergeCell ref="BS48"/>
    <mergeCell ref="BS266"/>
    <mergeCell ref="BS53"/>
    <mergeCell ref="BS265"/>
    <mergeCell ref="BS52"/>
    <mergeCell ref="BS264"/>
    <mergeCell ref="BS51"/>
    <mergeCell ref="BS241"/>
    <mergeCell ref="BS28"/>
    <mergeCell ref="BS240"/>
    <mergeCell ref="BS27"/>
    <mergeCell ref="BS245"/>
    <mergeCell ref="BS32"/>
    <mergeCell ref="BS244"/>
    <mergeCell ref="BS31"/>
    <mergeCell ref="BS243"/>
    <mergeCell ref="BS30"/>
    <mergeCell ref="BS248"/>
    <mergeCell ref="BS35"/>
    <mergeCell ref="BS247"/>
    <mergeCell ref="BS34"/>
    <mergeCell ref="BS246"/>
    <mergeCell ref="BS33"/>
    <mergeCell ref="BS251"/>
    <mergeCell ref="BS38"/>
    <mergeCell ref="BS250"/>
    <mergeCell ref="BS37"/>
    <mergeCell ref="BS249"/>
    <mergeCell ref="BS36"/>
    <mergeCell ref="BS254"/>
    <mergeCell ref="BS41"/>
    <mergeCell ref="BS253"/>
    <mergeCell ref="BS40"/>
    <mergeCell ref="BS252"/>
    <mergeCell ref="BS39"/>
    <mergeCell ref="BS216"/>
    <mergeCell ref="BS131"/>
    <mergeCell ref="BS130"/>
    <mergeCell ref="BS129"/>
    <mergeCell ref="BS134"/>
    <mergeCell ref="BS133"/>
    <mergeCell ref="BS132"/>
    <mergeCell ref="BS137"/>
    <mergeCell ref="BS136"/>
    <mergeCell ref="BS135"/>
    <mergeCell ref="BS140"/>
    <mergeCell ref="BS139"/>
    <mergeCell ref="BS138"/>
    <mergeCell ref="BS3"/>
    <mergeCell ref="BS221"/>
    <mergeCell ref="BS8"/>
    <mergeCell ref="BS220"/>
    <mergeCell ref="BS7"/>
    <mergeCell ref="BS219"/>
    <mergeCell ref="BS6"/>
    <mergeCell ref="BS224"/>
    <mergeCell ref="BS11"/>
    <mergeCell ref="BS223"/>
    <mergeCell ref="BS10"/>
    <mergeCell ref="BS222"/>
    <mergeCell ref="BS9"/>
    <mergeCell ref="BS227"/>
    <mergeCell ref="BS14"/>
    <mergeCell ref="BS226"/>
    <mergeCell ref="BS13"/>
    <mergeCell ref="BS225"/>
    <mergeCell ref="BS12"/>
    <mergeCell ref="BS230"/>
    <mergeCell ref="BS17"/>
    <mergeCell ref="BS229"/>
    <mergeCell ref="BS16"/>
    <mergeCell ref="BS228"/>
    <mergeCell ref="BS15"/>
    <mergeCell ref="BS356"/>
    <mergeCell ref="BS143"/>
    <mergeCell ref="BS355"/>
    <mergeCell ref="BS142"/>
    <mergeCell ref="BS354"/>
    <mergeCell ref="BS141"/>
    <mergeCell ref="BS359"/>
    <mergeCell ref="BS146"/>
    <mergeCell ref="BS358"/>
    <mergeCell ref="BS145"/>
    <mergeCell ref="BS357"/>
    <mergeCell ref="BS144"/>
    <mergeCell ref="BS149"/>
    <mergeCell ref="BS148"/>
    <mergeCell ref="BS147"/>
    <mergeCell ref="BS218"/>
    <mergeCell ref="BS5"/>
    <mergeCell ref="BS217"/>
    <mergeCell ref="BS4"/>
    <mergeCell ref="BS233"/>
    <mergeCell ref="BS20"/>
    <mergeCell ref="BS232"/>
    <mergeCell ref="BS19"/>
    <mergeCell ref="BS231"/>
    <mergeCell ref="BS18"/>
    <mergeCell ref="BS236"/>
    <mergeCell ref="BS23"/>
    <mergeCell ref="BS235"/>
    <mergeCell ref="BS22"/>
    <mergeCell ref="BS234"/>
    <mergeCell ref="BS21"/>
    <mergeCell ref="BS239"/>
    <mergeCell ref="BS26"/>
    <mergeCell ref="BS238"/>
    <mergeCell ref="BS25"/>
    <mergeCell ref="BS237"/>
    <mergeCell ref="BS24"/>
    <mergeCell ref="BS242"/>
    <mergeCell ref="BS29"/>
    <mergeCell ref="BS338"/>
    <mergeCell ref="BS125"/>
    <mergeCell ref="BS337"/>
    <mergeCell ref="BS124"/>
    <mergeCell ref="BS336"/>
    <mergeCell ref="BS123"/>
    <mergeCell ref="BS341"/>
    <mergeCell ref="BS128"/>
    <mergeCell ref="BS340"/>
    <mergeCell ref="BS127"/>
    <mergeCell ref="BS339"/>
    <mergeCell ref="BS126"/>
    <mergeCell ref="BS320"/>
    <mergeCell ref="BS107"/>
    <mergeCell ref="BS319"/>
    <mergeCell ref="BS106"/>
    <mergeCell ref="BS318"/>
    <mergeCell ref="BS105"/>
    <mergeCell ref="BS323"/>
    <mergeCell ref="BS110"/>
    <mergeCell ref="BS322"/>
    <mergeCell ref="BS109"/>
    <mergeCell ref="BS321"/>
    <mergeCell ref="BS108"/>
    <mergeCell ref="BS326"/>
    <mergeCell ref="BS113"/>
    <mergeCell ref="BS325"/>
    <mergeCell ref="BS112"/>
    <mergeCell ref="BS324"/>
    <mergeCell ref="BS111"/>
    <mergeCell ref="BS329"/>
    <mergeCell ref="BS116"/>
    <mergeCell ref="BS328"/>
    <mergeCell ref="BS115"/>
    <mergeCell ref="BS327"/>
    <mergeCell ref="BS114"/>
    <mergeCell ref="BS304"/>
    <mergeCell ref="BS303"/>
    <mergeCell ref="BS308"/>
    <mergeCell ref="BS307"/>
    <mergeCell ref="BS306"/>
    <mergeCell ref="BS311"/>
    <mergeCell ref="BS310"/>
    <mergeCell ref="BS309"/>
    <mergeCell ref="BS314"/>
    <mergeCell ref="BS313"/>
    <mergeCell ref="BS312"/>
    <mergeCell ref="BS317"/>
    <mergeCell ref="BS194"/>
    <mergeCell ref="BS165"/>
    <mergeCell ref="BS164"/>
    <mergeCell ref="BS154"/>
    <mergeCell ref="BS153"/>
    <mergeCell ref="BS152"/>
    <mergeCell ref="BS157"/>
    <mergeCell ref="BS156"/>
    <mergeCell ref="BS155"/>
    <mergeCell ref="BS160"/>
    <mergeCell ref="BS159"/>
    <mergeCell ref="BS158"/>
    <mergeCell ref="BS163"/>
    <mergeCell ref="BS162"/>
    <mergeCell ref="BS280"/>
    <mergeCell ref="BS279"/>
    <mergeCell ref="BS316"/>
    <mergeCell ref="BS103"/>
    <mergeCell ref="BS315"/>
    <mergeCell ref="BS102"/>
    <mergeCell ref="BS415"/>
    <mergeCell ref="BS202"/>
    <mergeCell ref="BS414"/>
    <mergeCell ref="BS201"/>
    <mergeCell ref="BS413"/>
    <mergeCell ref="BS200"/>
    <mergeCell ref="BS418"/>
    <mergeCell ref="BS205"/>
    <mergeCell ref="BS417"/>
    <mergeCell ref="BS204"/>
    <mergeCell ref="BS416"/>
    <mergeCell ref="BS203"/>
    <mergeCell ref="BS296"/>
    <mergeCell ref="BS83"/>
    <mergeCell ref="BS425"/>
    <mergeCell ref="BS212"/>
    <mergeCell ref="BS424"/>
    <mergeCell ref="BS211"/>
    <mergeCell ref="BS423"/>
    <mergeCell ref="BS210"/>
    <mergeCell ref="BS422"/>
    <mergeCell ref="BS209"/>
    <mergeCell ref="BS421"/>
    <mergeCell ref="BS208"/>
    <mergeCell ref="BS420"/>
    <mergeCell ref="BS207"/>
    <mergeCell ref="BS419"/>
    <mergeCell ref="BS206"/>
    <mergeCell ref="BS299"/>
    <mergeCell ref="BS86"/>
    <mergeCell ref="BS298"/>
    <mergeCell ref="BS85"/>
    <mergeCell ref="BS297"/>
    <mergeCell ref="BS84"/>
    <mergeCell ref="BS302"/>
    <mergeCell ref="BS89"/>
    <mergeCell ref="BS301"/>
    <mergeCell ref="BS88"/>
    <mergeCell ref="BS300"/>
    <mergeCell ref="BS87"/>
    <mergeCell ref="BS305"/>
    <mergeCell ref="BS92"/>
    <mergeCell ref="BS403"/>
    <mergeCell ref="BS190"/>
    <mergeCell ref="BS402"/>
    <mergeCell ref="BS189"/>
    <mergeCell ref="BS401"/>
    <mergeCell ref="BS188"/>
    <mergeCell ref="BS406"/>
    <mergeCell ref="BS193"/>
    <mergeCell ref="BS405"/>
    <mergeCell ref="BS192"/>
    <mergeCell ref="BS404"/>
    <mergeCell ref="BS191"/>
    <mergeCell ref="BS409"/>
    <mergeCell ref="BS196"/>
    <mergeCell ref="BS408"/>
    <mergeCell ref="BS195"/>
    <mergeCell ref="BS407"/>
    <mergeCell ref="BS333"/>
    <mergeCell ref="BS412"/>
    <mergeCell ref="BS199"/>
    <mergeCell ref="BS411"/>
    <mergeCell ref="BS198"/>
    <mergeCell ref="BS410"/>
    <mergeCell ref="BS197"/>
    <mergeCell ref="BS391"/>
    <mergeCell ref="BS178"/>
    <mergeCell ref="BS390"/>
    <mergeCell ref="BS177"/>
    <mergeCell ref="BS389"/>
    <mergeCell ref="BS176"/>
    <mergeCell ref="BS394"/>
    <mergeCell ref="BS181"/>
    <mergeCell ref="BS393"/>
    <mergeCell ref="BS180"/>
    <mergeCell ref="BS392"/>
    <mergeCell ref="BS179"/>
    <mergeCell ref="BS397"/>
    <mergeCell ref="BS184"/>
    <mergeCell ref="BS396"/>
    <mergeCell ref="BS183"/>
    <mergeCell ref="BS395"/>
    <mergeCell ref="BS182"/>
    <mergeCell ref="BS400"/>
    <mergeCell ref="BS187"/>
    <mergeCell ref="BS399"/>
    <mergeCell ref="BS186"/>
    <mergeCell ref="BS398"/>
    <mergeCell ref="BS185"/>
    <mergeCell ref="BS379"/>
    <mergeCell ref="BS166"/>
    <mergeCell ref="BS378"/>
    <mergeCell ref="BS377"/>
    <mergeCell ref="BS382"/>
    <mergeCell ref="BS169"/>
    <mergeCell ref="BS381"/>
    <mergeCell ref="BS168"/>
    <mergeCell ref="BS380"/>
    <mergeCell ref="BS167"/>
    <mergeCell ref="BS385"/>
    <mergeCell ref="BS172"/>
    <mergeCell ref="BS384"/>
    <mergeCell ref="BS171"/>
    <mergeCell ref="BS383"/>
    <mergeCell ref="BS170"/>
    <mergeCell ref="BS388"/>
    <mergeCell ref="BS175"/>
    <mergeCell ref="BS387"/>
    <mergeCell ref="BS174"/>
    <mergeCell ref="BS386"/>
    <mergeCell ref="BS173"/>
    <mergeCell ref="BS367"/>
    <mergeCell ref="BS366"/>
    <mergeCell ref="BS365"/>
    <mergeCell ref="BS370"/>
    <mergeCell ref="BS369"/>
    <mergeCell ref="BS368"/>
    <mergeCell ref="BS373"/>
    <mergeCell ref="BS372"/>
    <mergeCell ref="BS371"/>
    <mergeCell ref="BS376"/>
    <mergeCell ref="BS375"/>
    <mergeCell ref="BS374"/>
    <mergeCell ref="BT288"/>
    <mergeCell ref="BT75"/>
    <mergeCell ref="BT293"/>
    <mergeCell ref="BT80"/>
    <mergeCell ref="BT292"/>
    <mergeCell ref="BT79"/>
    <mergeCell ref="BT291"/>
    <mergeCell ref="BT78"/>
    <mergeCell ref="BT272"/>
    <mergeCell ref="BT59"/>
    <mergeCell ref="BT271"/>
    <mergeCell ref="BT58"/>
    <mergeCell ref="BT270"/>
    <mergeCell ref="BT57"/>
    <mergeCell ref="BT275"/>
    <mergeCell ref="BT62"/>
    <mergeCell ref="BT274"/>
    <mergeCell ref="BT61"/>
    <mergeCell ref="BT273"/>
    <mergeCell ref="BT60"/>
    <mergeCell ref="BT278"/>
    <mergeCell ref="BT65"/>
    <mergeCell ref="BT277"/>
    <mergeCell ref="BT64"/>
    <mergeCell ref="BT276"/>
    <mergeCell ref="BT63"/>
    <mergeCell ref="BT281"/>
    <mergeCell ref="BT68"/>
    <mergeCell ref="BT280"/>
    <mergeCell ref="BT67"/>
    <mergeCell ref="BT279"/>
    <mergeCell ref="BT66"/>
    <mergeCell ref="BT260"/>
    <mergeCell ref="BT255"/>
    <mergeCell ref="BT109"/>
    <mergeCell ref="BS286"/>
    <mergeCell ref="BT362"/>
    <mergeCell ref="BT149"/>
    <mergeCell ref="BT361"/>
    <mergeCell ref="BT148"/>
    <mergeCell ref="BT360"/>
    <mergeCell ref="BT147"/>
    <mergeCell ref="BT218"/>
    <mergeCell ref="BT5"/>
    <mergeCell ref="BT217"/>
    <mergeCell ref="BT4"/>
    <mergeCell ref="BT216"/>
    <mergeCell ref="BT353"/>
    <mergeCell ref="BT352"/>
    <mergeCell ref="BT351"/>
    <mergeCell ref="BT356"/>
    <mergeCell ref="BT355"/>
    <mergeCell ref="BT354"/>
    <mergeCell ref="BT359"/>
    <mergeCell ref="BT358"/>
    <mergeCell ref="BT357"/>
    <mergeCell ref="BT347"/>
    <mergeCell ref="BT134"/>
    <mergeCell ref="BT346"/>
    <mergeCell ref="BT133"/>
    <mergeCell ref="BT345"/>
    <mergeCell ref="BT132"/>
    <mergeCell ref="BT326"/>
    <mergeCell ref="BT113"/>
    <mergeCell ref="BT325"/>
    <mergeCell ref="BT112"/>
    <mergeCell ref="BT324"/>
    <mergeCell ref="BT111"/>
    <mergeCell ref="BT329"/>
    <mergeCell ref="BT116"/>
    <mergeCell ref="BT328"/>
    <mergeCell ref="BT115"/>
    <mergeCell ref="BT327"/>
    <mergeCell ref="BT114"/>
    <mergeCell ref="BT332"/>
    <mergeCell ref="BT119"/>
    <mergeCell ref="BT331"/>
    <mergeCell ref="BT47"/>
    <mergeCell ref="BT259"/>
    <mergeCell ref="BT46"/>
    <mergeCell ref="BT258"/>
    <mergeCell ref="BT45"/>
    <mergeCell ref="BT263"/>
    <mergeCell ref="BT50"/>
    <mergeCell ref="BT262"/>
    <mergeCell ref="BT49"/>
    <mergeCell ref="BT261"/>
    <mergeCell ref="BT48"/>
    <mergeCell ref="BT266"/>
    <mergeCell ref="BT53"/>
    <mergeCell ref="BT265"/>
    <mergeCell ref="BT52"/>
    <mergeCell ref="BT264"/>
    <mergeCell ref="BT51"/>
    <mergeCell ref="BT269"/>
    <mergeCell ref="BT56"/>
    <mergeCell ref="BT268"/>
    <mergeCell ref="BT55"/>
    <mergeCell ref="BT267"/>
    <mergeCell ref="BT338"/>
    <mergeCell ref="BT125"/>
    <mergeCell ref="BT337"/>
    <mergeCell ref="BT124"/>
    <mergeCell ref="BT336"/>
    <mergeCell ref="BT123"/>
    <mergeCell ref="BT341"/>
    <mergeCell ref="BT128"/>
    <mergeCell ref="BT340"/>
    <mergeCell ref="BT127"/>
    <mergeCell ref="BT339"/>
    <mergeCell ref="BT126"/>
    <mergeCell ref="BT344"/>
    <mergeCell ref="BT131"/>
    <mergeCell ref="BT343"/>
    <mergeCell ref="BT130"/>
    <mergeCell ref="BT342"/>
    <mergeCell ref="BT129"/>
    <mergeCell ref="BT23"/>
    <mergeCell ref="BT235"/>
    <mergeCell ref="BT22"/>
    <mergeCell ref="BT234"/>
    <mergeCell ref="BT21"/>
    <mergeCell ref="BT239"/>
    <mergeCell ref="BT26"/>
    <mergeCell ref="BT238"/>
    <mergeCell ref="BT25"/>
    <mergeCell ref="BT237"/>
    <mergeCell ref="BT24"/>
    <mergeCell ref="BT242"/>
    <mergeCell ref="BT29"/>
    <mergeCell ref="BT241"/>
    <mergeCell ref="BT28"/>
    <mergeCell ref="BT240"/>
    <mergeCell ref="BT27"/>
    <mergeCell ref="BT245"/>
    <mergeCell ref="BT32"/>
    <mergeCell ref="BT244"/>
    <mergeCell ref="BT31"/>
    <mergeCell ref="BT243"/>
    <mergeCell ref="BT30"/>
    <mergeCell ref="BT248"/>
    <mergeCell ref="BT35"/>
    <mergeCell ref="BT247"/>
    <mergeCell ref="BT34"/>
    <mergeCell ref="BT246"/>
    <mergeCell ref="BT33"/>
    <mergeCell ref="BT251"/>
    <mergeCell ref="BT38"/>
    <mergeCell ref="BT250"/>
    <mergeCell ref="BT37"/>
    <mergeCell ref="BT249"/>
    <mergeCell ref="BT36"/>
    <mergeCell ref="BT254"/>
    <mergeCell ref="BT41"/>
    <mergeCell ref="BT253"/>
    <mergeCell ref="BT40"/>
    <mergeCell ref="BT252"/>
    <mergeCell ref="BT39"/>
    <mergeCell ref="BT257"/>
    <mergeCell ref="BT44"/>
    <mergeCell ref="BT256"/>
    <mergeCell ref="BT43"/>
    <mergeCell ref="BT284"/>
    <mergeCell ref="BT321"/>
    <mergeCell ref="BT108"/>
    <mergeCell ref="BT3"/>
    <mergeCell ref="BT221"/>
    <mergeCell ref="BT8"/>
    <mergeCell ref="BT220"/>
    <mergeCell ref="BT7"/>
    <mergeCell ref="BT219"/>
    <mergeCell ref="BT6"/>
    <mergeCell ref="BT224"/>
    <mergeCell ref="BT11"/>
    <mergeCell ref="BT223"/>
    <mergeCell ref="BT10"/>
    <mergeCell ref="BT222"/>
    <mergeCell ref="BT9"/>
    <mergeCell ref="BT227"/>
    <mergeCell ref="BT14"/>
    <mergeCell ref="BT226"/>
    <mergeCell ref="BT13"/>
    <mergeCell ref="BT225"/>
    <mergeCell ref="BT12"/>
    <mergeCell ref="BT230"/>
    <mergeCell ref="BT17"/>
    <mergeCell ref="BT229"/>
    <mergeCell ref="BT16"/>
    <mergeCell ref="BT228"/>
    <mergeCell ref="BT15"/>
    <mergeCell ref="BT233"/>
    <mergeCell ref="BT20"/>
    <mergeCell ref="BT232"/>
    <mergeCell ref="BT19"/>
    <mergeCell ref="BT231"/>
    <mergeCell ref="BT18"/>
    <mergeCell ref="BT137"/>
    <mergeCell ref="BT136"/>
    <mergeCell ref="BT135"/>
    <mergeCell ref="BT140"/>
    <mergeCell ref="BT139"/>
    <mergeCell ref="BT138"/>
    <mergeCell ref="BT143"/>
    <mergeCell ref="BT142"/>
    <mergeCell ref="BT141"/>
    <mergeCell ref="BT146"/>
    <mergeCell ref="BT145"/>
    <mergeCell ref="BT144"/>
    <mergeCell ref="BT42"/>
    <mergeCell ref="BT236"/>
    <mergeCell ref="BT118"/>
    <mergeCell ref="BT54"/>
    <mergeCell ref="BT71"/>
    <mergeCell ref="BT283"/>
    <mergeCell ref="BT70"/>
    <mergeCell ref="BT282"/>
    <mergeCell ref="BT69"/>
    <mergeCell ref="BT287"/>
    <mergeCell ref="BT74"/>
    <mergeCell ref="BT286"/>
    <mergeCell ref="BT73"/>
    <mergeCell ref="BT285"/>
    <mergeCell ref="BT72"/>
    <mergeCell ref="BT290"/>
    <mergeCell ref="BT77"/>
    <mergeCell ref="BT289"/>
    <mergeCell ref="BT76"/>
    <mergeCell ref="BT412"/>
    <mergeCell ref="BT199"/>
    <mergeCell ref="BT411"/>
    <mergeCell ref="BT198"/>
    <mergeCell ref="BT410"/>
    <mergeCell ref="BT197"/>
    <mergeCell ref="BT415"/>
    <mergeCell ref="BT202"/>
    <mergeCell ref="BT414"/>
    <mergeCell ref="BT201"/>
    <mergeCell ref="BT413"/>
    <mergeCell ref="BT200"/>
    <mergeCell ref="BT418"/>
    <mergeCell ref="BT205"/>
    <mergeCell ref="BT417"/>
    <mergeCell ref="BT204"/>
    <mergeCell ref="BT416"/>
    <mergeCell ref="BT203"/>
    <mergeCell ref="BT296"/>
    <mergeCell ref="BT83"/>
    <mergeCell ref="BT425"/>
    <mergeCell ref="BT212"/>
    <mergeCell ref="BT424"/>
    <mergeCell ref="BT211"/>
    <mergeCell ref="BT423"/>
    <mergeCell ref="BT210"/>
    <mergeCell ref="BT422"/>
    <mergeCell ref="BT209"/>
    <mergeCell ref="BT421"/>
    <mergeCell ref="BT208"/>
    <mergeCell ref="BT420"/>
    <mergeCell ref="BT207"/>
    <mergeCell ref="BT419"/>
    <mergeCell ref="BT206"/>
    <mergeCell ref="BT299"/>
    <mergeCell ref="BT86"/>
    <mergeCell ref="BT298"/>
    <mergeCell ref="BT85"/>
    <mergeCell ref="BT297"/>
    <mergeCell ref="BT84"/>
    <mergeCell ref="BT302"/>
    <mergeCell ref="BT89"/>
    <mergeCell ref="BT400"/>
    <mergeCell ref="BT187"/>
    <mergeCell ref="BT399"/>
    <mergeCell ref="BT186"/>
    <mergeCell ref="BT398"/>
    <mergeCell ref="BT185"/>
    <mergeCell ref="BT403"/>
    <mergeCell ref="BT190"/>
    <mergeCell ref="BT402"/>
    <mergeCell ref="BT189"/>
    <mergeCell ref="BT401"/>
    <mergeCell ref="BT188"/>
    <mergeCell ref="BT406"/>
    <mergeCell ref="BT193"/>
    <mergeCell ref="BT405"/>
    <mergeCell ref="BT192"/>
    <mergeCell ref="BT404"/>
    <mergeCell ref="BT191"/>
    <mergeCell ref="BT409"/>
    <mergeCell ref="BT196"/>
    <mergeCell ref="BT408"/>
    <mergeCell ref="BT195"/>
    <mergeCell ref="BU340"/>
    <mergeCell ref="BU337"/>
    <mergeCell ref="BU338"/>
    <mergeCell ref="BU335"/>
    <mergeCell ref="BU336"/>
    <mergeCell ref="BU345"/>
    <mergeCell ref="BT407"/>
    <mergeCell ref="BT194"/>
    <mergeCell ref="BT388"/>
    <mergeCell ref="BT175"/>
    <mergeCell ref="BT387"/>
    <mergeCell ref="BT174"/>
    <mergeCell ref="BT386"/>
    <mergeCell ref="BT173"/>
    <mergeCell ref="BT391"/>
    <mergeCell ref="BT178"/>
    <mergeCell ref="BT390"/>
    <mergeCell ref="BT177"/>
    <mergeCell ref="BT389"/>
    <mergeCell ref="BT176"/>
    <mergeCell ref="BT394"/>
    <mergeCell ref="BT181"/>
    <mergeCell ref="BT393"/>
    <mergeCell ref="BT180"/>
    <mergeCell ref="BT392"/>
    <mergeCell ref="BT179"/>
    <mergeCell ref="BT397"/>
    <mergeCell ref="BT184"/>
    <mergeCell ref="BT396"/>
    <mergeCell ref="BT183"/>
    <mergeCell ref="BT395"/>
    <mergeCell ref="BT182"/>
    <mergeCell ref="BT376"/>
    <mergeCell ref="BT375"/>
    <mergeCell ref="BT374"/>
    <mergeCell ref="BT379"/>
    <mergeCell ref="BT378"/>
    <mergeCell ref="BT377"/>
    <mergeCell ref="BT382"/>
    <mergeCell ref="BT381"/>
    <mergeCell ref="BT380"/>
    <mergeCell ref="BT385"/>
    <mergeCell ref="BT384"/>
    <mergeCell ref="BT383"/>
    <mergeCell ref="BT330"/>
    <mergeCell ref="BT335"/>
    <mergeCell ref="BT334"/>
    <mergeCell ref="BT333"/>
    <mergeCell ref="BT310"/>
    <mergeCell ref="BT309"/>
    <mergeCell ref="BT314"/>
    <mergeCell ref="BT313"/>
    <mergeCell ref="BT312"/>
    <mergeCell ref="BT317"/>
    <mergeCell ref="BT316"/>
    <mergeCell ref="BT315"/>
    <mergeCell ref="BT320"/>
    <mergeCell ref="BT319"/>
    <mergeCell ref="BT318"/>
    <mergeCell ref="BT323"/>
    <mergeCell ref="BT322"/>
    <mergeCell ref="BT350"/>
    <mergeCell ref="BT349"/>
    <mergeCell ref="BT348"/>
    <mergeCell ref="BT367"/>
    <mergeCell ref="BT154"/>
    <mergeCell ref="BT366"/>
    <mergeCell ref="BT153"/>
    <mergeCell ref="BT365"/>
    <mergeCell ref="BT152"/>
    <mergeCell ref="BT370"/>
    <mergeCell ref="BT157"/>
    <mergeCell ref="BT369"/>
    <mergeCell ref="BT156"/>
    <mergeCell ref="BT368"/>
    <mergeCell ref="BT155"/>
    <mergeCell ref="BT373"/>
    <mergeCell ref="BT160"/>
    <mergeCell ref="BT372"/>
    <mergeCell ref="BT159"/>
    <mergeCell ref="BT371"/>
    <mergeCell ref="BT158"/>
    <mergeCell ref="BT301"/>
    <mergeCell ref="BT88"/>
    <mergeCell ref="BT300"/>
    <mergeCell ref="BT87"/>
    <mergeCell ref="BT305"/>
    <mergeCell ref="BT92"/>
    <mergeCell ref="BT304"/>
    <mergeCell ref="BT91"/>
    <mergeCell ref="BT303"/>
    <mergeCell ref="BT90"/>
    <mergeCell ref="BT308"/>
    <mergeCell ref="BT95"/>
    <mergeCell ref="BT307"/>
    <mergeCell ref="BT94"/>
    <mergeCell ref="BT306"/>
    <mergeCell ref="BT93"/>
    <mergeCell ref="BT311"/>
    <mergeCell ref="BT98"/>
    <mergeCell ref="BT163"/>
    <mergeCell ref="BT162"/>
    <mergeCell ref="BT161"/>
    <mergeCell ref="BT166"/>
    <mergeCell ref="BT165"/>
    <mergeCell ref="BT164"/>
    <mergeCell ref="BT169"/>
    <mergeCell ref="BT168"/>
    <mergeCell ref="BT167"/>
    <mergeCell ref="BT172"/>
    <mergeCell ref="BT171"/>
    <mergeCell ref="BT170"/>
    <mergeCell ref="BT117"/>
    <mergeCell ref="BT122"/>
    <mergeCell ref="BT121"/>
    <mergeCell ref="BT120"/>
    <mergeCell ref="BT97"/>
    <mergeCell ref="BT96"/>
    <mergeCell ref="BT101"/>
    <mergeCell ref="BT100"/>
    <mergeCell ref="BT99"/>
    <mergeCell ref="BT104"/>
    <mergeCell ref="BT103"/>
    <mergeCell ref="BT102"/>
    <mergeCell ref="BT107"/>
    <mergeCell ref="BT106"/>
    <mergeCell ref="BT105"/>
    <mergeCell ref="BT110"/>
    <mergeCell ref="BU58"/>
    <mergeCell ref="BU272"/>
    <mergeCell ref="BU59"/>
    <mergeCell ref="BU281"/>
    <mergeCell ref="BU68"/>
    <mergeCell ref="BU282"/>
    <mergeCell ref="BU69"/>
    <mergeCell ref="BU279"/>
    <mergeCell ref="BU66"/>
    <mergeCell ref="BU280"/>
    <mergeCell ref="BU67"/>
    <mergeCell ref="BU277"/>
    <mergeCell ref="BU64"/>
    <mergeCell ref="BU278"/>
    <mergeCell ref="BU65"/>
    <mergeCell ref="BU287"/>
    <mergeCell ref="BU74"/>
    <mergeCell ref="BU288"/>
    <mergeCell ref="BU75"/>
    <mergeCell ref="BU285"/>
    <mergeCell ref="BU72"/>
    <mergeCell ref="BU286"/>
    <mergeCell ref="BU73"/>
    <mergeCell ref="BU283"/>
    <mergeCell ref="BU70"/>
    <mergeCell ref="BU284"/>
    <mergeCell ref="BU71"/>
    <mergeCell ref="BU257"/>
    <mergeCell ref="BU80"/>
    <mergeCell ref="BU78"/>
    <mergeCell ref="BU79"/>
    <mergeCell ref="BU76"/>
    <mergeCell ref="BU77"/>
    <mergeCell ref="BU275"/>
    <mergeCell ref="BU84"/>
    <mergeCell ref="BU191"/>
    <mergeCell ref="BU11"/>
    <mergeCell ref="BU233"/>
    <mergeCell ref="BU20"/>
    <mergeCell ref="BU234"/>
    <mergeCell ref="BU21"/>
    <mergeCell ref="BU231"/>
    <mergeCell ref="BU18"/>
    <mergeCell ref="BU232"/>
    <mergeCell ref="BU19"/>
    <mergeCell ref="BU229"/>
    <mergeCell ref="BU16"/>
    <mergeCell ref="BU230"/>
    <mergeCell ref="BU17"/>
    <mergeCell ref="BU26"/>
    <mergeCell ref="BU27"/>
    <mergeCell ref="BU24"/>
    <mergeCell ref="BU127"/>
    <mergeCell ref="BU124"/>
    <mergeCell ref="BU125"/>
    <mergeCell ref="BU122"/>
    <mergeCell ref="BU123"/>
    <mergeCell ref="BU132"/>
    <mergeCell ref="BU44"/>
    <mergeCell ref="BU258"/>
    <mergeCell ref="BU45"/>
    <mergeCell ref="BU255"/>
    <mergeCell ref="BU42"/>
    <mergeCell ref="BU256"/>
    <mergeCell ref="BU43"/>
    <mergeCell ref="BU253"/>
    <mergeCell ref="BU40"/>
    <mergeCell ref="BU254"/>
    <mergeCell ref="BU41"/>
    <mergeCell ref="BU50"/>
    <mergeCell ref="BU51"/>
    <mergeCell ref="BU48"/>
    <mergeCell ref="BU49"/>
    <mergeCell ref="BU46"/>
    <mergeCell ref="BU47"/>
    <mergeCell ref="BU56"/>
    <mergeCell ref="BU57"/>
    <mergeCell ref="BU54"/>
    <mergeCell ref="BU55"/>
    <mergeCell ref="BU52"/>
    <mergeCell ref="BU53"/>
    <mergeCell ref="BU148"/>
    <mergeCell ref="BU149"/>
    <mergeCell ref="BU146"/>
    <mergeCell ref="BU147"/>
    <mergeCell ref="BU144"/>
    <mergeCell ref="BU145"/>
    <mergeCell ref="BU142"/>
    <mergeCell ref="BU143"/>
    <mergeCell ref="BU140"/>
    <mergeCell ref="BU141"/>
    <mergeCell ref="BU138"/>
    <mergeCell ref="BU221"/>
    <mergeCell ref="BU239"/>
    <mergeCell ref="BU240"/>
    <mergeCell ref="BU237"/>
    <mergeCell ref="BU62"/>
    <mergeCell ref="BU63"/>
    <mergeCell ref="BU60"/>
    <mergeCell ref="BU61"/>
    <mergeCell ref="BU327"/>
    <mergeCell ref="BU404"/>
    <mergeCell ref="BU3"/>
    <mergeCell ref="BU238"/>
    <mergeCell ref="BU25"/>
    <mergeCell ref="BU235"/>
    <mergeCell ref="BU22"/>
    <mergeCell ref="BU236"/>
    <mergeCell ref="BU23"/>
    <mergeCell ref="BU245"/>
    <mergeCell ref="BU32"/>
    <mergeCell ref="BU246"/>
    <mergeCell ref="BU33"/>
    <mergeCell ref="BU243"/>
    <mergeCell ref="BU30"/>
    <mergeCell ref="BU244"/>
    <mergeCell ref="BU31"/>
    <mergeCell ref="BU241"/>
    <mergeCell ref="BU28"/>
    <mergeCell ref="BU242"/>
    <mergeCell ref="BU29"/>
    <mergeCell ref="BU251"/>
    <mergeCell ref="BU38"/>
    <mergeCell ref="BU252"/>
    <mergeCell ref="BU39"/>
    <mergeCell ref="BU249"/>
    <mergeCell ref="BU36"/>
    <mergeCell ref="BU250"/>
    <mergeCell ref="BU37"/>
    <mergeCell ref="BU247"/>
    <mergeCell ref="BU34"/>
    <mergeCell ref="BU248"/>
    <mergeCell ref="BU35"/>
    <mergeCell ref="BU319"/>
    <mergeCell ref="BU106"/>
    <mergeCell ref="BU107"/>
    <mergeCell ref="BU317"/>
    <mergeCell ref="BU104"/>
    <mergeCell ref="BU318"/>
    <mergeCell ref="BU105"/>
    <mergeCell ref="BU114"/>
    <mergeCell ref="BU115"/>
    <mergeCell ref="BU8"/>
    <mergeCell ref="BU222"/>
    <mergeCell ref="BU9"/>
    <mergeCell ref="BU219"/>
    <mergeCell ref="BU6"/>
    <mergeCell ref="BU220"/>
    <mergeCell ref="BU7"/>
    <mergeCell ref="BU217"/>
    <mergeCell ref="BU4"/>
    <mergeCell ref="BU218"/>
    <mergeCell ref="BU5"/>
    <mergeCell ref="BU227"/>
    <mergeCell ref="BU14"/>
    <mergeCell ref="BU228"/>
    <mergeCell ref="BU15"/>
    <mergeCell ref="BU225"/>
    <mergeCell ref="BU12"/>
    <mergeCell ref="BU226"/>
    <mergeCell ref="BU13"/>
    <mergeCell ref="BU223"/>
    <mergeCell ref="BU10"/>
    <mergeCell ref="BU224"/>
    <mergeCell ref="BU398"/>
    <mergeCell ref="BU185"/>
    <mergeCell ref="BU298"/>
    <mergeCell ref="BU85"/>
    <mergeCell ref="BU296"/>
    <mergeCell ref="BU83"/>
    <mergeCell ref="BU424"/>
    <mergeCell ref="BU211"/>
    <mergeCell ref="BU425"/>
    <mergeCell ref="BU212"/>
    <mergeCell ref="BU422"/>
    <mergeCell ref="BU209"/>
    <mergeCell ref="BU423"/>
    <mergeCell ref="BU210"/>
    <mergeCell ref="BU420"/>
    <mergeCell ref="BU207"/>
    <mergeCell ref="BU421"/>
    <mergeCell ref="BU208"/>
    <mergeCell ref="BU418"/>
    <mergeCell ref="BU205"/>
    <mergeCell ref="BU419"/>
    <mergeCell ref="BU206"/>
    <mergeCell ref="BU416"/>
    <mergeCell ref="BU203"/>
    <mergeCell ref="BU303"/>
    <mergeCell ref="BU90"/>
    <mergeCell ref="BU304"/>
    <mergeCell ref="BU91"/>
    <mergeCell ref="BU301"/>
    <mergeCell ref="BU88"/>
    <mergeCell ref="BU302"/>
    <mergeCell ref="BU89"/>
    <mergeCell ref="BU299"/>
    <mergeCell ref="BU86"/>
    <mergeCell ref="BU300"/>
    <mergeCell ref="BU87"/>
    <mergeCell ref="BU309"/>
    <mergeCell ref="BU96"/>
    <mergeCell ref="BU310"/>
    <mergeCell ref="BU97"/>
    <mergeCell ref="BU307"/>
    <mergeCell ref="BU94"/>
    <mergeCell ref="BU346"/>
    <mergeCell ref="BU133"/>
    <mergeCell ref="BU343"/>
    <mergeCell ref="BU130"/>
    <mergeCell ref="BU344"/>
    <mergeCell ref="BU131"/>
    <mergeCell ref="BU341"/>
    <mergeCell ref="BU128"/>
    <mergeCell ref="BU342"/>
    <mergeCell ref="BU129"/>
    <mergeCell ref="BU352"/>
    <mergeCell ref="BU139"/>
    <mergeCell ref="BU349"/>
    <mergeCell ref="BU136"/>
    <mergeCell ref="BU350"/>
    <mergeCell ref="BU137"/>
    <mergeCell ref="BU347"/>
    <mergeCell ref="BU134"/>
    <mergeCell ref="BU348"/>
    <mergeCell ref="BU135"/>
    <mergeCell ref="BU216"/>
    <mergeCell ref="BU320"/>
    <mergeCell ref="BU362"/>
    <mergeCell ref="BU359"/>
    <mergeCell ref="BU360"/>
    <mergeCell ref="BU357"/>
    <mergeCell ref="BU358"/>
    <mergeCell ref="BU355"/>
    <mergeCell ref="BU356"/>
    <mergeCell ref="BU353"/>
    <mergeCell ref="BU354"/>
    <mergeCell ref="BU351"/>
    <mergeCell ref="BU405"/>
    <mergeCell ref="BU192"/>
    <mergeCell ref="BU402"/>
    <mergeCell ref="BU189"/>
    <mergeCell ref="BU403"/>
    <mergeCell ref="BU190"/>
    <mergeCell ref="BU400"/>
    <mergeCell ref="BU187"/>
    <mergeCell ref="BU401"/>
    <mergeCell ref="BU188"/>
    <mergeCell ref="BU155"/>
    <mergeCell ref="BU156"/>
    <mergeCell ref="BU153"/>
    <mergeCell ref="BU154"/>
    <mergeCell ref="BU152"/>
    <mergeCell ref="BU161"/>
    <mergeCell ref="BU375"/>
    <mergeCell ref="BU162"/>
    <mergeCell ref="BU372"/>
    <mergeCell ref="BU159"/>
    <mergeCell ref="BU373"/>
    <mergeCell ref="BU160"/>
    <mergeCell ref="BU370"/>
    <mergeCell ref="BU157"/>
    <mergeCell ref="BU371"/>
    <mergeCell ref="BU158"/>
    <mergeCell ref="BU380"/>
    <mergeCell ref="BU167"/>
    <mergeCell ref="BU381"/>
    <mergeCell ref="BU168"/>
    <mergeCell ref="BU378"/>
    <mergeCell ref="BU165"/>
    <mergeCell ref="BU379"/>
    <mergeCell ref="BU166"/>
    <mergeCell ref="BU376"/>
    <mergeCell ref="BU163"/>
    <mergeCell ref="BU377"/>
    <mergeCell ref="BU164"/>
    <mergeCell ref="BU325"/>
    <mergeCell ref="BU326"/>
    <mergeCell ref="BU323"/>
    <mergeCell ref="BU324"/>
    <mergeCell ref="BU333"/>
    <mergeCell ref="BU334"/>
    <mergeCell ref="BU331"/>
    <mergeCell ref="BU332"/>
    <mergeCell ref="BU329"/>
    <mergeCell ref="BU330"/>
    <mergeCell ref="BU339"/>
    <mergeCell ref="BU297"/>
    <mergeCell ref="BU328"/>
    <mergeCell ref="BU264"/>
    <mergeCell ref="BU269"/>
    <mergeCell ref="BU270"/>
    <mergeCell ref="BU95"/>
    <mergeCell ref="BU305"/>
    <mergeCell ref="BU92"/>
    <mergeCell ref="BU306"/>
    <mergeCell ref="BU93"/>
    <mergeCell ref="BU315"/>
    <mergeCell ref="BU102"/>
    <mergeCell ref="BU316"/>
    <mergeCell ref="BU103"/>
    <mergeCell ref="BU313"/>
    <mergeCell ref="BU100"/>
    <mergeCell ref="BU314"/>
    <mergeCell ref="BU101"/>
    <mergeCell ref="BU311"/>
    <mergeCell ref="BU98"/>
    <mergeCell ref="BU312"/>
    <mergeCell ref="BU99"/>
    <mergeCell ref="BU321"/>
    <mergeCell ref="BU108"/>
    <mergeCell ref="BU322"/>
    <mergeCell ref="BU109"/>
    <mergeCell ref="BU112"/>
    <mergeCell ref="BU113"/>
    <mergeCell ref="BU110"/>
    <mergeCell ref="BU111"/>
    <mergeCell ref="BU120"/>
    <mergeCell ref="BU121"/>
    <mergeCell ref="BU118"/>
    <mergeCell ref="BU119"/>
    <mergeCell ref="BU116"/>
    <mergeCell ref="BU117"/>
    <mergeCell ref="BU126"/>
    <mergeCell ref="BU289"/>
    <mergeCell ref="BU290"/>
    <mergeCell ref="BU267"/>
    <mergeCell ref="BU268"/>
    <mergeCell ref="BU265"/>
    <mergeCell ref="BU266"/>
    <mergeCell ref="BU276"/>
    <mergeCell ref="BU293"/>
    <mergeCell ref="BU291"/>
    <mergeCell ref="BU292"/>
    <mergeCell ref="BU263"/>
    <mergeCell ref="BU261"/>
    <mergeCell ref="BU262"/>
    <mergeCell ref="BU259"/>
    <mergeCell ref="BU260"/>
    <mergeCell ref="BU273"/>
    <mergeCell ref="BU274"/>
    <mergeCell ref="BU271"/>
    <mergeCell ref="BU410"/>
    <mergeCell ref="BU197"/>
    <mergeCell ref="BU411"/>
    <mergeCell ref="BU198"/>
    <mergeCell ref="BU408"/>
    <mergeCell ref="BU195"/>
    <mergeCell ref="BU409"/>
    <mergeCell ref="BU196"/>
    <mergeCell ref="BU406"/>
    <mergeCell ref="BU193"/>
    <mergeCell ref="BU407"/>
    <mergeCell ref="BU194"/>
    <mergeCell ref="BU417"/>
    <mergeCell ref="BU204"/>
    <mergeCell ref="BU414"/>
    <mergeCell ref="BU201"/>
    <mergeCell ref="BU415"/>
    <mergeCell ref="BU202"/>
    <mergeCell ref="BU412"/>
    <mergeCell ref="BU199"/>
    <mergeCell ref="BU413"/>
    <mergeCell ref="BU200"/>
    <mergeCell ref="BU386"/>
    <mergeCell ref="BU173"/>
    <mergeCell ref="BU387"/>
    <mergeCell ref="BU174"/>
    <mergeCell ref="BU384"/>
    <mergeCell ref="BU171"/>
    <mergeCell ref="BU385"/>
    <mergeCell ref="BU172"/>
    <mergeCell ref="BU382"/>
    <mergeCell ref="BU169"/>
    <mergeCell ref="BU383"/>
    <mergeCell ref="BU170"/>
    <mergeCell ref="BU392"/>
    <mergeCell ref="BU179"/>
    <mergeCell ref="BU393"/>
    <mergeCell ref="BU180"/>
    <mergeCell ref="BU390"/>
    <mergeCell ref="BU177"/>
    <mergeCell ref="BU391"/>
    <mergeCell ref="BU178"/>
    <mergeCell ref="BU388"/>
    <mergeCell ref="BU175"/>
    <mergeCell ref="BU389"/>
    <mergeCell ref="BU176"/>
    <mergeCell ref="BU399"/>
    <mergeCell ref="BU186"/>
    <mergeCell ref="BU396"/>
    <mergeCell ref="BU183"/>
    <mergeCell ref="BU397"/>
    <mergeCell ref="BU184"/>
    <mergeCell ref="BU394"/>
    <mergeCell ref="BU181"/>
    <mergeCell ref="BU395"/>
    <mergeCell ref="BU182"/>
    <mergeCell ref="BU368"/>
    <mergeCell ref="BU369"/>
    <mergeCell ref="BU366"/>
    <mergeCell ref="BU367"/>
    <mergeCell ref="BU365"/>
    <mergeCell ref="BU374"/>
    <mergeCell ref="BU308"/>
    <mergeCell ref="BU361"/>
    <mergeCell ref="BV39"/>
    <mergeCell ref="BV257"/>
    <mergeCell ref="BV44"/>
    <mergeCell ref="BV256"/>
    <mergeCell ref="BV43"/>
    <mergeCell ref="BV255"/>
    <mergeCell ref="BV42"/>
    <mergeCell ref="BV236"/>
    <mergeCell ref="BV118"/>
    <mergeCell ref="BV71"/>
    <mergeCell ref="BV70"/>
    <mergeCell ref="BV69"/>
    <mergeCell ref="BV74"/>
    <mergeCell ref="BV73"/>
    <mergeCell ref="BV72"/>
    <mergeCell ref="BV77"/>
    <mergeCell ref="BV76"/>
    <mergeCell ref="BV75"/>
    <mergeCell ref="BV80"/>
    <mergeCell ref="BV79"/>
    <mergeCell ref="BV78"/>
    <mergeCell ref="BV59"/>
    <mergeCell ref="BV58"/>
    <mergeCell ref="BV57"/>
    <mergeCell ref="BV62"/>
    <mergeCell ref="BV274"/>
    <mergeCell ref="BV61"/>
    <mergeCell ref="BV273"/>
    <mergeCell ref="BV60"/>
    <mergeCell ref="BV278"/>
    <mergeCell ref="BV65"/>
    <mergeCell ref="BV277"/>
    <mergeCell ref="BV64"/>
    <mergeCell ref="BV276"/>
    <mergeCell ref="BV63"/>
    <mergeCell ref="BV68"/>
    <mergeCell ref="BV67"/>
    <mergeCell ref="BV66"/>
    <mergeCell ref="BV260"/>
    <mergeCell ref="BV5"/>
    <mergeCell ref="BV217"/>
    <mergeCell ref="BV4"/>
    <mergeCell ref="BV216"/>
    <mergeCell ref="BV353"/>
    <mergeCell ref="BV352"/>
    <mergeCell ref="BV351"/>
    <mergeCell ref="BV356"/>
    <mergeCell ref="BV355"/>
    <mergeCell ref="BV354"/>
    <mergeCell ref="BV359"/>
    <mergeCell ref="BV358"/>
    <mergeCell ref="BV357"/>
    <mergeCell ref="BV347"/>
    <mergeCell ref="BV134"/>
    <mergeCell ref="BV346"/>
    <mergeCell ref="BV133"/>
    <mergeCell ref="BV345"/>
    <mergeCell ref="BV132"/>
    <mergeCell ref="BV326"/>
    <mergeCell ref="BV113"/>
    <mergeCell ref="BV325"/>
    <mergeCell ref="BV112"/>
    <mergeCell ref="BV324"/>
    <mergeCell ref="BV111"/>
    <mergeCell ref="BV329"/>
    <mergeCell ref="BV116"/>
    <mergeCell ref="BV328"/>
    <mergeCell ref="BV115"/>
    <mergeCell ref="BV327"/>
    <mergeCell ref="BV114"/>
    <mergeCell ref="BV332"/>
    <mergeCell ref="BV119"/>
    <mergeCell ref="BV331"/>
    <mergeCell ref="BV47"/>
    <mergeCell ref="BV259"/>
    <mergeCell ref="BV46"/>
    <mergeCell ref="BV258"/>
    <mergeCell ref="BV45"/>
    <mergeCell ref="BV263"/>
    <mergeCell ref="BV50"/>
    <mergeCell ref="BV262"/>
    <mergeCell ref="BV49"/>
    <mergeCell ref="BV261"/>
    <mergeCell ref="BV48"/>
    <mergeCell ref="BV266"/>
    <mergeCell ref="BV53"/>
    <mergeCell ref="BV265"/>
    <mergeCell ref="BV52"/>
    <mergeCell ref="BV264"/>
    <mergeCell ref="BV51"/>
    <mergeCell ref="BV269"/>
    <mergeCell ref="BV56"/>
    <mergeCell ref="BV268"/>
    <mergeCell ref="BV55"/>
    <mergeCell ref="BV267"/>
    <mergeCell ref="BV54"/>
    <mergeCell ref="BV248"/>
    <mergeCell ref="BV35"/>
    <mergeCell ref="BV247"/>
    <mergeCell ref="BV34"/>
    <mergeCell ref="BV246"/>
    <mergeCell ref="BV33"/>
    <mergeCell ref="BV251"/>
    <mergeCell ref="BV135"/>
    <mergeCell ref="BV140"/>
    <mergeCell ref="BV139"/>
    <mergeCell ref="BV138"/>
    <mergeCell ref="BV143"/>
    <mergeCell ref="BV142"/>
    <mergeCell ref="BV141"/>
    <mergeCell ref="BV146"/>
    <mergeCell ref="BV145"/>
    <mergeCell ref="BV144"/>
    <mergeCell ref="BV338"/>
    <mergeCell ref="BV125"/>
    <mergeCell ref="BV337"/>
    <mergeCell ref="BV124"/>
    <mergeCell ref="BV336"/>
    <mergeCell ref="BV123"/>
    <mergeCell ref="BV341"/>
    <mergeCell ref="BV128"/>
    <mergeCell ref="BV340"/>
    <mergeCell ref="BV127"/>
    <mergeCell ref="BV339"/>
    <mergeCell ref="BV126"/>
    <mergeCell ref="BV344"/>
    <mergeCell ref="BV131"/>
    <mergeCell ref="BV343"/>
    <mergeCell ref="BV130"/>
    <mergeCell ref="BV342"/>
    <mergeCell ref="BV129"/>
    <mergeCell ref="BV23"/>
    <mergeCell ref="BV235"/>
    <mergeCell ref="BV22"/>
    <mergeCell ref="BV234"/>
    <mergeCell ref="BV21"/>
    <mergeCell ref="BV239"/>
    <mergeCell ref="BV26"/>
    <mergeCell ref="BV238"/>
    <mergeCell ref="BV25"/>
    <mergeCell ref="BV237"/>
    <mergeCell ref="BV24"/>
    <mergeCell ref="BV242"/>
    <mergeCell ref="BV29"/>
    <mergeCell ref="BV241"/>
    <mergeCell ref="BV28"/>
    <mergeCell ref="BV240"/>
    <mergeCell ref="BV27"/>
    <mergeCell ref="BV245"/>
    <mergeCell ref="BV32"/>
    <mergeCell ref="BV244"/>
    <mergeCell ref="BV31"/>
    <mergeCell ref="BV243"/>
    <mergeCell ref="BV30"/>
    <mergeCell ref="BV149"/>
    <mergeCell ref="BV148"/>
    <mergeCell ref="BV147"/>
    <mergeCell ref="BV218"/>
    <mergeCell ref="BV38"/>
    <mergeCell ref="BV250"/>
    <mergeCell ref="BV37"/>
    <mergeCell ref="BV249"/>
    <mergeCell ref="BV36"/>
    <mergeCell ref="BV254"/>
    <mergeCell ref="BV41"/>
    <mergeCell ref="BV253"/>
    <mergeCell ref="BV40"/>
    <mergeCell ref="BV103"/>
    <mergeCell ref="BV315"/>
    <mergeCell ref="BV102"/>
    <mergeCell ref="BV320"/>
    <mergeCell ref="BV107"/>
    <mergeCell ref="BV319"/>
    <mergeCell ref="BV106"/>
    <mergeCell ref="BV318"/>
    <mergeCell ref="BV105"/>
    <mergeCell ref="BV323"/>
    <mergeCell ref="BV110"/>
    <mergeCell ref="BV322"/>
    <mergeCell ref="BV109"/>
    <mergeCell ref="BV321"/>
    <mergeCell ref="BV108"/>
    <mergeCell ref="BV284"/>
    <mergeCell ref="BV283"/>
    <mergeCell ref="BV282"/>
    <mergeCell ref="BV287"/>
    <mergeCell ref="BV286"/>
    <mergeCell ref="BV285"/>
    <mergeCell ref="BV290"/>
    <mergeCell ref="BV289"/>
    <mergeCell ref="BV288"/>
    <mergeCell ref="BV293"/>
    <mergeCell ref="BV292"/>
    <mergeCell ref="BV291"/>
    <mergeCell ref="BV272"/>
    <mergeCell ref="BV271"/>
    <mergeCell ref="BV270"/>
    <mergeCell ref="BV275"/>
    <mergeCell ref="BV3"/>
    <mergeCell ref="BV221"/>
    <mergeCell ref="BV8"/>
    <mergeCell ref="BV220"/>
    <mergeCell ref="BV7"/>
    <mergeCell ref="BV219"/>
    <mergeCell ref="BV6"/>
    <mergeCell ref="BV224"/>
    <mergeCell ref="BV11"/>
    <mergeCell ref="BV223"/>
    <mergeCell ref="BV10"/>
    <mergeCell ref="BV222"/>
    <mergeCell ref="BV9"/>
    <mergeCell ref="BV227"/>
    <mergeCell ref="BV14"/>
    <mergeCell ref="BV226"/>
    <mergeCell ref="BV13"/>
    <mergeCell ref="BV225"/>
    <mergeCell ref="BV12"/>
    <mergeCell ref="BV230"/>
    <mergeCell ref="BV17"/>
    <mergeCell ref="BV229"/>
    <mergeCell ref="BV16"/>
    <mergeCell ref="BV228"/>
    <mergeCell ref="BV15"/>
    <mergeCell ref="BV233"/>
    <mergeCell ref="BV20"/>
    <mergeCell ref="BV232"/>
    <mergeCell ref="BV19"/>
    <mergeCell ref="BV231"/>
    <mergeCell ref="BV18"/>
    <mergeCell ref="BV137"/>
    <mergeCell ref="BV136"/>
    <mergeCell ref="BV83"/>
    <mergeCell ref="BV425"/>
    <mergeCell ref="BV212"/>
    <mergeCell ref="BV424"/>
    <mergeCell ref="BV211"/>
    <mergeCell ref="BV423"/>
    <mergeCell ref="BV210"/>
    <mergeCell ref="BV422"/>
    <mergeCell ref="BV209"/>
    <mergeCell ref="BV421"/>
    <mergeCell ref="BV208"/>
    <mergeCell ref="BV420"/>
    <mergeCell ref="BV207"/>
    <mergeCell ref="BV419"/>
    <mergeCell ref="BV206"/>
    <mergeCell ref="BV299"/>
    <mergeCell ref="BV86"/>
    <mergeCell ref="BV298"/>
    <mergeCell ref="BV85"/>
    <mergeCell ref="BV297"/>
    <mergeCell ref="BV84"/>
    <mergeCell ref="BV302"/>
    <mergeCell ref="BV89"/>
    <mergeCell ref="BV400"/>
    <mergeCell ref="BV187"/>
    <mergeCell ref="BV399"/>
    <mergeCell ref="BV186"/>
    <mergeCell ref="BV398"/>
    <mergeCell ref="BV185"/>
    <mergeCell ref="BV403"/>
    <mergeCell ref="BV190"/>
    <mergeCell ref="BV402"/>
    <mergeCell ref="BV189"/>
    <mergeCell ref="BV401"/>
    <mergeCell ref="BV188"/>
    <mergeCell ref="BV406"/>
    <mergeCell ref="BV193"/>
    <mergeCell ref="BV405"/>
    <mergeCell ref="BV192"/>
    <mergeCell ref="BV404"/>
    <mergeCell ref="BV191"/>
    <mergeCell ref="BV409"/>
    <mergeCell ref="BV196"/>
    <mergeCell ref="BV408"/>
    <mergeCell ref="BV195"/>
    <mergeCell ref="BV117"/>
    <mergeCell ref="BV335"/>
    <mergeCell ref="BV122"/>
    <mergeCell ref="BV334"/>
    <mergeCell ref="BV121"/>
    <mergeCell ref="BV333"/>
    <mergeCell ref="BV120"/>
    <mergeCell ref="BV97"/>
    <mergeCell ref="BV309"/>
    <mergeCell ref="BV96"/>
    <mergeCell ref="BV314"/>
    <mergeCell ref="BV101"/>
    <mergeCell ref="BV313"/>
    <mergeCell ref="BV100"/>
    <mergeCell ref="BV312"/>
    <mergeCell ref="BV99"/>
    <mergeCell ref="BV317"/>
    <mergeCell ref="BV104"/>
    <mergeCell ref="BV316"/>
    <mergeCell ref="BV161"/>
    <mergeCell ref="BV379"/>
    <mergeCell ref="BV166"/>
    <mergeCell ref="BV378"/>
    <mergeCell ref="BV165"/>
    <mergeCell ref="BV377"/>
    <mergeCell ref="BV164"/>
    <mergeCell ref="BV382"/>
    <mergeCell ref="BV169"/>
    <mergeCell ref="BV381"/>
    <mergeCell ref="BV168"/>
    <mergeCell ref="BV380"/>
    <mergeCell ref="BV167"/>
    <mergeCell ref="BV385"/>
    <mergeCell ref="BV172"/>
    <mergeCell ref="BV384"/>
    <mergeCell ref="BV171"/>
    <mergeCell ref="BV383"/>
    <mergeCell ref="BV170"/>
    <mergeCell ref="BV330"/>
    <mergeCell ref="BV412"/>
    <mergeCell ref="BV199"/>
    <mergeCell ref="BV411"/>
    <mergeCell ref="BV198"/>
    <mergeCell ref="BV410"/>
    <mergeCell ref="BV197"/>
    <mergeCell ref="BV415"/>
    <mergeCell ref="BV202"/>
    <mergeCell ref="BV414"/>
    <mergeCell ref="BV201"/>
    <mergeCell ref="BV413"/>
    <mergeCell ref="BV200"/>
    <mergeCell ref="BV418"/>
    <mergeCell ref="BV205"/>
    <mergeCell ref="BV417"/>
    <mergeCell ref="BV204"/>
    <mergeCell ref="BV416"/>
    <mergeCell ref="BV203"/>
    <mergeCell ref="BV296"/>
    <mergeCell ref="BV350"/>
    <mergeCell ref="BV349"/>
    <mergeCell ref="BV348"/>
    <mergeCell ref="BV362"/>
    <mergeCell ref="BV361"/>
    <mergeCell ref="BV360"/>
    <mergeCell ref="BV252"/>
    <mergeCell ref="BV281"/>
    <mergeCell ref="BV280"/>
    <mergeCell ref="BV279"/>
    <mergeCell ref="BW335"/>
    <mergeCell ref="BW334"/>
    <mergeCell ref="BV407"/>
    <mergeCell ref="BV194"/>
    <mergeCell ref="BV388"/>
    <mergeCell ref="BV175"/>
    <mergeCell ref="BV387"/>
    <mergeCell ref="BV174"/>
    <mergeCell ref="BV386"/>
    <mergeCell ref="BV173"/>
    <mergeCell ref="BV391"/>
    <mergeCell ref="BV178"/>
    <mergeCell ref="BV390"/>
    <mergeCell ref="BV177"/>
    <mergeCell ref="BV389"/>
    <mergeCell ref="BV176"/>
    <mergeCell ref="BV394"/>
    <mergeCell ref="BV181"/>
    <mergeCell ref="BV393"/>
    <mergeCell ref="BV180"/>
    <mergeCell ref="BV392"/>
    <mergeCell ref="BV179"/>
    <mergeCell ref="BV397"/>
    <mergeCell ref="BV184"/>
    <mergeCell ref="BV396"/>
    <mergeCell ref="BV183"/>
    <mergeCell ref="BV395"/>
    <mergeCell ref="BV182"/>
    <mergeCell ref="BV376"/>
    <mergeCell ref="BV163"/>
    <mergeCell ref="BV375"/>
    <mergeCell ref="BV162"/>
    <mergeCell ref="BV374"/>
    <mergeCell ref="BW287"/>
    <mergeCell ref="BW74"/>
    <mergeCell ref="BW293"/>
    <mergeCell ref="BW80"/>
    <mergeCell ref="BW292"/>
    <mergeCell ref="BW79"/>
    <mergeCell ref="BW291"/>
    <mergeCell ref="BW78"/>
    <mergeCell ref="BV367"/>
    <mergeCell ref="BV154"/>
    <mergeCell ref="BV366"/>
    <mergeCell ref="BV153"/>
    <mergeCell ref="BV365"/>
    <mergeCell ref="BV152"/>
    <mergeCell ref="BV370"/>
    <mergeCell ref="BV157"/>
    <mergeCell ref="BV369"/>
    <mergeCell ref="BV156"/>
    <mergeCell ref="BV368"/>
    <mergeCell ref="BV155"/>
    <mergeCell ref="BV373"/>
    <mergeCell ref="BV160"/>
    <mergeCell ref="BV372"/>
    <mergeCell ref="BV159"/>
    <mergeCell ref="BV371"/>
    <mergeCell ref="BV158"/>
    <mergeCell ref="BV301"/>
    <mergeCell ref="BV88"/>
    <mergeCell ref="BV300"/>
    <mergeCell ref="BV87"/>
    <mergeCell ref="BV305"/>
    <mergeCell ref="BV92"/>
    <mergeCell ref="BV304"/>
    <mergeCell ref="BV91"/>
    <mergeCell ref="BV303"/>
    <mergeCell ref="BV90"/>
    <mergeCell ref="BV308"/>
    <mergeCell ref="BV95"/>
    <mergeCell ref="BV307"/>
    <mergeCell ref="BV94"/>
    <mergeCell ref="BV306"/>
    <mergeCell ref="BV93"/>
    <mergeCell ref="BV311"/>
    <mergeCell ref="BV98"/>
    <mergeCell ref="BV310"/>
    <mergeCell ref="BW281"/>
    <mergeCell ref="BW362"/>
    <mergeCell ref="BW361"/>
    <mergeCell ref="BW360"/>
    <mergeCell ref="BW344"/>
    <mergeCell ref="BW343"/>
    <mergeCell ref="BW342"/>
    <mergeCell ref="BW347"/>
    <mergeCell ref="BW346"/>
    <mergeCell ref="BW345"/>
    <mergeCell ref="BW350"/>
    <mergeCell ref="BW349"/>
    <mergeCell ref="BW348"/>
    <mergeCell ref="BW353"/>
    <mergeCell ref="BW352"/>
    <mergeCell ref="BW351"/>
    <mergeCell ref="BW332"/>
    <mergeCell ref="BW331"/>
    <mergeCell ref="BW330"/>
    <mergeCell ref="BW139"/>
    <mergeCell ref="BW138"/>
    <mergeCell ref="BW73"/>
    <mergeCell ref="BW285"/>
    <mergeCell ref="BW72"/>
    <mergeCell ref="BW290"/>
    <mergeCell ref="BW77"/>
    <mergeCell ref="BW289"/>
    <mergeCell ref="BW76"/>
    <mergeCell ref="BW288"/>
    <mergeCell ref="BW75"/>
    <mergeCell ref="BW269"/>
    <mergeCell ref="BW56"/>
    <mergeCell ref="BW268"/>
    <mergeCell ref="BW55"/>
    <mergeCell ref="BW267"/>
    <mergeCell ref="BW54"/>
    <mergeCell ref="BW272"/>
    <mergeCell ref="BW59"/>
    <mergeCell ref="BW271"/>
    <mergeCell ref="BW58"/>
    <mergeCell ref="BW270"/>
    <mergeCell ref="BW57"/>
    <mergeCell ref="BW275"/>
    <mergeCell ref="BW62"/>
    <mergeCell ref="BW274"/>
    <mergeCell ref="BW61"/>
    <mergeCell ref="BW273"/>
    <mergeCell ref="BW60"/>
    <mergeCell ref="BW278"/>
    <mergeCell ref="BW65"/>
    <mergeCell ref="BW277"/>
    <mergeCell ref="BW64"/>
    <mergeCell ref="BW276"/>
    <mergeCell ref="BW63"/>
    <mergeCell ref="BW257"/>
    <mergeCell ref="BW119"/>
    <mergeCell ref="BW118"/>
    <mergeCell ref="BW117"/>
    <mergeCell ref="BW122"/>
    <mergeCell ref="BW121"/>
    <mergeCell ref="BW91"/>
    <mergeCell ref="BW90"/>
    <mergeCell ref="BW95"/>
    <mergeCell ref="BW94"/>
    <mergeCell ref="BW93"/>
    <mergeCell ref="BW98"/>
    <mergeCell ref="BW97"/>
    <mergeCell ref="BW96"/>
    <mergeCell ref="BW101"/>
    <mergeCell ref="BW100"/>
    <mergeCell ref="BW99"/>
    <mergeCell ref="BW161"/>
    <mergeCell ref="BW104"/>
    <mergeCell ref="BW120"/>
    <mergeCell ref="BW68"/>
    <mergeCell ref="BW67"/>
    <mergeCell ref="BW66"/>
    <mergeCell ref="BW284"/>
    <mergeCell ref="BW71"/>
    <mergeCell ref="BW283"/>
    <mergeCell ref="BW70"/>
    <mergeCell ref="BW282"/>
    <mergeCell ref="BW69"/>
    <mergeCell ref="BW359"/>
    <mergeCell ref="BW146"/>
    <mergeCell ref="BW358"/>
    <mergeCell ref="BW145"/>
    <mergeCell ref="BW357"/>
    <mergeCell ref="BW144"/>
    <mergeCell ref="BW149"/>
    <mergeCell ref="BW148"/>
    <mergeCell ref="BW147"/>
    <mergeCell ref="BW218"/>
    <mergeCell ref="BW5"/>
    <mergeCell ref="BW217"/>
    <mergeCell ref="BW4"/>
    <mergeCell ref="BW233"/>
    <mergeCell ref="BW20"/>
    <mergeCell ref="BW232"/>
    <mergeCell ref="BW19"/>
    <mergeCell ref="BW231"/>
    <mergeCell ref="BW18"/>
    <mergeCell ref="BW236"/>
    <mergeCell ref="BW23"/>
    <mergeCell ref="BW235"/>
    <mergeCell ref="BW22"/>
    <mergeCell ref="BW234"/>
    <mergeCell ref="BW21"/>
    <mergeCell ref="BW239"/>
    <mergeCell ref="BW26"/>
    <mergeCell ref="BW238"/>
    <mergeCell ref="BW25"/>
    <mergeCell ref="BW237"/>
    <mergeCell ref="BW24"/>
    <mergeCell ref="BW242"/>
    <mergeCell ref="BW29"/>
    <mergeCell ref="BW44"/>
    <mergeCell ref="BW256"/>
    <mergeCell ref="BW43"/>
    <mergeCell ref="BW255"/>
    <mergeCell ref="BW42"/>
    <mergeCell ref="BW260"/>
    <mergeCell ref="BW47"/>
    <mergeCell ref="BW259"/>
    <mergeCell ref="BW46"/>
    <mergeCell ref="BW258"/>
    <mergeCell ref="BW45"/>
    <mergeCell ref="BW263"/>
    <mergeCell ref="BW50"/>
    <mergeCell ref="BW262"/>
    <mergeCell ref="BW49"/>
    <mergeCell ref="BW261"/>
    <mergeCell ref="BW48"/>
    <mergeCell ref="BW266"/>
    <mergeCell ref="BW53"/>
    <mergeCell ref="BW265"/>
    <mergeCell ref="BW52"/>
    <mergeCell ref="BW264"/>
    <mergeCell ref="BW51"/>
    <mergeCell ref="BW241"/>
    <mergeCell ref="BW28"/>
    <mergeCell ref="BW240"/>
    <mergeCell ref="BW27"/>
    <mergeCell ref="BW245"/>
    <mergeCell ref="BW32"/>
    <mergeCell ref="BW244"/>
    <mergeCell ref="BW31"/>
    <mergeCell ref="BW280"/>
    <mergeCell ref="BW279"/>
    <mergeCell ref="BW3"/>
    <mergeCell ref="BW221"/>
    <mergeCell ref="BW8"/>
    <mergeCell ref="BW220"/>
    <mergeCell ref="BW7"/>
    <mergeCell ref="BW219"/>
    <mergeCell ref="BW6"/>
    <mergeCell ref="BW224"/>
    <mergeCell ref="BW11"/>
    <mergeCell ref="BW223"/>
    <mergeCell ref="BW10"/>
    <mergeCell ref="BW222"/>
    <mergeCell ref="BW9"/>
    <mergeCell ref="BW227"/>
    <mergeCell ref="BW14"/>
    <mergeCell ref="BW226"/>
    <mergeCell ref="BW13"/>
    <mergeCell ref="BW225"/>
    <mergeCell ref="BW12"/>
    <mergeCell ref="BW230"/>
    <mergeCell ref="BW17"/>
    <mergeCell ref="BW229"/>
    <mergeCell ref="BW16"/>
    <mergeCell ref="BW228"/>
    <mergeCell ref="BW15"/>
    <mergeCell ref="BW356"/>
    <mergeCell ref="BW143"/>
    <mergeCell ref="BW355"/>
    <mergeCell ref="BW142"/>
    <mergeCell ref="BW354"/>
    <mergeCell ref="BW141"/>
    <mergeCell ref="BW243"/>
    <mergeCell ref="BW30"/>
    <mergeCell ref="BW248"/>
    <mergeCell ref="BW35"/>
    <mergeCell ref="BW247"/>
    <mergeCell ref="BW34"/>
    <mergeCell ref="BW246"/>
    <mergeCell ref="BW33"/>
    <mergeCell ref="BW251"/>
    <mergeCell ref="BW38"/>
    <mergeCell ref="BW250"/>
    <mergeCell ref="BW37"/>
    <mergeCell ref="BW249"/>
    <mergeCell ref="BW36"/>
    <mergeCell ref="BW254"/>
    <mergeCell ref="BW41"/>
    <mergeCell ref="BW253"/>
    <mergeCell ref="BW40"/>
    <mergeCell ref="BW252"/>
    <mergeCell ref="BW39"/>
    <mergeCell ref="BW216"/>
    <mergeCell ref="BW131"/>
    <mergeCell ref="BW130"/>
    <mergeCell ref="BW129"/>
    <mergeCell ref="BW134"/>
    <mergeCell ref="BW133"/>
    <mergeCell ref="BW132"/>
    <mergeCell ref="BW137"/>
    <mergeCell ref="BW136"/>
    <mergeCell ref="BW135"/>
    <mergeCell ref="BW140"/>
    <mergeCell ref="BW407"/>
    <mergeCell ref="BW333"/>
    <mergeCell ref="BW338"/>
    <mergeCell ref="BW125"/>
    <mergeCell ref="BW337"/>
    <mergeCell ref="BW124"/>
    <mergeCell ref="BW336"/>
    <mergeCell ref="BW123"/>
    <mergeCell ref="BW341"/>
    <mergeCell ref="BW128"/>
    <mergeCell ref="BW340"/>
    <mergeCell ref="BW127"/>
    <mergeCell ref="BW339"/>
    <mergeCell ref="BW126"/>
    <mergeCell ref="BW320"/>
    <mergeCell ref="BW107"/>
    <mergeCell ref="BW319"/>
    <mergeCell ref="BW106"/>
    <mergeCell ref="BW318"/>
    <mergeCell ref="BW105"/>
    <mergeCell ref="BW323"/>
    <mergeCell ref="BW110"/>
    <mergeCell ref="BW322"/>
    <mergeCell ref="BW109"/>
    <mergeCell ref="BW321"/>
    <mergeCell ref="BW108"/>
    <mergeCell ref="BW326"/>
    <mergeCell ref="BW113"/>
    <mergeCell ref="BW325"/>
    <mergeCell ref="BW112"/>
    <mergeCell ref="BW324"/>
    <mergeCell ref="BW111"/>
    <mergeCell ref="BW329"/>
    <mergeCell ref="BW116"/>
    <mergeCell ref="BW328"/>
    <mergeCell ref="BW115"/>
    <mergeCell ref="BW327"/>
    <mergeCell ref="BW114"/>
    <mergeCell ref="BW304"/>
    <mergeCell ref="BW303"/>
    <mergeCell ref="BW308"/>
    <mergeCell ref="BW307"/>
    <mergeCell ref="BW306"/>
    <mergeCell ref="BW311"/>
    <mergeCell ref="BW310"/>
    <mergeCell ref="BW309"/>
    <mergeCell ref="BW314"/>
    <mergeCell ref="BW313"/>
    <mergeCell ref="BW312"/>
    <mergeCell ref="BW317"/>
    <mergeCell ref="BW194"/>
    <mergeCell ref="BW165"/>
    <mergeCell ref="BW164"/>
    <mergeCell ref="BW154"/>
    <mergeCell ref="BW153"/>
    <mergeCell ref="BW152"/>
    <mergeCell ref="BW157"/>
    <mergeCell ref="BW156"/>
    <mergeCell ref="BW155"/>
    <mergeCell ref="BW160"/>
    <mergeCell ref="BW159"/>
    <mergeCell ref="BW158"/>
    <mergeCell ref="BW163"/>
    <mergeCell ref="BW162"/>
    <mergeCell ref="BW375"/>
    <mergeCell ref="BW374"/>
    <mergeCell ref="BW316"/>
    <mergeCell ref="BW103"/>
    <mergeCell ref="BW315"/>
    <mergeCell ref="BW102"/>
    <mergeCell ref="BW415"/>
    <mergeCell ref="BW202"/>
    <mergeCell ref="BW414"/>
    <mergeCell ref="BW201"/>
    <mergeCell ref="BW413"/>
    <mergeCell ref="BW200"/>
    <mergeCell ref="BW418"/>
    <mergeCell ref="BW205"/>
    <mergeCell ref="BW417"/>
    <mergeCell ref="BW204"/>
    <mergeCell ref="BW416"/>
    <mergeCell ref="BW203"/>
    <mergeCell ref="BW296"/>
    <mergeCell ref="BW83"/>
    <mergeCell ref="BW425"/>
    <mergeCell ref="BW212"/>
    <mergeCell ref="BW424"/>
    <mergeCell ref="BW211"/>
    <mergeCell ref="BW423"/>
    <mergeCell ref="BW210"/>
    <mergeCell ref="BW422"/>
    <mergeCell ref="BW209"/>
    <mergeCell ref="BW421"/>
    <mergeCell ref="BW208"/>
    <mergeCell ref="BW420"/>
    <mergeCell ref="BW207"/>
    <mergeCell ref="BW419"/>
    <mergeCell ref="BW206"/>
    <mergeCell ref="BW299"/>
    <mergeCell ref="BW86"/>
    <mergeCell ref="BW298"/>
    <mergeCell ref="BW85"/>
    <mergeCell ref="BW297"/>
    <mergeCell ref="BW84"/>
    <mergeCell ref="BW302"/>
    <mergeCell ref="BW89"/>
    <mergeCell ref="BW301"/>
    <mergeCell ref="BW88"/>
    <mergeCell ref="BW300"/>
    <mergeCell ref="BW87"/>
    <mergeCell ref="BW305"/>
    <mergeCell ref="BW92"/>
    <mergeCell ref="BW403"/>
    <mergeCell ref="BW190"/>
    <mergeCell ref="BW402"/>
    <mergeCell ref="BW189"/>
    <mergeCell ref="BW401"/>
    <mergeCell ref="BW188"/>
    <mergeCell ref="BW406"/>
    <mergeCell ref="BW193"/>
    <mergeCell ref="BW405"/>
    <mergeCell ref="BW192"/>
    <mergeCell ref="BW404"/>
    <mergeCell ref="BW191"/>
    <mergeCell ref="BW409"/>
    <mergeCell ref="BW196"/>
    <mergeCell ref="BW408"/>
    <mergeCell ref="BW195"/>
    <mergeCell ref="BX66"/>
    <mergeCell ref="BX260"/>
    <mergeCell ref="BW412"/>
    <mergeCell ref="BW199"/>
    <mergeCell ref="BW411"/>
    <mergeCell ref="BW198"/>
    <mergeCell ref="BW410"/>
    <mergeCell ref="BW197"/>
    <mergeCell ref="BW391"/>
    <mergeCell ref="BW178"/>
    <mergeCell ref="BW390"/>
    <mergeCell ref="BW177"/>
    <mergeCell ref="BW389"/>
    <mergeCell ref="BW176"/>
    <mergeCell ref="BW394"/>
    <mergeCell ref="BW181"/>
    <mergeCell ref="BW393"/>
    <mergeCell ref="BW180"/>
    <mergeCell ref="BW392"/>
    <mergeCell ref="BW179"/>
    <mergeCell ref="BW397"/>
    <mergeCell ref="BW184"/>
    <mergeCell ref="BW396"/>
    <mergeCell ref="BW183"/>
    <mergeCell ref="BW395"/>
    <mergeCell ref="BW182"/>
    <mergeCell ref="BW400"/>
    <mergeCell ref="BW187"/>
    <mergeCell ref="BW399"/>
    <mergeCell ref="BW186"/>
    <mergeCell ref="BW398"/>
    <mergeCell ref="BW185"/>
    <mergeCell ref="BW379"/>
    <mergeCell ref="BW166"/>
    <mergeCell ref="BW378"/>
    <mergeCell ref="BW377"/>
    <mergeCell ref="BW382"/>
    <mergeCell ref="BW169"/>
    <mergeCell ref="BW381"/>
    <mergeCell ref="BW168"/>
    <mergeCell ref="BW380"/>
    <mergeCell ref="BW167"/>
    <mergeCell ref="BW385"/>
    <mergeCell ref="BW172"/>
    <mergeCell ref="BW384"/>
    <mergeCell ref="BW171"/>
    <mergeCell ref="BW383"/>
    <mergeCell ref="BW170"/>
    <mergeCell ref="BW388"/>
    <mergeCell ref="BW175"/>
    <mergeCell ref="BW387"/>
    <mergeCell ref="BW174"/>
    <mergeCell ref="BW386"/>
    <mergeCell ref="BW173"/>
    <mergeCell ref="BW367"/>
    <mergeCell ref="BW366"/>
    <mergeCell ref="BW365"/>
    <mergeCell ref="BW370"/>
    <mergeCell ref="BW369"/>
    <mergeCell ref="BW368"/>
    <mergeCell ref="BW373"/>
    <mergeCell ref="BW372"/>
    <mergeCell ref="BW371"/>
    <mergeCell ref="BW376"/>
    <mergeCell ref="BW286"/>
    <mergeCell ref="BX47"/>
    <mergeCell ref="BX259"/>
    <mergeCell ref="BX46"/>
    <mergeCell ref="BX258"/>
    <mergeCell ref="BX45"/>
    <mergeCell ref="BX263"/>
    <mergeCell ref="BX50"/>
    <mergeCell ref="BX262"/>
    <mergeCell ref="BX49"/>
    <mergeCell ref="BX261"/>
    <mergeCell ref="BX48"/>
    <mergeCell ref="BX266"/>
    <mergeCell ref="BX53"/>
    <mergeCell ref="BX265"/>
    <mergeCell ref="BX52"/>
    <mergeCell ref="BX264"/>
    <mergeCell ref="BX51"/>
    <mergeCell ref="BX269"/>
    <mergeCell ref="BX56"/>
    <mergeCell ref="BX268"/>
    <mergeCell ref="BX55"/>
    <mergeCell ref="BX267"/>
    <mergeCell ref="BX54"/>
    <mergeCell ref="BX248"/>
    <mergeCell ref="BX35"/>
    <mergeCell ref="BX247"/>
    <mergeCell ref="BX34"/>
    <mergeCell ref="BX246"/>
    <mergeCell ref="BX33"/>
    <mergeCell ref="BX251"/>
    <mergeCell ref="BX38"/>
    <mergeCell ref="BX250"/>
    <mergeCell ref="BX37"/>
    <mergeCell ref="BX249"/>
    <mergeCell ref="BX36"/>
    <mergeCell ref="BX254"/>
    <mergeCell ref="BX41"/>
    <mergeCell ref="BX253"/>
    <mergeCell ref="BX40"/>
    <mergeCell ref="BX252"/>
    <mergeCell ref="BX39"/>
    <mergeCell ref="BX257"/>
    <mergeCell ref="BX44"/>
    <mergeCell ref="BX256"/>
    <mergeCell ref="BX43"/>
    <mergeCell ref="BX255"/>
    <mergeCell ref="BX42"/>
    <mergeCell ref="BX236"/>
    <mergeCell ref="BX118"/>
    <mergeCell ref="BX117"/>
    <mergeCell ref="BX284"/>
    <mergeCell ref="BX71"/>
    <mergeCell ref="BX283"/>
    <mergeCell ref="BX70"/>
    <mergeCell ref="BX282"/>
    <mergeCell ref="BX69"/>
    <mergeCell ref="BX74"/>
    <mergeCell ref="BX286"/>
    <mergeCell ref="BX73"/>
    <mergeCell ref="BX285"/>
    <mergeCell ref="BX72"/>
    <mergeCell ref="BX77"/>
    <mergeCell ref="BX76"/>
    <mergeCell ref="BX21"/>
    <mergeCell ref="BX239"/>
    <mergeCell ref="BX26"/>
    <mergeCell ref="BX238"/>
    <mergeCell ref="BX25"/>
    <mergeCell ref="BX237"/>
    <mergeCell ref="BX24"/>
    <mergeCell ref="BX242"/>
    <mergeCell ref="BX29"/>
    <mergeCell ref="BX241"/>
    <mergeCell ref="BX28"/>
    <mergeCell ref="BX240"/>
    <mergeCell ref="BX27"/>
    <mergeCell ref="BX245"/>
    <mergeCell ref="BX32"/>
    <mergeCell ref="BX244"/>
    <mergeCell ref="BX31"/>
    <mergeCell ref="BX243"/>
    <mergeCell ref="BX30"/>
    <mergeCell ref="BX362"/>
    <mergeCell ref="BX149"/>
    <mergeCell ref="BX361"/>
    <mergeCell ref="BX148"/>
    <mergeCell ref="BX360"/>
    <mergeCell ref="BX147"/>
    <mergeCell ref="BX218"/>
    <mergeCell ref="BX5"/>
    <mergeCell ref="BX217"/>
    <mergeCell ref="BX4"/>
    <mergeCell ref="BX216"/>
    <mergeCell ref="BX353"/>
    <mergeCell ref="BX352"/>
    <mergeCell ref="BX351"/>
    <mergeCell ref="BX356"/>
    <mergeCell ref="BX355"/>
    <mergeCell ref="BX354"/>
    <mergeCell ref="BX359"/>
    <mergeCell ref="BX358"/>
    <mergeCell ref="BX357"/>
    <mergeCell ref="BX347"/>
    <mergeCell ref="BX134"/>
    <mergeCell ref="BX346"/>
    <mergeCell ref="BX133"/>
    <mergeCell ref="BX345"/>
    <mergeCell ref="BX132"/>
    <mergeCell ref="BX326"/>
    <mergeCell ref="BX113"/>
    <mergeCell ref="BX325"/>
    <mergeCell ref="BX112"/>
    <mergeCell ref="BX324"/>
    <mergeCell ref="BX111"/>
    <mergeCell ref="BX329"/>
    <mergeCell ref="BX116"/>
    <mergeCell ref="BX328"/>
    <mergeCell ref="BX115"/>
    <mergeCell ref="BX327"/>
    <mergeCell ref="BX114"/>
    <mergeCell ref="BX332"/>
    <mergeCell ref="BX119"/>
    <mergeCell ref="BX331"/>
    <mergeCell ref="BX287"/>
    <mergeCell ref="BX290"/>
    <mergeCell ref="BX289"/>
    <mergeCell ref="BX288"/>
    <mergeCell ref="BX136"/>
    <mergeCell ref="BX348"/>
    <mergeCell ref="BX135"/>
    <mergeCell ref="BX140"/>
    <mergeCell ref="BX139"/>
    <mergeCell ref="BX138"/>
    <mergeCell ref="BX143"/>
    <mergeCell ref="BX142"/>
    <mergeCell ref="BX141"/>
    <mergeCell ref="BX146"/>
    <mergeCell ref="BX145"/>
    <mergeCell ref="BX144"/>
    <mergeCell ref="BX338"/>
    <mergeCell ref="BX125"/>
    <mergeCell ref="BX337"/>
    <mergeCell ref="BX124"/>
    <mergeCell ref="BX336"/>
    <mergeCell ref="BX123"/>
    <mergeCell ref="BX341"/>
    <mergeCell ref="BX128"/>
    <mergeCell ref="BX340"/>
    <mergeCell ref="BX127"/>
    <mergeCell ref="BX339"/>
    <mergeCell ref="BX126"/>
    <mergeCell ref="BX344"/>
    <mergeCell ref="BX131"/>
    <mergeCell ref="BX343"/>
    <mergeCell ref="BX130"/>
    <mergeCell ref="BX342"/>
    <mergeCell ref="BX129"/>
    <mergeCell ref="BX23"/>
    <mergeCell ref="BX235"/>
    <mergeCell ref="BX22"/>
    <mergeCell ref="BX234"/>
    <mergeCell ref="BX75"/>
    <mergeCell ref="BX293"/>
    <mergeCell ref="BX80"/>
    <mergeCell ref="BX292"/>
    <mergeCell ref="BX79"/>
    <mergeCell ref="BX291"/>
    <mergeCell ref="BX78"/>
    <mergeCell ref="BX272"/>
    <mergeCell ref="BX59"/>
    <mergeCell ref="BX271"/>
    <mergeCell ref="BX58"/>
    <mergeCell ref="BX270"/>
    <mergeCell ref="BX57"/>
    <mergeCell ref="BX275"/>
    <mergeCell ref="BX62"/>
    <mergeCell ref="BX274"/>
    <mergeCell ref="BX61"/>
    <mergeCell ref="BX273"/>
    <mergeCell ref="BX60"/>
    <mergeCell ref="BX278"/>
    <mergeCell ref="BX65"/>
    <mergeCell ref="BX277"/>
    <mergeCell ref="BX64"/>
    <mergeCell ref="BX276"/>
    <mergeCell ref="BX63"/>
    <mergeCell ref="BX281"/>
    <mergeCell ref="BX68"/>
    <mergeCell ref="BX280"/>
    <mergeCell ref="BX67"/>
    <mergeCell ref="BX279"/>
    <mergeCell ref="BX122"/>
    <mergeCell ref="BX334"/>
    <mergeCell ref="BX121"/>
    <mergeCell ref="BX333"/>
    <mergeCell ref="BX120"/>
    <mergeCell ref="BX97"/>
    <mergeCell ref="BX309"/>
    <mergeCell ref="BX96"/>
    <mergeCell ref="BX314"/>
    <mergeCell ref="BX101"/>
    <mergeCell ref="BX313"/>
    <mergeCell ref="BX100"/>
    <mergeCell ref="BX312"/>
    <mergeCell ref="BX99"/>
    <mergeCell ref="BX317"/>
    <mergeCell ref="BX104"/>
    <mergeCell ref="BX316"/>
    <mergeCell ref="BX103"/>
    <mergeCell ref="BX315"/>
    <mergeCell ref="BX102"/>
    <mergeCell ref="BX320"/>
    <mergeCell ref="BX107"/>
    <mergeCell ref="BX319"/>
    <mergeCell ref="BX106"/>
    <mergeCell ref="BX318"/>
    <mergeCell ref="BX105"/>
    <mergeCell ref="BX323"/>
    <mergeCell ref="BX110"/>
    <mergeCell ref="BX322"/>
    <mergeCell ref="BX109"/>
    <mergeCell ref="BX321"/>
    <mergeCell ref="BX108"/>
    <mergeCell ref="BX3"/>
    <mergeCell ref="BX221"/>
    <mergeCell ref="BX8"/>
    <mergeCell ref="BX220"/>
    <mergeCell ref="BX7"/>
    <mergeCell ref="BX219"/>
    <mergeCell ref="BX6"/>
    <mergeCell ref="BX224"/>
    <mergeCell ref="BX11"/>
    <mergeCell ref="BX223"/>
    <mergeCell ref="BX10"/>
    <mergeCell ref="BX222"/>
    <mergeCell ref="BX9"/>
    <mergeCell ref="BX227"/>
    <mergeCell ref="BX14"/>
    <mergeCell ref="BX226"/>
    <mergeCell ref="BX13"/>
    <mergeCell ref="BX225"/>
    <mergeCell ref="BX12"/>
    <mergeCell ref="BX230"/>
    <mergeCell ref="BX17"/>
    <mergeCell ref="BX229"/>
    <mergeCell ref="BX16"/>
    <mergeCell ref="BX228"/>
    <mergeCell ref="BX15"/>
    <mergeCell ref="BX233"/>
    <mergeCell ref="BX20"/>
    <mergeCell ref="BX232"/>
    <mergeCell ref="BX19"/>
    <mergeCell ref="BX231"/>
    <mergeCell ref="BX18"/>
    <mergeCell ref="BX137"/>
    <mergeCell ref="BX412"/>
    <mergeCell ref="BX199"/>
    <mergeCell ref="BX411"/>
    <mergeCell ref="BX198"/>
    <mergeCell ref="BX410"/>
    <mergeCell ref="BX197"/>
    <mergeCell ref="BX415"/>
    <mergeCell ref="BX202"/>
    <mergeCell ref="BX414"/>
    <mergeCell ref="BX201"/>
    <mergeCell ref="BX413"/>
    <mergeCell ref="BX200"/>
    <mergeCell ref="BX418"/>
    <mergeCell ref="BX205"/>
    <mergeCell ref="BX417"/>
    <mergeCell ref="BX204"/>
    <mergeCell ref="BX416"/>
    <mergeCell ref="BX203"/>
    <mergeCell ref="BX296"/>
    <mergeCell ref="BX83"/>
    <mergeCell ref="BX425"/>
    <mergeCell ref="BX212"/>
    <mergeCell ref="BX424"/>
    <mergeCell ref="BX211"/>
    <mergeCell ref="BX423"/>
    <mergeCell ref="BX210"/>
    <mergeCell ref="BX422"/>
    <mergeCell ref="BX209"/>
    <mergeCell ref="BX421"/>
    <mergeCell ref="BX208"/>
    <mergeCell ref="BX420"/>
    <mergeCell ref="BX207"/>
    <mergeCell ref="BX419"/>
    <mergeCell ref="BX206"/>
    <mergeCell ref="BX299"/>
    <mergeCell ref="BX86"/>
    <mergeCell ref="BX298"/>
    <mergeCell ref="BX85"/>
    <mergeCell ref="BX297"/>
    <mergeCell ref="BX84"/>
    <mergeCell ref="BX302"/>
    <mergeCell ref="BX89"/>
    <mergeCell ref="BX400"/>
    <mergeCell ref="BX187"/>
    <mergeCell ref="BX399"/>
    <mergeCell ref="BX186"/>
    <mergeCell ref="BX398"/>
    <mergeCell ref="BX185"/>
    <mergeCell ref="BX403"/>
    <mergeCell ref="BX190"/>
    <mergeCell ref="BX402"/>
    <mergeCell ref="BX189"/>
    <mergeCell ref="BX401"/>
    <mergeCell ref="BX188"/>
    <mergeCell ref="BX406"/>
    <mergeCell ref="BX193"/>
    <mergeCell ref="BX405"/>
    <mergeCell ref="BX192"/>
    <mergeCell ref="BX404"/>
    <mergeCell ref="BX191"/>
    <mergeCell ref="BX409"/>
    <mergeCell ref="BX196"/>
    <mergeCell ref="BX408"/>
    <mergeCell ref="BX195"/>
    <mergeCell ref="BX407"/>
    <mergeCell ref="BX194"/>
    <mergeCell ref="BX388"/>
    <mergeCell ref="BX175"/>
    <mergeCell ref="BX387"/>
    <mergeCell ref="BX174"/>
    <mergeCell ref="BX386"/>
    <mergeCell ref="BX173"/>
    <mergeCell ref="BX391"/>
    <mergeCell ref="BX178"/>
    <mergeCell ref="BX390"/>
    <mergeCell ref="BX177"/>
    <mergeCell ref="BX389"/>
    <mergeCell ref="BX176"/>
    <mergeCell ref="BX394"/>
    <mergeCell ref="BX181"/>
    <mergeCell ref="BX393"/>
    <mergeCell ref="BX180"/>
    <mergeCell ref="BX392"/>
    <mergeCell ref="BX179"/>
    <mergeCell ref="BX397"/>
    <mergeCell ref="BX184"/>
    <mergeCell ref="BX396"/>
    <mergeCell ref="BX183"/>
    <mergeCell ref="BX395"/>
    <mergeCell ref="BX182"/>
    <mergeCell ref="BX376"/>
    <mergeCell ref="BX163"/>
    <mergeCell ref="BX375"/>
    <mergeCell ref="BX162"/>
    <mergeCell ref="BX374"/>
    <mergeCell ref="BX161"/>
    <mergeCell ref="BX379"/>
    <mergeCell ref="BX166"/>
    <mergeCell ref="BX378"/>
    <mergeCell ref="BX165"/>
    <mergeCell ref="BX377"/>
    <mergeCell ref="BX164"/>
    <mergeCell ref="BX382"/>
    <mergeCell ref="BX169"/>
    <mergeCell ref="BX381"/>
    <mergeCell ref="BX168"/>
    <mergeCell ref="BX380"/>
    <mergeCell ref="BX167"/>
    <mergeCell ref="BX385"/>
    <mergeCell ref="BX172"/>
    <mergeCell ref="BX384"/>
    <mergeCell ref="BX171"/>
    <mergeCell ref="BX383"/>
    <mergeCell ref="BX170"/>
    <mergeCell ref="BX330"/>
    <mergeCell ref="BX335"/>
    <mergeCell ref="BX350"/>
    <mergeCell ref="BX349"/>
    <mergeCell ref="BY293"/>
    <mergeCell ref="BY80"/>
    <mergeCell ref="BY292"/>
    <mergeCell ref="BY79"/>
    <mergeCell ref="BY291"/>
    <mergeCell ref="BY78"/>
    <mergeCell ref="BX367"/>
    <mergeCell ref="BX154"/>
    <mergeCell ref="BX366"/>
    <mergeCell ref="BX153"/>
    <mergeCell ref="BX365"/>
    <mergeCell ref="BX152"/>
    <mergeCell ref="BX370"/>
    <mergeCell ref="BX157"/>
    <mergeCell ref="BX369"/>
    <mergeCell ref="BX156"/>
    <mergeCell ref="BX368"/>
    <mergeCell ref="BX155"/>
    <mergeCell ref="BX373"/>
    <mergeCell ref="BX160"/>
    <mergeCell ref="BX372"/>
    <mergeCell ref="BX159"/>
    <mergeCell ref="BX371"/>
    <mergeCell ref="BX158"/>
    <mergeCell ref="BX301"/>
    <mergeCell ref="BX88"/>
    <mergeCell ref="BX300"/>
    <mergeCell ref="BX87"/>
    <mergeCell ref="BX305"/>
    <mergeCell ref="BX92"/>
    <mergeCell ref="BX304"/>
    <mergeCell ref="BX91"/>
    <mergeCell ref="BX303"/>
    <mergeCell ref="BX90"/>
    <mergeCell ref="BX308"/>
    <mergeCell ref="BX95"/>
    <mergeCell ref="BX307"/>
    <mergeCell ref="BX94"/>
    <mergeCell ref="BX306"/>
    <mergeCell ref="BX93"/>
    <mergeCell ref="BX311"/>
    <mergeCell ref="BX98"/>
    <mergeCell ref="BX310"/>
    <mergeCell ref="BY281"/>
    <mergeCell ref="BY362"/>
    <mergeCell ref="BY361"/>
    <mergeCell ref="BY360"/>
    <mergeCell ref="BY344"/>
    <mergeCell ref="BY343"/>
    <mergeCell ref="BY342"/>
    <mergeCell ref="BY347"/>
    <mergeCell ref="BY346"/>
    <mergeCell ref="BY345"/>
    <mergeCell ref="BY350"/>
    <mergeCell ref="BY349"/>
    <mergeCell ref="BY348"/>
    <mergeCell ref="BY353"/>
    <mergeCell ref="BY352"/>
    <mergeCell ref="BY351"/>
    <mergeCell ref="BY332"/>
    <mergeCell ref="BY331"/>
    <mergeCell ref="BY330"/>
    <mergeCell ref="BY335"/>
    <mergeCell ref="BY334"/>
    <mergeCell ref="BY56"/>
    <mergeCell ref="BY268"/>
    <mergeCell ref="BY55"/>
    <mergeCell ref="BY267"/>
    <mergeCell ref="BY54"/>
    <mergeCell ref="BY272"/>
    <mergeCell ref="BY59"/>
    <mergeCell ref="BY271"/>
    <mergeCell ref="BY58"/>
    <mergeCell ref="BY270"/>
    <mergeCell ref="BY57"/>
    <mergeCell ref="BY275"/>
    <mergeCell ref="BY62"/>
    <mergeCell ref="BY274"/>
    <mergeCell ref="BY61"/>
    <mergeCell ref="BY273"/>
    <mergeCell ref="BY60"/>
    <mergeCell ref="BY278"/>
    <mergeCell ref="BY65"/>
    <mergeCell ref="BY277"/>
    <mergeCell ref="BY64"/>
    <mergeCell ref="BY276"/>
    <mergeCell ref="BY63"/>
    <mergeCell ref="BY257"/>
    <mergeCell ref="BY119"/>
    <mergeCell ref="BY118"/>
    <mergeCell ref="BY117"/>
    <mergeCell ref="BY122"/>
    <mergeCell ref="BY121"/>
    <mergeCell ref="BY91"/>
    <mergeCell ref="BY90"/>
    <mergeCell ref="BY95"/>
    <mergeCell ref="BY94"/>
    <mergeCell ref="BY93"/>
    <mergeCell ref="BY98"/>
    <mergeCell ref="BY97"/>
    <mergeCell ref="BY96"/>
    <mergeCell ref="BY101"/>
    <mergeCell ref="BY100"/>
    <mergeCell ref="BY99"/>
    <mergeCell ref="BY161"/>
    <mergeCell ref="BY104"/>
    <mergeCell ref="BY120"/>
    <mergeCell ref="BY68"/>
    <mergeCell ref="BY67"/>
    <mergeCell ref="BY66"/>
    <mergeCell ref="BY44"/>
    <mergeCell ref="BY256"/>
    <mergeCell ref="BY43"/>
    <mergeCell ref="BY255"/>
    <mergeCell ref="BY42"/>
    <mergeCell ref="BY260"/>
    <mergeCell ref="BY47"/>
    <mergeCell ref="BY259"/>
    <mergeCell ref="BY46"/>
    <mergeCell ref="BY258"/>
    <mergeCell ref="BY45"/>
    <mergeCell ref="BY263"/>
    <mergeCell ref="BY50"/>
    <mergeCell ref="BY262"/>
    <mergeCell ref="BY49"/>
    <mergeCell ref="BY261"/>
    <mergeCell ref="BY48"/>
    <mergeCell ref="BY266"/>
    <mergeCell ref="BY53"/>
    <mergeCell ref="BY265"/>
    <mergeCell ref="BY52"/>
    <mergeCell ref="BY264"/>
    <mergeCell ref="BY51"/>
    <mergeCell ref="BY241"/>
    <mergeCell ref="BY28"/>
    <mergeCell ref="BY240"/>
    <mergeCell ref="BY27"/>
    <mergeCell ref="BY245"/>
    <mergeCell ref="BY32"/>
    <mergeCell ref="BY244"/>
    <mergeCell ref="BY31"/>
    <mergeCell ref="BY243"/>
    <mergeCell ref="BY30"/>
    <mergeCell ref="BY248"/>
    <mergeCell ref="BY35"/>
    <mergeCell ref="BY247"/>
    <mergeCell ref="BY34"/>
    <mergeCell ref="BY246"/>
    <mergeCell ref="BY33"/>
    <mergeCell ref="BY251"/>
    <mergeCell ref="BY38"/>
    <mergeCell ref="BY250"/>
    <mergeCell ref="BY37"/>
    <mergeCell ref="BY249"/>
    <mergeCell ref="BY36"/>
    <mergeCell ref="BY254"/>
    <mergeCell ref="BY41"/>
    <mergeCell ref="BY253"/>
    <mergeCell ref="BY40"/>
    <mergeCell ref="BY252"/>
    <mergeCell ref="BY39"/>
    <mergeCell ref="BY216"/>
    <mergeCell ref="BY131"/>
    <mergeCell ref="BY130"/>
    <mergeCell ref="BY129"/>
    <mergeCell ref="BY134"/>
    <mergeCell ref="BY133"/>
    <mergeCell ref="BY132"/>
    <mergeCell ref="BY137"/>
    <mergeCell ref="BY136"/>
    <mergeCell ref="BY135"/>
    <mergeCell ref="BY140"/>
    <mergeCell ref="BY139"/>
    <mergeCell ref="BY138"/>
    <mergeCell ref="BY3"/>
    <mergeCell ref="BY221"/>
    <mergeCell ref="BY8"/>
    <mergeCell ref="BY220"/>
    <mergeCell ref="BY7"/>
    <mergeCell ref="BY219"/>
    <mergeCell ref="BY6"/>
    <mergeCell ref="BY224"/>
    <mergeCell ref="BY11"/>
    <mergeCell ref="BY223"/>
    <mergeCell ref="BY10"/>
    <mergeCell ref="BY222"/>
    <mergeCell ref="BY9"/>
    <mergeCell ref="BY227"/>
    <mergeCell ref="BY14"/>
    <mergeCell ref="BY226"/>
    <mergeCell ref="BY13"/>
    <mergeCell ref="BY225"/>
    <mergeCell ref="BY12"/>
    <mergeCell ref="BY230"/>
    <mergeCell ref="BY17"/>
    <mergeCell ref="BY229"/>
    <mergeCell ref="BY16"/>
    <mergeCell ref="BY228"/>
    <mergeCell ref="BY15"/>
    <mergeCell ref="BY356"/>
    <mergeCell ref="BY143"/>
    <mergeCell ref="BY355"/>
    <mergeCell ref="BY142"/>
    <mergeCell ref="BY354"/>
    <mergeCell ref="BY141"/>
    <mergeCell ref="BY359"/>
    <mergeCell ref="BY146"/>
    <mergeCell ref="BY358"/>
    <mergeCell ref="BY145"/>
    <mergeCell ref="BY357"/>
    <mergeCell ref="BY144"/>
    <mergeCell ref="BY149"/>
    <mergeCell ref="BY148"/>
    <mergeCell ref="BY147"/>
    <mergeCell ref="BY218"/>
    <mergeCell ref="BY5"/>
    <mergeCell ref="BY217"/>
    <mergeCell ref="BY4"/>
    <mergeCell ref="BY233"/>
    <mergeCell ref="BY20"/>
    <mergeCell ref="BY232"/>
    <mergeCell ref="BY19"/>
    <mergeCell ref="BY231"/>
    <mergeCell ref="BY18"/>
    <mergeCell ref="BY236"/>
    <mergeCell ref="BY23"/>
    <mergeCell ref="BY235"/>
    <mergeCell ref="BY22"/>
    <mergeCell ref="BY234"/>
    <mergeCell ref="BY21"/>
    <mergeCell ref="BY239"/>
    <mergeCell ref="BY26"/>
    <mergeCell ref="BY238"/>
    <mergeCell ref="BY25"/>
    <mergeCell ref="BY237"/>
    <mergeCell ref="BY24"/>
    <mergeCell ref="BY242"/>
    <mergeCell ref="BY29"/>
    <mergeCell ref="BY338"/>
    <mergeCell ref="BY125"/>
    <mergeCell ref="BY337"/>
    <mergeCell ref="BY124"/>
    <mergeCell ref="BY336"/>
    <mergeCell ref="BY123"/>
    <mergeCell ref="BY341"/>
    <mergeCell ref="BY128"/>
    <mergeCell ref="BY340"/>
    <mergeCell ref="BY127"/>
    <mergeCell ref="BY339"/>
    <mergeCell ref="BY126"/>
    <mergeCell ref="BY320"/>
    <mergeCell ref="BY107"/>
    <mergeCell ref="BY319"/>
    <mergeCell ref="BY106"/>
    <mergeCell ref="BY318"/>
    <mergeCell ref="BY105"/>
    <mergeCell ref="BY323"/>
    <mergeCell ref="BY110"/>
    <mergeCell ref="BY322"/>
    <mergeCell ref="BY109"/>
    <mergeCell ref="BY321"/>
    <mergeCell ref="BY108"/>
    <mergeCell ref="BY326"/>
    <mergeCell ref="BY113"/>
    <mergeCell ref="BY325"/>
    <mergeCell ref="BY112"/>
    <mergeCell ref="BY324"/>
    <mergeCell ref="BY111"/>
    <mergeCell ref="BY329"/>
    <mergeCell ref="BY116"/>
    <mergeCell ref="BY328"/>
    <mergeCell ref="BY115"/>
    <mergeCell ref="BY327"/>
    <mergeCell ref="BY114"/>
    <mergeCell ref="BY304"/>
    <mergeCell ref="BY303"/>
    <mergeCell ref="BY308"/>
    <mergeCell ref="BY307"/>
    <mergeCell ref="BY306"/>
    <mergeCell ref="BY311"/>
    <mergeCell ref="BY310"/>
    <mergeCell ref="BY309"/>
    <mergeCell ref="BY314"/>
    <mergeCell ref="BY313"/>
    <mergeCell ref="BY312"/>
    <mergeCell ref="BY317"/>
    <mergeCell ref="BY194"/>
    <mergeCell ref="BY165"/>
    <mergeCell ref="BY164"/>
    <mergeCell ref="BY154"/>
    <mergeCell ref="BY153"/>
    <mergeCell ref="BY152"/>
    <mergeCell ref="BY157"/>
    <mergeCell ref="BY156"/>
    <mergeCell ref="BY155"/>
    <mergeCell ref="BY160"/>
    <mergeCell ref="BY159"/>
    <mergeCell ref="BY158"/>
    <mergeCell ref="BY163"/>
    <mergeCell ref="BY162"/>
    <mergeCell ref="BY280"/>
    <mergeCell ref="BY279"/>
    <mergeCell ref="BY316"/>
    <mergeCell ref="BY103"/>
    <mergeCell ref="BY315"/>
    <mergeCell ref="BY102"/>
    <mergeCell ref="BY415"/>
    <mergeCell ref="BY202"/>
    <mergeCell ref="BY414"/>
    <mergeCell ref="BY201"/>
    <mergeCell ref="BY413"/>
    <mergeCell ref="BY200"/>
    <mergeCell ref="BY418"/>
    <mergeCell ref="BY205"/>
    <mergeCell ref="BY417"/>
    <mergeCell ref="BY204"/>
    <mergeCell ref="BY416"/>
    <mergeCell ref="BY203"/>
    <mergeCell ref="BY296"/>
    <mergeCell ref="BY83"/>
    <mergeCell ref="BY425"/>
    <mergeCell ref="BY212"/>
    <mergeCell ref="BY424"/>
    <mergeCell ref="BY211"/>
    <mergeCell ref="BY423"/>
    <mergeCell ref="BY210"/>
    <mergeCell ref="BY422"/>
    <mergeCell ref="BY209"/>
    <mergeCell ref="BY421"/>
    <mergeCell ref="BY208"/>
    <mergeCell ref="BY420"/>
    <mergeCell ref="BY207"/>
    <mergeCell ref="BY419"/>
    <mergeCell ref="BY206"/>
    <mergeCell ref="BY299"/>
    <mergeCell ref="BY86"/>
    <mergeCell ref="BY298"/>
    <mergeCell ref="BY85"/>
    <mergeCell ref="BY297"/>
    <mergeCell ref="BY84"/>
    <mergeCell ref="BY302"/>
    <mergeCell ref="BY89"/>
    <mergeCell ref="BY301"/>
    <mergeCell ref="BY88"/>
    <mergeCell ref="BY300"/>
    <mergeCell ref="BY87"/>
    <mergeCell ref="BY305"/>
    <mergeCell ref="BY92"/>
    <mergeCell ref="BY403"/>
    <mergeCell ref="BY190"/>
    <mergeCell ref="BY402"/>
    <mergeCell ref="BY189"/>
    <mergeCell ref="BY401"/>
    <mergeCell ref="BY188"/>
    <mergeCell ref="BY406"/>
    <mergeCell ref="BY193"/>
    <mergeCell ref="BY405"/>
    <mergeCell ref="BY192"/>
    <mergeCell ref="BY404"/>
    <mergeCell ref="BY191"/>
    <mergeCell ref="BY409"/>
    <mergeCell ref="BY196"/>
    <mergeCell ref="BY408"/>
    <mergeCell ref="BY195"/>
    <mergeCell ref="BY407"/>
    <mergeCell ref="BY333"/>
    <mergeCell ref="BY412"/>
    <mergeCell ref="BY199"/>
    <mergeCell ref="BY411"/>
    <mergeCell ref="BY198"/>
    <mergeCell ref="BY410"/>
    <mergeCell ref="BY197"/>
    <mergeCell ref="BY391"/>
    <mergeCell ref="BY178"/>
    <mergeCell ref="BY390"/>
    <mergeCell ref="BY177"/>
    <mergeCell ref="BY389"/>
    <mergeCell ref="BY176"/>
    <mergeCell ref="BY394"/>
    <mergeCell ref="BY181"/>
    <mergeCell ref="BY393"/>
    <mergeCell ref="BY180"/>
    <mergeCell ref="BY392"/>
    <mergeCell ref="BY179"/>
    <mergeCell ref="BY397"/>
    <mergeCell ref="BY184"/>
    <mergeCell ref="BY396"/>
    <mergeCell ref="BY183"/>
    <mergeCell ref="BY395"/>
    <mergeCell ref="BY182"/>
    <mergeCell ref="BY400"/>
    <mergeCell ref="BY187"/>
    <mergeCell ref="BY399"/>
    <mergeCell ref="BY186"/>
    <mergeCell ref="BY398"/>
    <mergeCell ref="BY185"/>
    <mergeCell ref="BY379"/>
    <mergeCell ref="BY166"/>
    <mergeCell ref="BY378"/>
    <mergeCell ref="BY377"/>
    <mergeCell ref="BY382"/>
    <mergeCell ref="BY169"/>
    <mergeCell ref="BY381"/>
    <mergeCell ref="BY168"/>
    <mergeCell ref="BY380"/>
    <mergeCell ref="BY167"/>
    <mergeCell ref="BY385"/>
    <mergeCell ref="BY172"/>
    <mergeCell ref="BY384"/>
    <mergeCell ref="BY171"/>
    <mergeCell ref="BY383"/>
    <mergeCell ref="BY170"/>
    <mergeCell ref="BY388"/>
    <mergeCell ref="BY175"/>
    <mergeCell ref="BY387"/>
    <mergeCell ref="BY174"/>
    <mergeCell ref="BY386"/>
    <mergeCell ref="BY173"/>
    <mergeCell ref="BY367"/>
    <mergeCell ref="BY366"/>
    <mergeCell ref="BY365"/>
    <mergeCell ref="BY370"/>
    <mergeCell ref="BY369"/>
    <mergeCell ref="BY368"/>
    <mergeCell ref="BY373"/>
    <mergeCell ref="BY372"/>
    <mergeCell ref="BY371"/>
    <mergeCell ref="BY376"/>
    <mergeCell ref="BY375"/>
    <mergeCell ref="BY374"/>
    <mergeCell ref="BY284"/>
    <mergeCell ref="BY71"/>
    <mergeCell ref="BY283"/>
    <mergeCell ref="BY70"/>
    <mergeCell ref="BY282"/>
    <mergeCell ref="BY69"/>
    <mergeCell ref="BY287"/>
    <mergeCell ref="BY74"/>
    <mergeCell ref="BY286"/>
    <mergeCell ref="BY73"/>
    <mergeCell ref="BY285"/>
    <mergeCell ref="BY72"/>
    <mergeCell ref="BY290"/>
    <mergeCell ref="BY77"/>
    <mergeCell ref="BY289"/>
    <mergeCell ref="BY76"/>
    <mergeCell ref="BY288"/>
    <mergeCell ref="BY75"/>
    <mergeCell ref="BY269"/>
    <mergeCell ref="BZ113"/>
    <mergeCell ref="BZ114"/>
    <mergeCell ref="BZ109"/>
    <mergeCell ref="BZ110"/>
    <mergeCell ref="BZ111"/>
    <mergeCell ref="BZ118"/>
    <mergeCell ref="BZ119"/>
    <mergeCell ref="BZ120"/>
    <mergeCell ref="BZ115"/>
    <mergeCell ref="BZ116"/>
    <mergeCell ref="BZ117"/>
    <mergeCell ref="BZ161"/>
    <mergeCell ref="BZ162"/>
    <mergeCell ref="BZ169"/>
    <mergeCell ref="BZ170"/>
    <mergeCell ref="BZ171"/>
    <mergeCell ref="BZ166"/>
    <mergeCell ref="BZ167"/>
    <mergeCell ref="BZ278"/>
    <mergeCell ref="BZ279"/>
    <mergeCell ref="BZ280"/>
    <mergeCell ref="BZ275"/>
    <mergeCell ref="BZ276"/>
    <mergeCell ref="BZ277"/>
    <mergeCell ref="BZ284"/>
    <mergeCell ref="BZ71"/>
    <mergeCell ref="BZ285"/>
    <mergeCell ref="BZ72"/>
    <mergeCell ref="BZ286"/>
    <mergeCell ref="BZ73"/>
    <mergeCell ref="BZ281"/>
    <mergeCell ref="BZ282"/>
    <mergeCell ref="BZ69"/>
    <mergeCell ref="BZ283"/>
    <mergeCell ref="BZ70"/>
    <mergeCell ref="BZ80"/>
    <mergeCell ref="BZ290"/>
    <mergeCell ref="BZ77"/>
    <mergeCell ref="BZ78"/>
    <mergeCell ref="BZ79"/>
    <mergeCell ref="BZ287"/>
    <mergeCell ref="BZ74"/>
    <mergeCell ref="BZ288"/>
    <mergeCell ref="BZ75"/>
    <mergeCell ref="BZ289"/>
    <mergeCell ref="BZ47"/>
    <mergeCell ref="BZ261"/>
    <mergeCell ref="BZ48"/>
    <mergeCell ref="BZ262"/>
    <mergeCell ref="BZ49"/>
    <mergeCell ref="BZ257"/>
    <mergeCell ref="BZ44"/>
    <mergeCell ref="BZ258"/>
    <mergeCell ref="BZ45"/>
    <mergeCell ref="BZ259"/>
    <mergeCell ref="BZ46"/>
    <mergeCell ref="BZ266"/>
    <mergeCell ref="BZ53"/>
    <mergeCell ref="BZ267"/>
    <mergeCell ref="BZ54"/>
    <mergeCell ref="BZ55"/>
    <mergeCell ref="BZ263"/>
    <mergeCell ref="BZ50"/>
    <mergeCell ref="BZ264"/>
    <mergeCell ref="BZ51"/>
    <mergeCell ref="BZ265"/>
    <mergeCell ref="BZ52"/>
    <mergeCell ref="BZ59"/>
    <mergeCell ref="BZ60"/>
    <mergeCell ref="BZ61"/>
    <mergeCell ref="BZ56"/>
    <mergeCell ref="BZ57"/>
    <mergeCell ref="BZ58"/>
    <mergeCell ref="BZ234"/>
    <mergeCell ref="BZ168"/>
    <mergeCell ref="BZ5"/>
    <mergeCell ref="BZ219"/>
    <mergeCell ref="BZ6"/>
    <mergeCell ref="BZ220"/>
    <mergeCell ref="BZ7"/>
    <mergeCell ref="BZ216"/>
    <mergeCell ref="BZ163"/>
    <mergeCell ref="BZ164"/>
    <mergeCell ref="BZ165"/>
    <mergeCell ref="BZ160"/>
    <mergeCell ref="BZ65"/>
    <mergeCell ref="BZ66"/>
    <mergeCell ref="BZ67"/>
    <mergeCell ref="BZ62"/>
    <mergeCell ref="BZ63"/>
    <mergeCell ref="BZ64"/>
    <mergeCell ref="BZ68"/>
    <mergeCell ref="BZ76"/>
    <mergeCell ref="BZ260"/>
    <mergeCell ref="BZ3"/>
    <mergeCell ref="BZ217"/>
    <mergeCell ref="BZ4"/>
    <mergeCell ref="BZ224"/>
    <mergeCell ref="BZ11"/>
    <mergeCell ref="BZ225"/>
    <mergeCell ref="BZ12"/>
    <mergeCell ref="BZ226"/>
    <mergeCell ref="BZ13"/>
    <mergeCell ref="BZ221"/>
    <mergeCell ref="BZ8"/>
    <mergeCell ref="BZ222"/>
    <mergeCell ref="BZ9"/>
    <mergeCell ref="BZ223"/>
    <mergeCell ref="BZ10"/>
    <mergeCell ref="BZ230"/>
    <mergeCell ref="BZ17"/>
    <mergeCell ref="BZ231"/>
    <mergeCell ref="BZ18"/>
    <mergeCell ref="BZ232"/>
    <mergeCell ref="BZ19"/>
    <mergeCell ref="BZ227"/>
    <mergeCell ref="BZ14"/>
    <mergeCell ref="BZ228"/>
    <mergeCell ref="BZ15"/>
    <mergeCell ref="BZ229"/>
    <mergeCell ref="BZ16"/>
    <mergeCell ref="BZ23"/>
    <mergeCell ref="BZ24"/>
    <mergeCell ref="BZ25"/>
    <mergeCell ref="BZ20"/>
    <mergeCell ref="BZ21"/>
    <mergeCell ref="BZ22"/>
    <mergeCell ref="BZ29"/>
    <mergeCell ref="BZ30"/>
    <mergeCell ref="BZ31"/>
    <mergeCell ref="BZ26"/>
    <mergeCell ref="BZ27"/>
    <mergeCell ref="BZ28"/>
    <mergeCell ref="BZ35"/>
    <mergeCell ref="BZ36"/>
    <mergeCell ref="BZ37"/>
    <mergeCell ref="BZ32"/>
    <mergeCell ref="BZ33"/>
    <mergeCell ref="BZ34"/>
    <mergeCell ref="BZ41"/>
    <mergeCell ref="BZ42"/>
    <mergeCell ref="BZ43"/>
    <mergeCell ref="BZ38"/>
    <mergeCell ref="BZ39"/>
    <mergeCell ref="BZ40"/>
    <mergeCell ref="BZ106"/>
    <mergeCell ref="BZ107"/>
    <mergeCell ref="BZ108"/>
    <mergeCell ref="BZ103"/>
    <mergeCell ref="BZ104"/>
    <mergeCell ref="BZ105"/>
    <mergeCell ref="BZ112"/>
    <mergeCell ref="BZ157"/>
    <mergeCell ref="BZ158"/>
    <mergeCell ref="BZ159"/>
    <mergeCell ref="BZ154"/>
    <mergeCell ref="BZ155"/>
    <mergeCell ref="BZ156"/>
    <mergeCell ref="BZ355"/>
    <mergeCell ref="BZ142"/>
    <mergeCell ref="BZ356"/>
    <mergeCell ref="BZ143"/>
    <mergeCell ref="BZ357"/>
    <mergeCell ref="BZ144"/>
    <mergeCell ref="BZ352"/>
    <mergeCell ref="BZ139"/>
    <mergeCell ref="BZ353"/>
    <mergeCell ref="BZ140"/>
    <mergeCell ref="BZ354"/>
    <mergeCell ref="BZ141"/>
    <mergeCell ref="BZ361"/>
    <mergeCell ref="BZ148"/>
    <mergeCell ref="BZ362"/>
    <mergeCell ref="BZ149"/>
    <mergeCell ref="BZ358"/>
    <mergeCell ref="BZ145"/>
    <mergeCell ref="BZ359"/>
    <mergeCell ref="BZ146"/>
    <mergeCell ref="BZ360"/>
    <mergeCell ref="BZ147"/>
    <mergeCell ref="BZ218"/>
    <mergeCell ref="BZ236"/>
    <mergeCell ref="BZ237"/>
    <mergeCell ref="BZ238"/>
    <mergeCell ref="BZ233"/>
    <mergeCell ref="BZ235"/>
    <mergeCell ref="BZ242"/>
    <mergeCell ref="BZ243"/>
    <mergeCell ref="BZ244"/>
    <mergeCell ref="BZ239"/>
    <mergeCell ref="BZ240"/>
    <mergeCell ref="BZ241"/>
    <mergeCell ref="BZ248"/>
    <mergeCell ref="BZ249"/>
    <mergeCell ref="BZ250"/>
    <mergeCell ref="BZ245"/>
    <mergeCell ref="BZ246"/>
    <mergeCell ref="BZ247"/>
    <mergeCell ref="BZ254"/>
    <mergeCell ref="BZ255"/>
    <mergeCell ref="BZ256"/>
    <mergeCell ref="BZ251"/>
    <mergeCell ref="BZ252"/>
    <mergeCell ref="BZ253"/>
    <mergeCell ref="BZ268"/>
    <mergeCell ref="BZ272"/>
    <mergeCell ref="BZ273"/>
    <mergeCell ref="BZ274"/>
    <mergeCell ref="BZ269"/>
    <mergeCell ref="BZ270"/>
    <mergeCell ref="BZ271"/>
    <mergeCell ref="BZ293"/>
    <mergeCell ref="BZ291"/>
    <mergeCell ref="BZ292"/>
    <mergeCell ref="BZ406"/>
    <mergeCell ref="BZ193"/>
    <mergeCell ref="BZ407"/>
    <mergeCell ref="BZ194"/>
    <mergeCell ref="BZ408"/>
    <mergeCell ref="BZ195"/>
    <mergeCell ref="BZ403"/>
    <mergeCell ref="BZ190"/>
    <mergeCell ref="BZ404"/>
    <mergeCell ref="BZ191"/>
    <mergeCell ref="BZ405"/>
    <mergeCell ref="BZ192"/>
    <mergeCell ref="BZ417"/>
    <mergeCell ref="BZ204"/>
    <mergeCell ref="BZ412"/>
    <mergeCell ref="BZ199"/>
    <mergeCell ref="BZ413"/>
    <mergeCell ref="BZ200"/>
    <mergeCell ref="BZ414"/>
    <mergeCell ref="BZ201"/>
    <mergeCell ref="BZ409"/>
    <mergeCell ref="BZ196"/>
    <mergeCell ref="BZ410"/>
    <mergeCell ref="BZ197"/>
    <mergeCell ref="BZ411"/>
    <mergeCell ref="BZ198"/>
    <mergeCell ref="BZ296"/>
    <mergeCell ref="BZ83"/>
    <mergeCell ref="BZ297"/>
    <mergeCell ref="BZ84"/>
    <mergeCell ref="BZ424"/>
    <mergeCell ref="BZ211"/>
    <mergeCell ref="BZ425"/>
    <mergeCell ref="BZ212"/>
    <mergeCell ref="BZ421"/>
    <mergeCell ref="BZ208"/>
    <mergeCell ref="BZ422"/>
    <mergeCell ref="BZ209"/>
    <mergeCell ref="BZ423"/>
    <mergeCell ref="BZ210"/>
    <mergeCell ref="BZ418"/>
    <mergeCell ref="BZ205"/>
    <mergeCell ref="BZ419"/>
    <mergeCell ref="BZ206"/>
    <mergeCell ref="BZ420"/>
    <mergeCell ref="BZ207"/>
    <mergeCell ref="BZ415"/>
    <mergeCell ref="BZ202"/>
    <mergeCell ref="BZ416"/>
    <mergeCell ref="BZ203"/>
    <mergeCell ref="BZ301"/>
    <mergeCell ref="BZ88"/>
    <mergeCell ref="BZ302"/>
    <mergeCell ref="BZ89"/>
    <mergeCell ref="BZ303"/>
    <mergeCell ref="BZ90"/>
    <mergeCell ref="BZ298"/>
    <mergeCell ref="BZ85"/>
    <mergeCell ref="BZ299"/>
    <mergeCell ref="BZ86"/>
    <mergeCell ref="BZ300"/>
    <mergeCell ref="BZ87"/>
    <mergeCell ref="BZ307"/>
    <mergeCell ref="BZ94"/>
    <mergeCell ref="BZ388"/>
    <mergeCell ref="BZ175"/>
    <mergeCell ref="BZ389"/>
    <mergeCell ref="BZ176"/>
    <mergeCell ref="BZ390"/>
    <mergeCell ref="BZ177"/>
    <mergeCell ref="BZ385"/>
    <mergeCell ref="BZ172"/>
    <mergeCell ref="BZ386"/>
    <mergeCell ref="BZ173"/>
    <mergeCell ref="BZ387"/>
    <mergeCell ref="BZ174"/>
    <mergeCell ref="BZ394"/>
    <mergeCell ref="BZ181"/>
    <mergeCell ref="BZ395"/>
    <mergeCell ref="BZ182"/>
    <mergeCell ref="BZ396"/>
    <mergeCell ref="BZ183"/>
    <mergeCell ref="BZ391"/>
    <mergeCell ref="BZ178"/>
    <mergeCell ref="BZ392"/>
    <mergeCell ref="BZ179"/>
    <mergeCell ref="BZ393"/>
    <mergeCell ref="BZ180"/>
    <mergeCell ref="BZ400"/>
    <mergeCell ref="BZ187"/>
    <mergeCell ref="BZ401"/>
    <mergeCell ref="BZ188"/>
    <mergeCell ref="BZ402"/>
    <mergeCell ref="BZ189"/>
    <mergeCell ref="BZ397"/>
    <mergeCell ref="BZ184"/>
    <mergeCell ref="BZ398"/>
    <mergeCell ref="BZ185"/>
    <mergeCell ref="BZ399"/>
    <mergeCell ref="BZ186"/>
    <mergeCell ref="BZ370"/>
    <mergeCell ref="BZ371"/>
    <mergeCell ref="BZ372"/>
    <mergeCell ref="BZ367"/>
    <mergeCell ref="BZ368"/>
    <mergeCell ref="BZ369"/>
    <mergeCell ref="BZ376"/>
    <mergeCell ref="BZ377"/>
    <mergeCell ref="BZ378"/>
    <mergeCell ref="BZ373"/>
    <mergeCell ref="BZ374"/>
    <mergeCell ref="BZ375"/>
    <mergeCell ref="BZ382"/>
    <mergeCell ref="BZ383"/>
    <mergeCell ref="BZ384"/>
    <mergeCell ref="BZ379"/>
    <mergeCell ref="BZ380"/>
    <mergeCell ref="BZ381"/>
    <mergeCell ref="BZ337"/>
    <mergeCell ref="BZ338"/>
    <mergeCell ref="BZ339"/>
    <mergeCell ref="BZ334"/>
    <mergeCell ref="BZ335"/>
    <mergeCell ref="BZ336"/>
    <mergeCell ref="BZ343"/>
    <mergeCell ref="BZ344"/>
    <mergeCell ref="BZ345"/>
    <mergeCell ref="BZ340"/>
    <mergeCell ref="BZ366"/>
    <mergeCell ref="BZ153"/>
    <mergeCell ref="CA293"/>
    <mergeCell ref="CA80"/>
    <mergeCell ref="CA292"/>
    <mergeCell ref="CA79"/>
    <mergeCell ref="CA355"/>
    <mergeCell ref="CA142"/>
    <mergeCell ref="CA354"/>
    <mergeCell ref="CA141"/>
    <mergeCell ref="CA353"/>
    <mergeCell ref="CA140"/>
    <mergeCell ref="CA352"/>
    <mergeCell ref="CA139"/>
    <mergeCell ref="CA351"/>
    <mergeCell ref="BZ308"/>
    <mergeCell ref="BZ95"/>
    <mergeCell ref="BZ309"/>
    <mergeCell ref="BZ96"/>
    <mergeCell ref="BZ304"/>
    <mergeCell ref="BZ91"/>
    <mergeCell ref="BZ305"/>
    <mergeCell ref="BZ92"/>
    <mergeCell ref="BZ306"/>
    <mergeCell ref="BZ93"/>
    <mergeCell ref="BZ313"/>
    <mergeCell ref="BZ100"/>
    <mergeCell ref="BZ314"/>
    <mergeCell ref="BZ101"/>
    <mergeCell ref="BZ315"/>
    <mergeCell ref="BZ102"/>
    <mergeCell ref="BZ310"/>
    <mergeCell ref="BZ97"/>
    <mergeCell ref="BZ311"/>
    <mergeCell ref="BZ98"/>
    <mergeCell ref="BZ312"/>
    <mergeCell ref="BZ99"/>
    <mergeCell ref="CA276"/>
    <mergeCell ref="CA338"/>
    <mergeCell ref="CA337"/>
    <mergeCell ref="CA336"/>
    <mergeCell ref="CA341"/>
    <mergeCell ref="CA340"/>
    <mergeCell ref="CA339"/>
    <mergeCell ref="CA344"/>
    <mergeCell ref="CA343"/>
    <mergeCell ref="CA342"/>
    <mergeCell ref="CA347"/>
    <mergeCell ref="CA346"/>
    <mergeCell ref="CA345"/>
    <mergeCell ref="BZ124"/>
    <mergeCell ref="BZ125"/>
    <mergeCell ref="BZ126"/>
    <mergeCell ref="BZ121"/>
    <mergeCell ref="BZ122"/>
    <mergeCell ref="BZ123"/>
    <mergeCell ref="BZ130"/>
    <mergeCell ref="BZ131"/>
    <mergeCell ref="BZ132"/>
    <mergeCell ref="BZ127"/>
    <mergeCell ref="BZ341"/>
    <mergeCell ref="BZ128"/>
    <mergeCell ref="BZ342"/>
    <mergeCell ref="BZ129"/>
    <mergeCell ref="CA49"/>
    <mergeCell ref="CA267"/>
    <mergeCell ref="CA54"/>
    <mergeCell ref="CA266"/>
    <mergeCell ref="CA53"/>
    <mergeCell ref="CA265"/>
    <mergeCell ref="CA52"/>
    <mergeCell ref="CA270"/>
    <mergeCell ref="CA57"/>
    <mergeCell ref="CA269"/>
    <mergeCell ref="CA56"/>
    <mergeCell ref="CA268"/>
    <mergeCell ref="CA55"/>
    <mergeCell ref="CA273"/>
    <mergeCell ref="CA60"/>
    <mergeCell ref="CA272"/>
    <mergeCell ref="CA59"/>
    <mergeCell ref="CA271"/>
    <mergeCell ref="CA58"/>
    <mergeCell ref="CA252"/>
    <mergeCell ref="CA288"/>
    <mergeCell ref="CA75"/>
    <mergeCell ref="CA287"/>
    <mergeCell ref="CA74"/>
    <mergeCell ref="CA286"/>
    <mergeCell ref="CA73"/>
    <mergeCell ref="CA291"/>
    <mergeCell ref="CA78"/>
    <mergeCell ref="CA290"/>
    <mergeCell ref="CA77"/>
    <mergeCell ref="CA289"/>
    <mergeCell ref="CA76"/>
    <mergeCell ref="BZ365"/>
    <mergeCell ref="BZ152"/>
    <mergeCell ref="BZ349"/>
    <mergeCell ref="BZ136"/>
    <mergeCell ref="BZ350"/>
    <mergeCell ref="BZ137"/>
    <mergeCell ref="BZ351"/>
    <mergeCell ref="BZ138"/>
    <mergeCell ref="BZ346"/>
    <mergeCell ref="BZ133"/>
    <mergeCell ref="BZ347"/>
    <mergeCell ref="BZ134"/>
    <mergeCell ref="BZ348"/>
    <mergeCell ref="BZ135"/>
    <mergeCell ref="BZ319"/>
    <mergeCell ref="BZ320"/>
    <mergeCell ref="BZ321"/>
    <mergeCell ref="BZ316"/>
    <mergeCell ref="BZ317"/>
    <mergeCell ref="BZ318"/>
    <mergeCell ref="BZ325"/>
    <mergeCell ref="BZ326"/>
    <mergeCell ref="BZ327"/>
    <mergeCell ref="BZ322"/>
    <mergeCell ref="BZ323"/>
    <mergeCell ref="BZ324"/>
    <mergeCell ref="BZ331"/>
    <mergeCell ref="BZ332"/>
    <mergeCell ref="BZ333"/>
    <mergeCell ref="BZ328"/>
    <mergeCell ref="BZ329"/>
    <mergeCell ref="BZ330"/>
    <mergeCell ref="CA131"/>
    <mergeCell ref="CA130"/>
    <mergeCell ref="CA129"/>
    <mergeCell ref="CA134"/>
    <mergeCell ref="CA133"/>
    <mergeCell ref="CA132"/>
    <mergeCell ref="CA63"/>
    <mergeCell ref="CA275"/>
    <mergeCell ref="CA62"/>
    <mergeCell ref="CA274"/>
    <mergeCell ref="CA61"/>
    <mergeCell ref="CA279"/>
    <mergeCell ref="CA66"/>
    <mergeCell ref="CA278"/>
    <mergeCell ref="CA65"/>
    <mergeCell ref="CA277"/>
    <mergeCell ref="CA64"/>
    <mergeCell ref="CA282"/>
    <mergeCell ref="CA69"/>
    <mergeCell ref="CA281"/>
    <mergeCell ref="CA68"/>
    <mergeCell ref="CA280"/>
    <mergeCell ref="CA67"/>
    <mergeCell ref="CA285"/>
    <mergeCell ref="CA72"/>
    <mergeCell ref="CA284"/>
    <mergeCell ref="CA71"/>
    <mergeCell ref="CA283"/>
    <mergeCell ref="CA70"/>
    <mergeCell ref="CA264"/>
    <mergeCell ref="CA51"/>
    <mergeCell ref="CA263"/>
    <mergeCell ref="CA50"/>
    <mergeCell ref="CA262"/>
    <mergeCell ref="CA3"/>
    <mergeCell ref="CA362"/>
    <mergeCell ref="CA149"/>
    <mergeCell ref="CA361"/>
    <mergeCell ref="CA148"/>
    <mergeCell ref="CA360"/>
    <mergeCell ref="CA147"/>
    <mergeCell ref="CA359"/>
    <mergeCell ref="CA146"/>
    <mergeCell ref="CA358"/>
    <mergeCell ref="CA145"/>
    <mergeCell ref="CA357"/>
    <mergeCell ref="CA144"/>
    <mergeCell ref="CA356"/>
    <mergeCell ref="CA143"/>
    <mergeCell ref="CA219"/>
    <mergeCell ref="CA6"/>
    <mergeCell ref="CA218"/>
    <mergeCell ref="CA5"/>
    <mergeCell ref="CA217"/>
    <mergeCell ref="CA4"/>
    <mergeCell ref="CA222"/>
    <mergeCell ref="CA9"/>
    <mergeCell ref="CA221"/>
    <mergeCell ref="CA8"/>
    <mergeCell ref="CA220"/>
    <mergeCell ref="CA7"/>
    <mergeCell ref="CA225"/>
    <mergeCell ref="CA12"/>
    <mergeCell ref="CA224"/>
    <mergeCell ref="CA11"/>
    <mergeCell ref="CA223"/>
    <mergeCell ref="CA10"/>
    <mergeCell ref="CA228"/>
    <mergeCell ref="CA15"/>
    <mergeCell ref="CA39"/>
    <mergeCell ref="CA251"/>
    <mergeCell ref="CA38"/>
    <mergeCell ref="CA250"/>
    <mergeCell ref="CA37"/>
    <mergeCell ref="CA255"/>
    <mergeCell ref="CA42"/>
    <mergeCell ref="CA254"/>
    <mergeCell ref="CA41"/>
    <mergeCell ref="CA253"/>
    <mergeCell ref="CA40"/>
    <mergeCell ref="CA258"/>
    <mergeCell ref="CA45"/>
    <mergeCell ref="CA257"/>
    <mergeCell ref="CA44"/>
    <mergeCell ref="CA256"/>
    <mergeCell ref="CA43"/>
    <mergeCell ref="CA261"/>
    <mergeCell ref="CA48"/>
    <mergeCell ref="CA260"/>
    <mergeCell ref="CA47"/>
    <mergeCell ref="CA259"/>
    <mergeCell ref="CA46"/>
    <mergeCell ref="CA240"/>
    <mergeCell ref="CA27"/>
    <mergeCell ref="CA239"/>
    <mergeCell ref="CA26"/>
    <mergeCell ref="CA238"/>
    <mergeCell ref="CA25"/>
    <mergeCell ref="CA319"/>
    <mergeCell ref="CA106"/>
    <mergeCell ref="CA318"/>
    <mergeCell ref="CA105"/>
    <mergeCell ref="CA323"/>
    <mergeCell ref="CA110"/>
    <mergeCell ref="CA322"/>
    <mergeCell ref="CA109"/>
    <mergeCell ref="CA321"/>
    <mergeCell ref="CA108"/>
    <mergeCell ref="CA14"/>
    <mergeCell ref="CA226"/>
    <mergeCell ref="CA13"/>
    <mergeCell ref="CA231"/>
    <mergeCell ref="CA18"/>
    <mergeCell ref="CA230"/>
    <mergeCell ref="CA17"/>
    <mergeCell ref="CA229"/>
    <mergeCell ref="CA16"/>
    <mergeCell ref="CA234"/>
    <mergeCell ref="CA21"/>
    <mergeCell ref="CA233"/>
    <mergeCell ref="CA20"/>
    <mergeCell ref="CA232"/>
    <mergeCell ref="CA19"/>
    <mergeCell ref="CA237"/>
    <mergeCell ref="CA24"/>
    <mergeCell ref="CA236"/>
    <mergeCell ref="CA23"/>
    <mergeCell ref="CA235"/>
    <mergeCell ref="CA22"/>
    <mergeCell ref="CA138"/>
    <mergeCell ref="CA350"/>
    <mergeCell ref="CA137"/>
    <mergeCell ref="CA349"/>
    <mergeCell ref="CA136"/>
    <mergeCell ref="CA348"/>
    <mergeCell ref="CA135"/>
    <mergeCell ref="CA216"/>
    <mergeCell ref="CA243"/>
    <mergeCell ref="CA30"/>
    <mergeCell ref="CA242"/>
    <mergeCell ref="CA29"/>
    <mergeCell ref="CA241"/>
    <mergeCell ref="CA28"/>
    <mergeCell ref="CA246"/>
    <mergeCell ref="CA33"/>
    <mergeCell ref="CA245"/>
    <mergeCell ref="CA32"/>
    <mergeCell ref="CA244"/>
    <mergeCell ref="CA31"/>
    <mergeCell ref="CA249"/>
    <mergeCell ref="CA36"/>
    <mergeCell ref="CA248"/>
    <mergeCell ref="CA35"/>
    <mergeCell ref="CA247"/>
    <mergeCell ref="CA34"/>
    <mergeCell ref="CA227"/>
    <mergeCell ref="CA125"/>
    <mergeCell ref="CA124"/>
    <mergeCell ref="CA123"/>
    <mergeCell ref="CA128"/>
    <mergeCell ref="CA127"/>
    <mergeCell ref="CA126"/>
    <mergeCell ref="CA412"/>
    <mergeCell ref="CA199"/>
    <mergeCell ref="CA411"/>
    <mergeCell ref="CA198"/>
    <mergeCell ref="CA410"/>
    <mergeCell ref="CA197"/>
    <mergeCell ref="CA415"/>
    <mergeCell ref="CA202"/>
    <mergeCell ref="CA414"/>
    <mergeCell ref="CA201"/>
    <mergeCell ref="CA413"/>
    <mergeCell ref="CA200"/>
    <mergeCell ref="CA418"/>
    <mergeCell ref="CA205"/>
    <mergeCell ref="CA417"/>
    <mergeCell ref="CA204"/>
    <mergeCell ref="CA416"/>
    <mergeCell ref="CA203"/>
    <mergeCell ref="CA296"/>
    <mergeCell ref="CA83"/>
    <mergeCell ref="CA425"/>
    <mergeCell ref="CA212"/>
    <mergeCell ref="CA424"/>
    <mergeCell ref="CA211"/>
    <mergeCell ref="CA423"/>
    <mergeCell ref="CA210"/>
    <mergeCell ref="CA422"/>
    <mergeCell ref="CA209"/>
    <mergeCell ref="CA421"/>
    <mergeCell ref="CA208"/>
    <mergeCell ref="CA420"/>
    <mergeCell ref="CA207"/>
    <mergeCell ref="CA419"/>
    <mergeCell ref="CA206"/>
    <mergeCell ref="CA299"/>
    <mergeCell ref="CA86"/>
    <mergeCell ref="CA298"/>
    <mergeCell ref="CA85"/>
    <mergeCell ref="CA297"/>
    <mergeCell ref="CA84"/>
    <mergeCell ref="CA302"/>
    <mergeCell ref="CA89"/>
    <mergeCell ref="CA400"/>
    <mergeCell ref="CA187"/>
    <mergeCell ref="CA399"/>
    <mergeCell ref="CA186"/>
    <mergeCell ref="CA398"/>
    <mergeCell ref="CA185"/>
    <mergeCell ref="CA403"/>
    <mergeCell ref="CA190"/>
    <mergeCell ref="CA402"/>
    <mergeCell ref="CA189"/>
    <mergeCell ref="CA401"/>
    <mergeCell ref="CA188"/>
    <mergeCell ref="CA406"/>
    <mergeCell ref="CA193"/>
    <mergeCell ref="CA405"/>
    <mergeCell ref="CA192"/>
    <mergeCell ref="CA404"/>
    <mergeCell ref="CA191"/>
    <mergeCell ref="CA409"/>
    <mergeCell ref="CA196"/>
    <mergeCell ref="CA408"/>
    <mergeCell ref="CA195"/>
    <mergeCell ref="CA407"/>
    <mergeCell ref="CA194"/>
    <mergeCell ref="CA388"/>
    <mergeCell ref="CA175"/>
    <mergeCell ref="CA387"/>
    <mergeCell ref="CA174"/>
    <mergeCell ref="CA386"/>
    <mergeCell ref="CA173"/>
    <mergeCell ref="CA391"/>
    <mergeCell ref="CA178"/>
    <mergeCell ref="CA390"/>
    <mergeCell ref="CA177"/>
    <mergeCell ref="CA389"/>
    <mergeCell ref="CA176"/>
    <mergeCell ref="CA394"/>
    <mergeCell ref="CA181"/>
    <mergeCell ref="CA393"/>
    <mergeCell ref="CA180"/>
    <mergeCell ref="CA392"/>
    <mergeCell ref="CA179"/>
    <mergeCell ref="CA397"/>
    <mergeCell ref="CA184"/>
    <mergeCell ref="CA396"/>
    <mergeCell ref="CA183"/>
    <mergeCell ref="CA395"/>
    <mergeCell ref="CA182"/>
    <mergeCell ref="CA376"/>
    <mergeCell ref="CA163"/>
    <mergeCell ref="CA375"/>
    <mergeCell ref="CA162"/>
    <mergeCell ref="CA374"/>
    <mergeCell ref="CA161"/>
    <mergeCell ref="CA379"/>
    <mergeCell ref="CA166"/>
    <mergeCell ref="CA378"/>
    <mergeCell ref="CA165"/>
    <mergeCell ref="CA377"/>
    <mergeCell ref="CA164"/>
    <mergeCell ref="CA382"/>
    <mergeCell ref="CA169"/>
    <mergeCell ref="CA381"/>
    <mergeCell ref="CA168"/>
    <mergeCell ref="CA380"/>
    <mergeCell ref="CA167"/>
    <mergeCell ref="CA385"/>
    <mergeCell ref="CA172"/>
    <mergeCell ref="CA384"/>
    <mergeCell ref="CA171"/>
    <mergeCell ref="CA383"/>
    <mergeCell ref="CA170"/>
    <mergeCell ref="CA326"/>
    <mergeCell ref="CA325"/>
    <mergeCell ref="CA324"/>
    <mergeCell ref="CA329"/>
    <mergeCell ref="CA328"/>
    <mergeCell ref="CA327"/>
    <mergeCell ref="CA332"/>
    <mergeCell ref="CA331"/>
    <mergeCell ref="CA330"/>
    <mergeCell ref="CA335"/>
    <mergeCell ref="CA334"/>
    <mergeCell ref="CA333"/>
    <mergeCell ref="CA309"/>
    <mergeCell ref="CA314"/>
    <mergeCell ref="CA367"/>
    <mergeCell ref="CA154"/>
    <mergeCell ref="CA366"/>
    <mergeCell ref="CA153"/>
    <mergeCell ref="CA365"/>
    <mergeCell ref="CA152"/>
    <mergeCell ref="CA370"/>
    <mergeCell ref="CA157"/>
    <mergeCell ref="CA369"/>
    <mergeCell ref="CA156"/>
    <mergeCell ref="CA368"/>
    <mergeCell ref="CA155"/>
    <mergeCell ref="CA373"/>
    <mergeCell ref="CA160"/>
    <mergeCell ref="CA372"/>
    <mergeCell ref="CA159"/>
    <mergeCell ref="CA371"/>
    <mergeCell ref="CA158"/>
    <mergeCell ref="CA301"/>
    <mergeCell ref="CA88"/>
    <mergeCell ref="CA300"/>
    <mergeCell ref="CA87"/>
    <mergeCell ref="CA305"/>
    <mergeCell ref="CA92"/>
    <mergeCell ref="CA304"/>
    <mergeCell ref="CA91"/>
    <mergeCell ref="CA303"/>
    <mergeCell ref="CA90"/>
    <mergeCell ref="CA308"/>
    <mergeCell ref="CA95"/>
    <mergeCell ref="CA307"/>
    <mergeCell ref="CA94"/>
    <mergeCell ref="CA306"/>
    <mergeCell ref="CA93"/>
    <mergeCell ref="CA311"/>
    <mergeCell ref="CA98"/>
    <mergeCell ref="CA310"/>
    <mergeCell ref="CA113"/>
    <mergeCell ref="CA112"/>
    <mergeCell ref="CA111"/>
    <mergeCell ref="CA116"/>
    <mergeCell ref="CA115"/>
    <mergeCell ref="CA114"/>
    <mergeCell ref="CA119"/>
    <mergeCell ref="CA118"/>
    <mergeCell ref="CA117"/>
    <mergeCell ref="CA122"/>
    <mergeCell ref="CA121"/>
    <mergeCell ref="CA120"/>
    <mergeCell ref="CA97"/>
    <mergeCell ref="CA96"/>
    <mergeCell ref="CA101"/>
    <mergeCell ref="CA313"/>
    <mergeCell ref="CA100"/>
    <mergeCell ref="CA312"/>
    <mergeCell ref="CA99"/>
    <mergeCell ref="CA317"/>
    <mergeCell ref="CA104"/>
    <mergeCell ref="CA316"/>
    <mergeCell ref="CA103"/>
    <mergeCell ref="CA315"/>
    <mergeCell ref="CA102"/>
    <mergeCell ref="CA320"/>
    <mergeCell ref="CA107"/>
    <mergeCell ref="CB68"/>
    <mergeCell ref="CB280"/>
    <mergeCell ref="CB67"/>
    <mergeCell ref="CB279"/>
    <mergeCell ref="CB66"/>
    <mergeCell ref="CB284"/>
    <mergeCell ref="CB71"/>
    <mergeCell ref="CB283"/>
    <mergeCell ref="CB70"/>
    <mergeCell ref="CB282"/>
    <mergeCell ref="CB69"/>
    <mergeCell ref="CB287"/>
    <mergeCell ref="CB74"/>
    <mergeCell ref="CB286"/>
    <mergeCell ref="CB73"/>
    <mergeCell ref="CB285"/>
    <mergeCell ref="CB72"/>
    <mergeCell ref="CB290"/>
    <mergeCell ref="CB77"/>
    <mergeCell ref="CB289"/>
    <mergeCell ref="CB76"/>
    <mergeCell ref="CB288"/>
    <mergeCell ref="CB75"/>
    <mergeCell ref="CB269"/>
    <mergeCell ref="CB56"/>
    <mergeCell ref="CB268"/>
    <mergeCell ref="CB55"/>
    <mergeCell ref="CB267"/>
    <mergeCell ref="CB54"/>
    <mergeCell ref="CB272"/>
    <mergeCell ref="CB59"/>
    <mergeCell ref="CB271"/>
    <mergeCell ref="CB58"/>
    <mergeCell ref="CB270"/>
    <mergeCell ref="CB57"/>
    <mergeCell ref="CB275"/>
    <mergeCell ref="CB62"/>
    <mergeCell ref="CB274"/>
    <mergeCell ref="CB61"/>
    <mergeCell ref="CB273"/>
    <mergeCell ref="CB60"/>
    <mergeCell ref="CB278"/>
    <mergeCell ref="CB65"/>
    <mergeCell ref="CB277"/>
    <mergeCell ref="CB64"/>
    <mergeCell ref="CB276"/>
    <mergeCell ref="CB63"/>
    <mergeCell ref="CB257"/>
    <mergeCell ref="CB105"/>
    <mergeCell ref="CB80"/>
    <mergeCell ref="CB79"/>
    <mergeCell ref="CB78"/>
    <mergeCell ref="CB281"/>
    <mergeCell ref="CB44"/>
    <mergeCell ref="CB256"/>
    <mergeCell ref="CB43"/>
    <mergeCell ref="CB255"/>
    <mergeCell ref="CB42"/>
    <mergeCell ref="CB260"/>
    <mergeCell ref="CB47"/>
    <mergeCell ref="CB259"/>
    <mergeCell ref="CB46"/>
    <mergeCell ref="CB258"/>
    <mergeCell ref="CB45"/>
    <mergeCell ref="CB263"/>
    <mergeCell ref="CB50"/>
    <mergeCell ref="CB262"/>
    <mergeCell ref="CB49"/>
    <mergeCell ref="CB261"/>
    <mergeCell ref="CB48"/>
    <mergeCell ref="CB266"/>
    <mergeCell ref="CB53"/>
    <mergeCell ref="CB265"/>
    <mergeCell ref="CB52"/>
    <mergeCell ref="CB264"/>
    <mergeCell ref="CB51"/>
    <mergeCell ref="CB245"/>
    <mergeCell ref="CB32"/>
    <mergeCell ref="CB244"/>
    <mergeCell ref="CB31"/>
    <mergeCell ref="CB243"/>
    <mergeCell ref="CB30"/>
    <mergeCell ref="CB248"/>
    <mergeCell ref="CB35"/>
    <mergeCell ref="CB247"/>
    <mergeCell ref="CB34"/>
    <mergeCell ref="CB246"/>
    <mergeCell ref="CB33"/>
    <mergeCell ref="CB251"/>
    <mergeCell ref="CB38"/>
    <mergeCell ref="CB250"/>
    <mergeCell ref="CB37"/>
    <mergeCell ref="CB249"/>
    <mergeCell ref="CB36"/>
    <mergeCell ref="CB254"/>
    <mergeCell ref="CB41"/>
    <mergeCell ref="CB253"/>
    <mergeCell ref="CB40"/>
    <mergeCell ref="CB252"/>
    <mergeCell ref="CB39"/>
    <mergeCell ref="CB233"/>
    <mergeCell ref="CB115"/>
    <mergeCell ref="CB114"/>
    <mergeCell ref="CB119"/>
    <mergeCell ref="CB118"/>
    <mergeCell ref="CB117"/>
    <mergeCell ref="CB98"/>
    <mergeCell ref="CB97"/>
    <mergeCell ref="CB96"/>
    <mergeCell ref="CB101"/>
    <mergeCell ref="CB100"/>
    <mergeCell ref="CB99"/>
    <mergeCell ref="CB104"/>
    <mergeCell ref="CB103"/>
    <mergeCell ref="CB102"/>
    <mergeCell ref="CB107"/>
    <mergeCell ref="CB106"/>
    <mergeCell ref="CB20"/>
    <mergeCell ref="CB232"/>
    <mergeCell ref="CB19"/>
    <mergeCell ref="CB231"/>
    <mergeCell ref="CB18"/>
    <mergeCell ref="CB236"/>
    <mergeCell ref="CB23"/>
    <mergeCell ref="CB235"/>
    <mergeCell ref="CB22"/>
    <mergeCell ref="CB234"/>
    <mergeCell ref="CB21"/>
    <mergeCell ref="CB239"/>
    <mergeCell ref="CB26"/>
    <mergeCell ref="CB238"/>
    <mergeCell ref="CB25"/>
    <mergeCell ref="CB237"/>
    <mergeCell ref="CB24"/>
    <mergeCell ref="CB242"/>
    <mergeCell ref="CB29"/>
    <mergeCell ref="CB241"/>
    <mergeCell ref="CB28"/>
    <mergeCell ref="CB240"/>
    <mergeCell ref="CB27"/>
    <mergeCell ref="CB359"/>
    <mergeCell ref="CB146"/>
    <mergeCell ref="CB358"/>
    <mergeCell ref="CB145"/>
    <mergeCell ref="CB357"/>
    <mergeCell ref="CB144"/>
    <mergeCell ref="CB362"/>
    <mergeCell ref="CB149"/>
    <mergeCell ref="CB361"/>
    <mergeCell ref="CB148"/>
    <mergeCell ref="CB360"/>
    <mergeCell ref="CB147"/>
    <mergeCell ref="CB218"/>
    <mergeCell ref="CB350"/>
    <mergeCell ref="CB349"/>
    <mergeCell ref="CB348"/>
    <mergeCell ref="CB353"/>
    <mergeCell ref="CB352"/>
    <mergeCell ref="CB351"/>
    <mergeCell ref="CB356"/>
    <mergeCell ref="CB355"/>
    <mergeCell ref="CB354"/>
    <mergeCell ref="CB343"/>
    <mergeCell ref="CB130"/>
    <mergeCell ref="CB342"/>
    <mergeCell ref="CB129"/>
    <mergeCell ref="CB323"/>
    <mergeCell ref="CB110"/>
    <mergeCell ref="CB322"/>
    <mergeCell ref="CB109"/>
    <mergeCell ref="CB321"/>
    <mergeCell ref="CB108"/>
    <mergeCell ref="CB326"/>
    <mergeCell ref="CB113"/>
    <mergeCell ref="CB325"/>
    <mergeCell ref="CB112"/>
    <mergeCell ref="CB324"/>
    <mergeCell ref="CB111"/>
    <mergeCell ref="CB329"/>
    <mergeCell ref="CB116"/>
    <mergeCell ref="CB328"/>
    <mergeCell ref="CB5"/>
    <mergeCell ref="CB217"/>
    <mergeCell ref="CB4"/>
    <mergeCell ref="CB216"/>
    <mergeCell ref="CB3"/>
    <mergeCell ref="CB221"/>
    <mergeCell ref="CB8"/>
    <mergeCell ref="CB220"/>
    <mergeCell ref="CB7"/>
    <mergeCell ref="CB219"/>
    <mergeCell ref="CB6"/>
    <mergeCell ref="CB224"/>
    <mergeCell ref="CB11"/>
    <mergeCell ref="CB223"/>
    <mergeCell ref="CB10"/>
    <mergeCell ref="CB222"/>
    <mergeCell ref="CB9"/>
    <mergeCell ref="CB227"/>
    <mergeCell ref="CB14"/>
    <mergeCell ref="CB226"/>
    <mergeCell ref="CB13"/>
    <mergeCell ref="CB225"/>
    <mergeCell ref="CB12"/>
    <mergeCell ref="CB230"/>
    <mergeCell ref="CB17"/>
    <mergeCell ref="CB229"/>
    <mergeCell ref="CB16"/>
    <mergeCell ref="CB228"/>
    <mergeCell ref="CB15"/>
    <mergeCell ref="CB347"/>
    <mergeCell ref="CB134"/>
    <mergeCell ref="CB346"/>
    <mergeCell ref="CB133"/>
    <mergeCell ref="CB345"/>
    <mergeCell ref="CB132"/>
    <mergeCell ref="CB137"/>
    <mergeCell ref="CB136"/>
    <mergeCell ref="CB135"/>
    <mergeCell ref="CB140"/>
    <mergeCell ref="CB139"/>
    <mergeCell ref="CB138"/>
    <mergeCell ref="CB143"/>
    <mergeCell ref="CB142"/>
    <mergeCell ref="CB141"/>
    <mergeCell ref="CB335"/>
    <mergeCell ref="CB122"/>
    <mergeCell ref="CB334"/>
    <mergeCell ref="CB121"/>
    <mergeCell ref="CB333"/>
    <mergeCell ref="CB120"/>
    <mergeCell ref="CB338"/>
    <mergeCell ref="CB125"/>
    <mergeCell ref="CB337"/>
    <mergeCell ref="CB124"/>
    <mergeCell ref="CB336"/>
    <mergeCell ref="CB123"/>
    <mergeCell ref="CB341"/>
    <mergeCell ref="CB128"/>
    <mergeCell ref="CB340"/>
    <mergeCell ref="CB127"/>
    <mergeCell ref="CB339"/>
    <mergeCell ref="CB126"/>
    <mergeCell ref="CB344"/>
    <mergeCell ref="CB131"/>
    <mergeCell ref="CB412"/>
    <mergeCell ref="CB199"/>
    <mergeCell ref="CB411"/>
    <mergeCell ref="CB198"/>
    <mergeCell ref="CB410"/>
    <mergeCell ref="CB197"/>
    <mergeCell ref="CB415"/>
    <mergeCell ref="CB202"/>
    <mergeCell ref="CB414"/>
    <mergeCell ref="CB201"/>
    <mergeCell ref="CB413"/>
    <mergeCell ref="CB200"/>
    <mergeCell ref="CB418"/>
    <mergeCell ref="CB205"/>
    <mergeCell ref="CB417"/>
    <mergeCell ref="CB204"/>
    <mergeCell ref="CB416"/>
    <mergeCell ref="CB203"/>
    <mergeCell ref="CB296"/>
    <mergeCell ref="CB83"/>
    <mergeCell ref="CB425"/>
    <mergeCell ref="CB212"/>
    <mergeCell ref="CB424"/>
    <mergeCell ref="CB211"/>
    <mergeCell ref="CB423"/>
    <mergeCell ref="CB210"/>
    <mergeCell ref="CB422"/>
    <mergeCell ref="CB209"/>
    <mergeCell ref="CB421"/>
    <mergeCell ref="CB208"/>
    <mergeCell ref="CB420"/>
    <mergeCell ref="CB207"/>
    <mergeCell ref="CB419"/>
    <mergeCell ref="CB206"/>
    <mergeCell ref="CB299"/>
    <mergeCell ref="CB86"/>
    <mergeCell ref="CB298"/>
    <mergeCell ref="CB85"/>
    <mergeCell ref="CB297"/>
    <mergeCell ref="CB84"/>
    <mergeCell ref="CB302"/>
    <mergeCell ref="CB89"/>
    <mergeCell ref="CB400"/>
    <mergeCell ref="CB187"/>
    <mergeCell ref="CB399"/>
    <mergeCell ref="CB186"/>
    <mergeCell ref="CB398"/>
    <mergeCell ref="CB185"/>
    <mergeCell ref="CB403"/>
    <mergeCell ref="CB190"/>
    <mergeCell ref="CB402"/>
    <mergeCell ref="CB189"/>
    <mergeCell ref="CB401"/>
    <mergeCell ref="CB188"/>
    <mergeCell ref="CB406"/>
    <mergeCell ref="CB193"/>
    <mergeCell ref="CB405"/>
    <mergeCell ref="CB192"/>
    <mergeCell ref="CB404"/>
    <mergeCell ref="CB191"/>
    <mergeCell ref="CB409"/>
    <mergeCell ref="CB196"/>
    <mergeCell ref="CB408"/>
    <mergeCell ref="CB195"/>
    <mergeCell ref="CB407"/>
    <mergeCell ref="CB194"/>
    <mergeCell ref="CB388"/>
    <mergeCell ref="CB175"/>
    <mergeCell ref="CB387"/>
    <mergeCell ref="CB174"/>
    <mergeCell ref="CB386"/>
    <mergeCell ref="CB173"/>
    <mergeCell ref="CB391"/>
    <mergeCell ref="CB178"/>
    <mergeCell ref="CB390"/>
    <mergeCell ref="CB177"/>
    <mergeCell ref="CB389"/>
    <mergeCell ref="CB176"/>
    <mergeCell ref="CB394"/>
    <mergeCell ref="CB181"/>
    <mergeCell ref="CB393"/>
    <mergeCell ref="CB180"/>
    <mergeCell ref="CB392"/>
    <mergeCell ref="CB179"/>
    <mergeCell ref="CB397"/>
    <mergeCell ref="CB184"/>
    <mergeCell ref="CB396"/>
    <mergeCell ref="CB183"/>
    <mergeCell ref="CB395"/>
    <mergeCell ref="CB182"/>
    <mergeCell ref="CB376"/>
    <mergeCell ref="CB163"/>
    <mergeCell ref="CB375"/>
    <mergeCell ref="CB162"/>
    <mergeCell ref="CB374"/>
    <mergeCell ref="CB161"/>
    <mergeCell ref="CB379"/>
    <mergeCell ref="CB166"/>
    <mergeCell ref="CB378"/>
    <mergeCell ref="CB165"/>
    <mergeCell ref="CB377"/>
    <mergeCell ref="CB164"/>
    <mergeCell ref="CB382"/>
    <mergeCell ref="CB169"/>
    <mergeCell ref="CB381"/>
    <mergeCell ref="CB168"/>
    <mergeCell ref="CB380"/>
    <mergeCell ref="CB167"/>
    <mergeCell ref="CB385"/>
    <mergeCell ref="CB172"/>
    <mergeCell ref="CB384"/>
    <mergeCell ref="CB171"/>
    <mergeCell ref="CB383"/>
    <mergeCell ref="CB170"/>
    <mergeCell ref="CB293"/>
    <mergeCell ref="CB292"/>
    <mergeCell ref="CB291"/>
    <mergeCell ref="CB327"/>
    <mergeCell ref="CB332"/>
    <mergeCell ref="CB331"/>
    <mergeCell ref="CB330"/>
    <mergeCell ref="CB310"/>
    <mergeCell ref="CB309"/>
    <mergeCell ref="CB314"/>
    <mergeCell ref="CB313"/>
    <mergeCell ref="CB312"/>
    <mergeCell ref="CB317"/>
    <mergeCell ref="CB316"/>
    <mergeCell ref="CB367"/>
    <mergeCell ref="CB154"/>
    <mergeCell ref="CB366"/>
    <mergeCell ref="CB153"/>
    <mergeCell ref="CB365"/>
    <mergeCell ref="CB152"/>
    <mergeCell ref="CB370"/>
    <mergeCell ref="CB157"/>
    <mergeCell ref="CB369"/>
    <mergeCell ref="CB156"/>
    <mergeCell ref="CB368"/>
    <mergeCell ref="CB155"/>
    <mergeCell ref="CB373"/>
    <mergeCell ref="CB160"/>
    <mergeCell ref="CB372"/>
    <mergeCell ref="CB159"/>
    <mergeCell ref="CB371"/>
    <mergeCell ref="CB158"/>
    <mergeCell ref="CB301"/>
    <mergeCell ref="CB88"/>
    <mergeCell ref="CB300"/>
    <mergeCell ref="CB87"/>
    <mergeCell ref="CB305"/>
    <mergeCell ref="CB92"/>
    <mergeCell ref="CB304"/>
    <mergeCell ref="CB91"/>
    <mergeCell ref="CB303"/>
    <mergeCell ref="CB90"/>
    <mergeCell ref="CB308"/>
    <mergeCell ref="CB95"/>
    <mergeCell ref="CB307"/>
    <mergeCell ref="CB94"/>
    <mergeCell ref="CB306"/>
    <mergeCell ref="CB93"/>
    <mergeCell ref="CB311"/>
    <mergeCell ref="CB315"/>
    <mergeCell ref="CB320"/>
    <mergeCell ref="CB319"/>
    <mergeCell ref="CB318"/>
    <mergeCell ref="CC65"/>
    <mergeCell ref="CC279"/>
    <mergeCell ref="CC66"/>
    <mergeCell ref="CC284"/>
    <mergeCell ref="CC71"/>
    <mergeCell ref="CC285"/>
    <mergeCell ref="CC72"/>
    <mergeCell ref="CC282"/>
    <mergeCell ref="CC69"/>
    <mergeCell ref="CC283"/>
    <mergeCell ref="CC70"/>
    <mergeCell ref="CC288"/>
    <mergeCell ref="CC75"/>
    <mergeCell ref="CC289"/>
    <mergeCell ref="CC76"/>
    <mergeCell ref="CC286"/>
    <mergeCell ref="CC73"/>
    <mergeCell ref="CC287"/>
    <mergeCell ref="CC74"/>
    <mergeCell ref="CC268"/>
    <mergeCell ref="CC55"/>
    <mergeCell ref="CC269"/>
    <mergeCell ref="CC56"/>
    <mergeCell ref="CC266"/>
    <mergeCell ref="CC53"/>
    <mergeCell ref="CC267"/>
    <mergeCell ref="CC54"/>
    <mergeCell ref="CC272"/>
    <mergeCell ref="CC59"/>
    <mergeCell ref="CC273"/>
    <mergeCell ref="CC60"/>
    <mergeCell ref="CC270"/>
    <mergeCell ref="CC57"/>
    <mergeCell ref="CC271"/>
    <mergeCell ref="CC58"/>
    <mergeCell ref="CC276"/>
    <mergeCell ref="CC63"/>
    <mergeCell ref="CC277"/>
    <mergeCell ref="CC64"/>
    <mergeCell ref="CC274"/>
    <mergeCell ref="CC61"/>
    <mergeCell ref="CC275"/>
    <mergeCell ref="CC62"/>
    <mergeCell ref="CC256"/>
    <mergeCell ref="CC79"/>
    <mergeCell ref="CC80"/>
    <mergeCell ref="CC77"/>
    <mergeCell ref="CC78"/>
    <mergeCell ref="CC280"/>
    <mergeCell ref="CC43"/>
    <mergeCell ref="CC257"/>
    <mergeCell ref="CC44"/>
    <mergeCell ref="CC254"/>
    <mergeCell ref="CC41"/>
    <mergeCell ref="CC255"/>
    <mergeCell ref="CC42"/>
    <mergeCell ref="CC260"/>
    <mergeCell ref="CC47"/>
    <mergeCell ref="CC261"/>
    <mergeCell ref="CC48"/>
    <mergeCell ref="CC258"/>
    <mergeCell ref="CC45"/>
    <mergeCell ref="CC259"/>
    <mergeCell ref="CC46"/>
    <mergeCell ref="CC264"/>
    <mergeCell ref="CC51"/>
    <mergeCell ref="CC265"/>
    <mergeCell ref="CC52"/>
    <mergeCell ref="CC262"/>
    <mergeCell ref="CC49"/>
    <mergeCell ref="CC263"/>
    <mergeCell ref="CC50"/>
    <mergeCell ref="CC245"/>
    <mergeCell ref="CC32"/>
    <mergeCell ref="CC242"/>
    <mergeCell ref="CC29"/>
    <mergeCell ref="CC243"/>
    <mergeCell ref="CC30"/>
    <mergeCell ref="CC248"/>
    <mergeCell ref="CC35"/>
    <mergeCell ref="CC249"/>
    <mergeCell ref="CC36"/>
    <mergeCell ref="CC246"/>
    <mergeCell ref="CC33"/>
    <mergeCell ref="CC247"/>
    <mergeCell ref="CC34"/>
    <mergeCell ref="CC252"/>
    <mergeCell ref="CC39"/>
    <mergeCell ref="CC253"/>
    <mergeCell ref="CC40"/>
    <mergeCell ref="CC250"/>
    <mergeCell ref="CC37"/>
    <mergeCell ref="CC251"/>
    <mergeCell ref="CC38"/>
    <mergeCell ref="CC233"/>
    <mergeCell ref="CC119"/>
    <mergeCell ref="CC120"/>
    <mergeCell ref="CC117"/>
    <mergeCell ref="CC118"/>
    <mergeCell ref="CC162"/>
    <mergeCell ref="CC163"/>
    <mergeCell ref="CC160"/>
    <mergeCell ref="CC161"/>
    <mergeCell ref="CC166"/>
    <mergeCell ref="CC167"/>
    <mergeCell ref="CC164"/>
    <mergeCell ref="CC165"/>
    <mergeCell ref="CC170"/>
    <mergeCell ref="CC171"/>
    <mergeCell ref="CC168"/>
    <mergeCell ref="CC169"/>
    <mergeCell ref="CC67"/>
    <mergeCell ref="CC68"/>
    <mergeCell ref="CC20"/>
    <mergeCell ref="CC230"/>
    <mergeCell ref="CC17"/>
    <mergeCell ref="CC231"/>
    <mergeCell ref="CC18"/>
    <mergeCell ref="CC236"/>
    <mergeCell ref="CC23"/>
    <mergeCell ref="CC237"/>
    <mergeCell ref="CC24"/>
    <mergeCell ref="CC234"/>
    <mergeCell ref="CC21"/>
    <mergeCell ref="CC235"/>
    <mergeCell ref="CC22"/>
    <mergeCell ref="CC240"/>
    <mergeCell ref="CC27"/>
    <mergeCell ref="CC241"/>
    <mergeCell ref="CC28"/>
    <mergeCell ref="CC238"/>
    <mergeCell ref="CC25"/>
    <mergeCell ref="CC239"/>
    <mergeCell ref="CC26"/>
    <mergeCell ref="CC244"/>
    <mergeCell ref="CC31"/>
    <mergeCell ref="CC216"/>
    <mergeCell ref="CC3"/>
    <mergeCell ref="CC217"/>
    <mergeCell ref="CC4"/>
    <mergeCell ref="CC362"/>
    <mergeCell ref="CC149"/>
    <mergeCell ref="CC360"/>
    <mergeCell ref="CC147"/>
    <mergeCell ref="CC361"/>
    <mergeCell ref="CC148"/>
    <mergeCell ref="CC358"/>
    <mergeCell ref="CC145"/>
    <mergeCell ref="CC359"/>
    <mergeCell ref="CC146"/>
    <mergeCell ref="CC356"/>
    <mergeCell ref="CC143"/>
    <mergeCell ref="CC220"/>
    <mergeCell ref="CC7"/>
    <mergeCell ref="CC221"/>
    <mergeCell ref="CC8"/>
    <mergeCell ref="CC218"/>
    <mergeCell ref="CC5"/>
    <mergeCell ref="CC219"/>
    <mergeCell ref="CC6"/>
    <mergeCell ref="CC224"/>
    <mergeCell ref="CC11"/>
    <mergeCell ref="CC225"/>
    <mergeCell ref="CC12"/>
    <mergeCell ref="CC222"/>
    <mergeCell ref="CC9"/>
    <mergeCell ref="CC223"/>
    <mergeCell ref="CC10"/>
    <mergeCell ref="CC228"/>
    <mergeCell ref="CC15"/>
    <mergeCell ref="CC229"/>
    <mergeCell ref="CC16"/>
    <mergeCell ref="CC226"/>
    <mergeCell ref="CC13"/>
    <mergeCell ref="CC227"/>
    <mergeCell ref="CC14"/>
    <mergeCell ref="CC232"/>
    <mergeCell ref="CC19"/>
    <mergeCell ref="CC348"/>
    <mergeCell ref="CC135"/>
    <mergeCell ref="CC349"/>
    <mergeCell ref="CC136"/>
    <mergeCell ref="CC346"/>
    <mergeCell ref="CC133"/>
    <mergeCell ref="CC347"/>
    <mergeCell ref="CC134"/>
    <mergeCell ref="CC352"/>
    <mergeCell ref="CC139"/>
    <mergeCell ref="CC353"/>
    <mergeCell ref="CC140"/>
    <mergeCell ref="CC350"/>
    <mergeCell ref="CC137"/>
    <mergeCell ref="CC351"/>
    <mergeCell ref="CC138"/>
    <mergeCell ref="CC357"/>
    <mergeCell ref="CC144"/>
    <mergeCell ref="CC354"/>
    <mergeCell ref="CC141"/>
    <mergeCell ref="CC355"/>
    <mergeCell ref="CC142"/>
    <mergeCell ref="CC336"/>
    <mergeCell ref="CC123"/>
    <mergeCell ref="CC337"/>
    <mergeCell ref="CC124"/>
    <mergeCell ref="CC334"/>
    <mergeCell ref="CC121"/>
    <mergeCell ref="CC335"/>
    <mergeCell ref="CC122"/>
    <mergeCell ref="CC340"/>
    <mergeCell ref="CC127"/>
    <mergeCell ref="CC341"/>
    <mergeCell ref="CC128"/>
    <mergeCell ref="CC338"/>
    <mergeCell ref="CC125"/>
    <mergeCell ref="CC339"/>
    <mergeCell ref="CC126"/>
    <mergeCell ref="CC344"/>
    <mergeCell ref="CC131"/>
    <mergeCell ref="CC345"/>
    <mergeCell ref="CC132"/>
    <mergeCell ref="CC342"/>
    <mergeCell ref="CC129"/>
    <mergeCell ref="CC343"/>
    <mergeCell ref="CC130"/>
    <mergeCell ref="CC106"/>
    <mergeCell ref="CC324"/>
    <mergeCell ref="CC111"/>
    <mergeCell ref="CC325"/>
    <mergeCell ref="CC112"/>
    <mergeCell ref="CC322"/>
    <mergeCell ref="CC109"/>
    <mergeCell ref="CC323"/>
    <mergeCell ref="CC110"/>
    <mergeCell ref="CC328"/>
    <mergeCell ref="CC115"/>
    <mergeCell ref="CC329"/>
    <mergeCell ref="CC116"/>
    <mergeCell ref="CC326"/>
    <mergeCell ref="CC113"/>
    <mergeCell ref="CC327"/>
    <mergeCell ref="CC114"/>
    <mergeCell ref="CC425"/>
    <mergeCell ref="CC212"/>
    <mergeCell ref="CC423"/>
    <mergeCell ref="CC210"/>
    <mergeCell ref="CC424"/>
    <mergeCell ref="CC211"/>
    <mergeCell ref="CC421"/>
    <mergeCell ref="CC208"/>
    <mergeCell ref="CC422"/>
    <mergeCell ref="CC209"/>
    <mergeCell ref="CC419"/>
    <mergeCell ref="CC206"/>
    <mergeCell ref="CC300"/>
    <mergeCell ref="CC87"/>
    <mergeCell ref="CC301"/>
    <mergeCell ref="CC88"/>
    <mergeCell ref="CC298"/>
    <mergeCell ref="CC85"/>
    <mergeCell ref="CC299"/>
    <mergeCell ref="CC86"/>
    <mergeCell ref="CC304"/>
    <mergeCell ref="CC91"/>
    <mergeCell ref="CC305"/>
    <mergeCell ref="CC92"/>
    <mergeCell ref="CC302"/>
    <mergeCell ref="CC89"/>
    <mergeCell ref="CC303"/>
    <mergeCell ref="CC90"/>
    <mergeCell ref="CC308"/>
    <mergeCell ref="CC95"/>
    <mergeCell ref="CC309"/>
    <mergeCell ref="CC96"/>
    <mergeCell ref="CC306"/>
    <mergeCell ref="CC93"/>
    <mergeCell ref="CC307"/>
    <mergeCell ref="CC94"/>
    <mergeCell ref="CC312"/>
    <mergeCell ref="CC99"/>
    <mergeCell ref="CC313"/>
    <mergeCell ref="CC100"/>
    <mergeCell ref="CC310"/>
    <mergeCell ref="CC97"/>
    <mergeCell ref="CC411"/>
    <mergeCell ref="CC198"/>
    <mergeCell ref="CC412"/>
    <mergeCell ref="CC199"/>
    <mergeCell ref="CC409"/>
    <mergeCell ref="CC196"/>
    <mergeCell ref="CC410"/>
    <mergeCell ref="CC197"/>
    <mergeCell ref="CC415"/>
    <mergeCell ref="CC202"/>
    <mergeCell ref="CC416"/>
    <mergeCell ref="CC203"/>
    <mergeCell ref="CC413"/>
    <mergeCell ref="CC200"/>
    <mergeCell ref="CC414"/>
    <mergeCell ref="CC201"/>
    <mergeCell ref="CC420"/>
    <mergeCell ref="CC207"/>
    <mergeCell ref="CC417"/>
    <mergeCell ref="CC204"/>
    <mergeCell ref="CC418"/>
    <mergeCell ref="CC205"/>
    <mergeCell ref="CD315"/>
    <mergeCell ref="CD320"/>
    <mergeCell ref="CD319"/>
    <mergeCell ref="CD318"/>
    <mergeCell ref="CC399"/>
    <mergeCell ref="CC186"/>
    <mergeCell ref="CC400"/>
    <mergeCell ref="CC187"/>
    <mergeCell ref="CC397"/>
    <mergeCell ref="CC184"/>
    <mergeCell ref="CC398"/>
    <mergeCell ref="CC185"/>
    <mergeCell ref="CC403"/>
    <mergeCell ref="CC190"/>
    <mergeCell ref="CC404"/>
    <mergeCell ref="CC191"/>
    <mergeCell ref="CC401"/>
    <mergeCell ref="CC188"/>
    <mergeCell ref="CC402"/>
    <mergeCell ref="CC189"/>
    <mergeCell ref="CC407"/>
    <mergeCell ref="CC194"/>
    <mergeCell ref="CC408"/>
    <mergeCell ref="CC195"/>
    <mergeCell ref="CC405"/>
    <mergeCell ref="CC192"/>
    <mergeCell ref="CC406"/>
    <mergeCell ref="CC193"/>
    <mergeCell ref="CC387"/>
    <mergeCell ref="CC174"/>
    <mergeCell ref="CC388"/>
    <mergeCell ref="CC175"/>
    <mergeCell ref="CC385"/>
    <mergeCell ref="CC386"/>
    <mergeCell ref="CC391"/>
    <mergeCell ref="CC178"/>
    <mergeCell ref="CC392"/>
    <mergeCell ref="CC179"/>
    <mergeCell ref="CC389"/>
    <mergeCell ref="CC176"/>
    <mergeCell ref="CC390"/>
    <mergeCell ref="CC177"/>
    <mergeCell ref="CC395"/>
    <mergeCell ref="CC182"/>
    <mergeCell ref="CC396"/>
    <mergeCell ref="CC183"/>
    <mergeCell ref="CC393"/>
    <mergeCell ref="CC180"/>
    <mergeCell ref="CC394"/>
    <mergeCell ref="CC181"/>
    <mergeCell ref="CC375"/>
    <mergeCell ref="CC376"/>
    <mergeCell ref="CC373"/>
    <mergeCell ref="CC374"/>
    <mergeCell ref="CC379"/>
    <mergeCell ref="CC380"/>
    <mergeCell ref="CC377"/>
    <mergeCell ref="CC378"/>
    <mergeCell ref="CC383"/>
    <mergeCell ref="CC384"/>
    <mergeCell ref="CC381"/>
    <mergeCell ref="CC382"/>
    <mergeCell ref="CC281"/>
    <mergeCell ref="CC278"/>
    <mergeCell ref="CC367"/>
    <mergeCell ref="CC154"/>
    <mergeCell ref="CC368"/>
    <mergeCell ref="CC155"/>
    <mergeCell ref="CC365"/>
    <mergeCell ref="CC152"/>
    <mergeCell ref="CC366"/>
    <mergeCell ref="CC153"/>
    <mergeCell ref="CC371"/>
    <mergeCell ref="CC158"/>
    <mergeCell ref="CC372"/>
    <mergeCell ref="CC159"/>
    <mergeCell ref="CC369"/>
    <mergeCell ref="CC156"/>
    <mergeCell ref="CC370"/>
    <mergeCell ref="CC157"/>
    <mergeCell ref="CC296"/>
    <mergeCell ref="CC83"/>
    <mergeCell ref="CC297"/>
    <mergeCell ref="CC84"/>
    <mergeCell ref="CC311"/>
    <mergeCell ref="CC98"/>
    <mergeCell ref="CC316"/>
    <mergeCell ref="CC103"/>
    <mergeCell ref="CC317"/>
    <mergeCell ref="CC104"/>
    <mergeCell ref="CC314"/>
    <mergeCell ref="CC101"/>
    <mergeCell ref="CC315"/>
    <mergeCell ref="CC102"/>
    <mergeCell ref="CC320"/>
    <mergeCell ref="CC107"/>
    <mergeCell ref="CC321"/>
    <mergeCell ref="CC108"/>
    <mergeCell ref="CC318"/>
    <mergeCell ref="CC105"/>
    <mergeCell ref="CC319"/>
    <mergeCell ref="CC172"/>
    <mergeCell ref="CC173"/>
    <mergeCell ref="CC292"/>
    <mergeCell ref="CC293"/>
    <mergeCell ref="CC290"/>
    <mergeCell ref="CC291"/>
    <mergeCell ref="CC332"/>
    <mergeCell ref="CC333"/>
    <mergeCell ref="CC330"/>
    <mergeCell ref="CC331"/>
    <mergeCell ref="CD68"/>
    <mergeCell ref="CD280"/>
    <mergeCell ref="CD67"/>
    <mergeCell ref="CD279"/>
    <mergeCell ref="CD66"/>
    <mergeCell ref="CD284"/>
    <mergeCell ref="CD71"/>
    <mergeCell ref="CD283"/>
    <mergeCell ref="CD70"/>
    <mergeCell ref="CD282"/>
    <mergeCell ref="CD69"/>
    <mergeCell ref="CD287"/>
    <mergeCell ref="CD74"/>
    <mergeCell ref="CD286"/>
    <mergeCell ref="CD73"/>
    <mergeCell ref="CD285"/>
    <mergeCell ref="CD72"/>
    <mergeCell ref="CD290"/>
    <mergeCell ref="CD77"/>
    <mergeCell ref="CD289"/>
    <mergeCell ref="CD76"/>
    <mergeCell ref="CD288"/>
    <mergeCell ref="CD75"/>
    <mergeCell ref="CD269"/>
    <mergeCell ref="CD56"/>
    <mergeCell ref="CD268"/>
    <mergeCell ref="CD55"/>
    <mergeCell ref="CD267"/>
    <mergeCell ref="CD54"/>
    <mergeCell ref="CD272"/>
    <mergeCell ref="CD59"/>
    <mergeCell ref="CD271"/>
    <mergeCell ref="CD58"/>
    <mergeCell ref="CD270"/>
    <mergeCell ref="CD57"/>
    <mergeCell ref="CD275"/>
    <mergeCell ref="CD62"/>
    <mergeCell ref="CD274"/>
    <mergeCell ref="CD61"/>
    <mergeCell ref="CD273"/>
    <mergeCell ref="CD60"/>
    <mergeCell ref="CD278"/>
    <mergeCell ref="CD65"/>
    <mergeCell ref="CD277"/>
    <mergeCell ref="CD64"/>
    <mergeCell ref="CD276"/>
    <mergeCell ref="CD63"/>
    <mergeCell ref="CD257"/>
    <mergeCell ref="CD105"/>
    <mergeCell ref="CD80"/>
    <mergeCell ref="CD79"/>
    <mergeCell ref="CD78"/>
    <mergeCell ref="CD281"/>
    <mergeCell ref="CD44"/>
    <mergeCell ref="CD256"/>
    <mergeCell ref="CD43"/>
    <mergeCell ref="CD255"/>
    <mergeCell ref="CD42"/>
    <mergeCell ref="CD260"/>
    <mergeCell ref="CD47"/>
    <mergeCell ref="CD259"/>
    <mergeCell ref="CD46"/>
    <mergeCell ref="CD258"/>
    <mergeCell ref="CD45"/>
    <mergeCell ref="CD263"/>
    <mergeCell ref="CD50"/>
    <mergeCell ref="CD262"/>
    <mergeCell ref="CD49"/>
    <mergeCell ref="CD261"/>
    <mergeCell ref="CD48"/>
    <mergeCell ref="CD266"/>
    <mergeCell ref="CD53"/>
    <mergeCell ref="CD265"/>
    <mergeCell ref="CD52"/>
    <mergeCell ref="CD264"/>
    <mergeCell ref="CD51"/>
    <mergeCell ref="CD245"/>
    <mergeCell ref="CD32"/>
    <mergeCell ref="CD244"/>
    <mergeCell ref="CD31"/>
    <mergeCell ref="CD243"/>
    <mergeCell ref="CD30"/>
    <mergeCell ref="CD248"/>
    <mergeCell ref="CD35"/>
    <mergeCell ref="CD247"/>
    <mergeCell ref="CD34"/>
    <mergeCell ref="CD246"/>
    <mergeCell ref="CD33"/>
    <mergeCell ref="CD251"/>
    <mergeCell ref="CD38"/>
    <mergeCell ref="CD250"/>
    <mergeCell ref="CD37"/>
    <mergeCell ref="CD249"/>
    <mergeCell ref="CD36"/>
    <mergeCell ref="CD254"/>
    <mergeCell ref="CD41"/>
    <mergeCell ref="CD253"/>
    <mergeCell ref="CD40"/>
    <mergeCell ref="CD252"/>
    <mergeCell ref="CD39"/>
    <mergeCell ref="CD233"/>
    <mergeCell ref="CD115"/>
    <mergeCell ref="CD114"/>
    <mergeCell ref="CD119"/>
    <mergeCell ref="CD118"/>
    <mergeCell ref="CD117"/>
    <mergeCell ref="CD98"/>
    <mergeCell ref="CD97"/>
    <mergeCell ref="CD96"/>
    <mergeCell ref="CD101"/>
    <mergeCell ref="CD100"/>
    <mergeCell ref="CD99"/>
    <mergeCell ref="CD104"/>
    <mergeCell ref="CD103"/>
    <mergeCell ref="CD102"/>
    <mergeCell ref="CD107"/>
    <mergeCell ref="CD106"/>
    <mergeCell ref="CD20"/>
    <mergeCell ref="CD232"/>
    <mergeCell ref="CD19"/>
    <mergeCell ref="CD231"/>
    <mergeCell ref="CD18"/>
    <mergeCell ref="CD236"/>
    <mergeCell ref="CD23"/>
    <mergeCell ref="CD235"/>
    <mergeCell ref="CD22"/>
    <mergeCell ref="CD234"/>
    <mergeCell ref="CD21"/>
    <mergeCell ref="CD239"/>
    <mergeCell ref="CD26"/>
    <mergeCell ref="CD238"/>
    <mergeCell ref="CD25"/>
    <mergeCell ref="CD237"/>
    <mergeCell ref="CD24"/>
    <mergeCell ref="CD242"/>
    <mergeCell ref="CD29"/>
    <mergeCell ref="CD241"/>
    <mergeCell ref="CD28"/>
    <mergeCell ref="CD240"/>
    <mergeCell ref="CD27"/>
    <mergeCell ref="CD359"/>
    <mergeCell ref="CD146"/>
    <mergeCell ref="CD358"/>
    <mergeCell ref="CD145"/>
    <mergeCell ref="CD357"/>
    <mergeCell ref="CD144"/>
    <mergeCell ref="CD362"/>
    <mergeCell ref="CD149"/>
    <mergeCell ref="CD361"/>
    <mergeCell ref="CD148"/>
    <mergeCell ref="CD360"/>
    <mergeCell ref="CD147"/>
    <mergeCell ref="CD218"/>
    <mergeCell ref="CD350"/>
    <mergeCell ref="CD349"/>
    <mergeCell ref="CD348"/>
    <mergeCell ref="CD353"/>
    <mergeCell ref="CD352"/>
    <mergeCell ref="CD351"/>
    <mergeCell ref="CD356"/>
    <mergeCell ref="CD355"/>
    <mergeCell ref="CD354"/>
    <mergeCell ref="CD343"/>
    <mergeCell ref="CD130"/>
    <mergeCell ref="CD342"/>
    <mergeCell ref="CD129"/>
    <mergeCell ref="CD323"/>
    <mergeCell ref="CD110"/>
    <mergeCell ref="CD322"/>
    <mergeCell ref="CD109"/>
    <mergeCell ref="CD321"/>
    <mergeCell ref="CD108"/>
    <mergeCell ref="CD326"/>
    <mergeCell ref="CD113"/>
    <mergeCell ref="CD325"/>
    <mergeCell ref="CD112"/>
    <mergeCell ref="CD324"/>
    <mergeCell ref="CD111"/>
    <mergeCell ref="CD329"/>
    <mergeCell ref="CD116"/>
    <mergeCell ref="CD328"/>
    <mergeCell ref="CD5"/>
    <mergeCell ref="CD217"/>
    <mergeCell ref="CD4"/>
    <mergeCell ref="CD216"/>
    <mergeCell ref="CD3"/>
    <mergeCell ref="CD221"/>
    <mergeCell ref="CD8"/>
    <mergeCell ref="CD220"/>
    <mergeCell ref="CD7"/>
    <mergeCell ref="CD219"/>
    <mergeCell ref="CD6"/>
    <mergeCell ref="CD224"/>
    <mergeCell ref="CD11"/>
    <mergeCell ref="CD223"/>
    <mergeCell ref="CD10"/>
    <mergeCell ref="CD222"/>
    <mergeCell ref="CD9"/>
    <mergeCell ref="CD227"/>
    <mergeCell ref="CD14"/>
    <mergeCell ref="CD226"/>
    <mergeCell ref="CD13"/>
    <mergeCell ref="CD225"/>
    <mergeCell ref="CD12"/>
    <mergeCell ref="CD230"/>
    <mergeCell ref="CD17"/>
    <mergeCell ref="CD229"/>
    <mergeCell ref="CD16"/>
    <mergeCell ref="CD228"/>
    <mergeCell ref="CD15"/>
    <mergeCell ref="CD347"/>
    <mergeCell ref="CD134"/>
    <mergeCell ref="CD346"/>
    <mergeCell ref="CD133"/>
    <mergeCell ref="CD345"/>
    <mergeCell ref="CD132"/>
    <mergeCell ref="CD137"/>
    <mergeCell ref="CD136"/>
    <mergeCell ref="CD135"/>
    <mergeCell ref="CD140"/>
    <mergeCell ref="CD139"/>
    <mergeCell ref="CD138"/>
    <mergeCell ref="CD143"/>
    <mergeCell ref="CD142"/>
    <mergeCell ref="CD141"/>
    <mergeCell ref="CD335"/>
    <mergeCell ref="CD122"/>
    <mergeCell ref="CD334"/>
    <mergeCell ref="CD121"/>
    <mergeCell ref="CD333"/>
    <mergeCell ref="CD120"/>
    <mergeCell ref="CD338"/>
    <mergeCell ref="CD125"/>
    <mergeCell ref="CD337"/>
    <mergeCell ref="CD124"/>
    <mergeCell ref="CD336"/>
    <mergeCell ref="CD123"/>
    <mergeCell ref="CD341"/>
    <mergeCell ref="CD128"/>
    <mergeCell ref="CD340"/>
    <mergeCell ref="CD127"/>
    <mergeCell ref="CD339"/>
    <mergeCell ref="CD126"/>
    <mergeCell ref="CD344"/>
    <mergeCell ref="CD131"/>
    <mergeCell ref="CD412"/>
    <mergeCell ref="CD199"/>
    <mergeCell ref="CD411"/>
    <mergeCell ref="CD198"/>
    <mergeCell ref="CD410"/>
    <mergeCell ref="CD197"/>
    <mergeCell ref="CD415"/>
    <mergeCell ref="CD202"/>
    <mergeCell ref="CD414"/>
    <mergeCell ref="CD201"/>
    <mergeCell ref="CD413"/>
    <mergeCell ref="CD200"/>
    <mergeCell ref="CD418"/>
    <mergeCell ref="CD205"/>
    <mergeCell ref="CD417"/>
    <mergeCell ref="CD204"/>
    <mergeCell ref="CD416"/>
    <mergeCell ref="CD203"/>
    <mergeCell ref="CD296"/>
    <mergeCell ref="CD83"/>
    <mergeCell ref="CD425"/>
    <mergeCell ref="CD212"/>
    <mergeCell ref="CD424"/>
    <mergeCell ref="CD211"/>
    <mergeCell ref="CD423"/>
    <mergeCell ref="CD210"/>
    <mergeCell ref="CD422"/>
    <mergeCell ref="CD209"/>
    <mergeCell ref="CD421"/>
    <mergeCell ref="CD208"/>
    <mergeCell ref="CD420"/>
    <mergeCell ref="CD207"/>
    <mergeCell ref="CD419"/>
    <mergeCell ref="CD206"/>
    <mergeCell ref="CD299"/>
    <mergeCell ref="CD86"/>
    <mergeCell ref="CD298"/>
    <mergeCell ref="CD85"/>
    <mergeCell ref="CD297"/>
    <mergeCell ref="CD84"/>
    <mergeCell ref="CD302"/>
    <mergeCell ref="CD89"/>
    <mergeCell ref="CD400"/>
    <mergeCell ref="CD187"/>
    <mergeCell ref="CD399"/>
    <mergeCell ref="CD186"/>
    <mergeCell ref="CD398"/>
    <mergeCell ref="CD185"/>
    <mergeCell ref="CD403"/>
    <mergeCell ref="CD190"/>
    <mergeCell ref="CD402"/>
    <mergeCell ref="CD189"/>
    <mergeCell ref="CD401"/>
    <mergeCell ref="CD188"/>
    <mergeCell ref="CD406"/>
    <mergeCell ref="CD193"/>
    <mergeCell ref="CD405"/>
    <mergeCell ref="CD192"/>
    <mergeCell ref="CD404"/>
    <mergeCell ref="CD191"/>
    <mergeCell ref="CD409"/>
    <mergeCell ref="CD196"/>
    <mergeCell ref="CD408"/>
    <mergeCell ref="CD195"/>
    <mergeCell ref="CD407"/>
    <mergeCell ref="CD194"/>
    <mergeCell ref="CD388"/>
    <mergeCell ref="CD175"/>
    <mergeCell ref="CD387"/>
    <mergeCell ref="CD174"/>
    <mergeCell ref="CD386"/>
    <mergeCell ref="CD173"/>
    <mergeCell ref="CD391"/>
    <mergeCell ref="CD178"/>
    <mergeCell ref="CD390"/>
    <mergeCell ref="CD177"/>
    <mergeCell ref="CD389"/>
    <mergeCell ref="CD176"/>
    <mergeCell ref="CD394"/>
    <mergeCell ref="CD181"/>
    <mergeCell ref="CD393"/>
    <mergeCell ref="CD180"/>
    <mergeCell ref="CD392"/>
    <mergeCell ref="CD179"/>
    <mergeCell ref="CD397"/>
    <mergeCell ref="CD184"/>
    <mergeCell ref="CD396"/>
    <mergeCell ref="CD183"/>
    <mergeCell ref="CD395"/>
    <mergeCell ref="CD182"/>
    <mergeCell ref="CD376"/>
    <mergeCell ref="CD163"/>
    <mergeCell ref="CD375"/>
    <mergeCell ref="CD162"/>
    <mergeCell ref="CD374"/>
    <mergeCell ref="CD161"/>
    <mergeCell ref="CD379"/>
    <mergeCell ref="CD166"/>
    <mergeCell ref="CD378"/>
    <mergeCell ref="CD165"/>
    <mergeCell ref="CD377"/>
    <mergeCell ref="CD164"/>
    <mergeCell ref="CD382"/>
    <mergeCell ref="CD169"/>
    <mergeCell ref="CD381"/>
    <mergeCell ref="CD168"/>
    <mergeCell ref="CD380"/>
    <mergeCell ref="CD167"/>
    <mergeCell ref="CD385"/>
    <mergeCell ref="CD172"/>
    <mergeCell ref="CD384"/>
    <mergeCell ref="CD171"/>
    <mergeCell ref="CD383"/>
    <mergeCell ref="CD170"/>
    <mergeCell ref="CD293"/>
    <mergeCell ref="CD292"/>
    <mergeCell ref="CD291"/>
    <mergeCell ref="CD327"/>
    <mergeCell ref="CD332"/>
    <mergeCell ref="CD331"/>
    <mergeCell ref="CD330"/>
    <mergeCell ref="CD310"/>
    <mergeCell ref="CD309"/>
    <mergeCell ref="CD314"/>
    <mergeCell ref="CD313"/>
    <mergeCell ref="CD312"/>
    <mergeCell ref="CD317"/>
    <mergeCell ref="CD316"/>
    <mergeCell ref="CE292"/>
    <mergeCell ref="CE79"/>
    <mergeCell ref="CE293"/>
    <mergeCell ref="CE80"/>
    <mergeCell ref="CE290"/>
    <mergeCell ref="CE77"/>
    <mergeCell ref="CE291"/>
    <mergeCell ref="CE78"/>
    <mergeCell ref="CD367"/>
    <mergeCell ref="CD154"/>
    <mergeCell ref="CD366"/>
    <mergeCell ref="CD153"/>
    <mergeCell ref="CD365"/>
    <mergeCell ref="CD152"/>
    <mergeCell ref="CD370"/>
    <mergeCell ref="CD157"/>
    <mergeCell ref="CD369"/>
    <mergeCell ref="CD156"/>
    <mergeCell ref="CD368"/>
    <mergeCell ref="CD155"/>
    <mergeCell ref="CD373"/>
    <mergeCell ref="CD160"/>
    <mergeCell ref="CD372"/>
    <mergeCell ref="CD159"/>
    <mergeCell ref="CD371"/>
    <mergeCell ref="CD158"/>
    <mergeCell ref="CD301"/>
    <mergeCell ref="CD88"/>
    <mergeCell ref="CD300"/>
    <mergeCell ref="CD87"/>
    <mergeCell ref="CD305"/>
    <mergeCell ref="CD92"/>
    <mergeCell ref="CD304"/>
    <mergeCell ref="CD91"/>
    <mergeCell ref="CD303"/>
    <mergeCell ref="CD90"/>
    <mergeCell ref="CD308"/>
    <mergeCell ref="CD95"/>
    <mergeCell ref="CD307"/>
    <mergeCell ref="CD94"/>
    <mergeCell ref="CD306"/>
    <mergeCell ref="CD93"/>
    <mergeCell ref="CD311"/>
    <mergeCell ref="CE280"/>
    <mergeCell ref="CE322"/>
    <mergeCell ref="CE323"/>
    <mergeCell ref="CE328"/>
    <mergeCell ref="CE329"/>
    <mergeCell ref="CE326"/>
    <mergeCell ref="CE327"/>
    <mergeCell ref="CE302"/>
    <mergeCell ref="CE303"/>
    <mergeCell ref="CE308"/>
    <mergeCell ref="CE309"/>
    <mergeCell ref="CE306"/>
    <mergeCell ref="CE307"/>
    <mergeCell ref="CE312"/>
    <mergeCell ref="CE313"/>
    <mergeCell ref="CE310"/>
    <mergeCell ref="CE311"/>
    <mergeCell ref="CE316"/>
    <mergeCell ref="CE317"/>
    <mergeCell ref="CE314"/>
    <mergeCell ref="CE315"/>
    <mergeCell ref="CE284"/>
    <mergeCell ref="CE71"/>
    <mergeCell ref="CE285"/>
    <mergeCell ref="CE72"/>
    <mergeCell ref="CE282"/>
    <mergeCell ref="CE69"/>
    <mergeCell ref="CE283"/>
    <mergeCell ref="CE70"/>
    <mergeCell ref="CE288"/>
    <mergeCell ref="CE75"/>
    <mergeCell ref="CE289"/>
    <mergeCell ref="CE76"/>
    <mergeCell ref="CE286"/>
    <mergeCell ref="CE73"/>
    <mergeCell ref="CE287"/>
    <mergeCell ref="CE74"/>
    <mergeCell ref="CE268"/>
    <mergeCell ref="CE55"/>
    <mergeCell ref="CE269"/>
    <mergeCell ref="CE56"/>
    <mergeCell ref="CE266"/>
    <mergeCell ref="CE53"/>
    <mergeCell ref="CE267"/>
    <mergeCell ref="CE54"/>
    <mergeCell ref="CE272"/>
    <mergeCell ref="CE59"/>
    <mergeCell ref="CE273"/>
    <mergeCell ref="CE60"/>
    <mergeCell ref="CE270"/>
    <mergeCell ref="CE57"/>
    <mergeCell ref="CE271"/>
    <mergeCell ref="CE58"/>
    <mergeCell ref="CE276"/>
    <mergeCell ref="CE63"/>
    <mergeCell ref="CE277"/>
    <mergeCell ref="CE64"/>
    <mergeCell ref="CE274"/>
    <mergeCell ref="CE61"/>
    <mergeCell ref="CE275"/>
    <mergeCell ref="CE62"/>
    <mergeCell ref="CE256"/>
    <mergeCell ref="CE98"/>
    <mergeCell ref="CE103"/>
    <mergeCell ref="CE104"/>
    <mergeCell ref="CE101"/>
    <mergeCell ref="CE102"/>
    <mergeCell ref="CE154"/>
    <mergeCell ref="CE155"/>
    <mergeCell ref="CE152"/>
    <mergeCell ref="CE153"/>
    <mergeCell ref="CE158"/>
    <mergeCell ref="CE159"/>
    <mergeCell ref="CE156"/>
    <mergeCell ref="CE157"/>
    <mergeCell ref="CE162"/>
    <mergeCell ref="CE163"/>
    <mergeCell ref="CE160"/>
    <mergeCell ref="CE43"/>
    <mergeCell ref="CE257"/>
    <mergeCell ref="CE44"/>
    <mergeCell ref="CE254"/>
    <mergeCell ref="CE41"/>
    <mergeCell ref="CE255"/>
    <mergeCell ref="CE42"/>
    <mergeCell ref="CE260"/>
    <mergeCell ref="CE47"/>
    <mergeCell ref="CE261"/>
    <mergeCell ref="CE48"/>
    <mergeCell ref="CE258"/>
    <mergeCell ref="CE45"/>
    <mergeCell ref="CE259"/>
    <mergeCell ref="CE46"/>
    <mergeCell ref="CE264"/>
    <mergeCell ref="CE51"/>
    <mergeCell ref="CE265"/>
    <mergeCell ref="CE52"/>
    <mergeCell ref="CE262"/>
    <mergeCell ref="CE49"/>
    <mergeCell ref="CE263"/>
    <mergeCell ref="CE50"/>
    <mergeCell ref="CE244"/>
    <mergeCell ref="CE31"/>
    <mergeCell ref="CE245"/>
    <mergeCell ref="CE32"/>
    <mergeCell ref="CE242"/>
    <mergeCell ref="CE29"/>
    <mergeCell ref="CE243"/>
    <mergeCell ref="CE30"/>
    <mergeCell ref="CE248"/>
    <mergeCell ref="CE35"/>
    <mergeCell ref="CE249"/>
    <mergeCell ref="CE36"/>
    <mergeCell ref="CE246"/>
    <mergeCell ref="CE33"/>
    <mergeCell ref="CE247"/>
    <mergeCell ref="CE34"/>
    <mergeCell ref="CE252"/>
    <mergeCell ref="CE39"/>
    <mergeCell ref="CE253"/>
    <mergeCell ref="CE40"/>
    <mergeCell ref="CE250"/>
    <mergeCell ref="CE37"/>
    <mergeCell ref="CE251"/>
    <mergeCell ref="CE38"/>
    <mergeCell ref="CE226"/>
    <mergeCell ref="CE112"/>
    <mergeCell ref="CE109"/>
    <mergeCell ref="CE110"/>
    <mergeCell ref="CE115"/>
    <mergeCell ref="CE116"/>
    <mergeCell ref="CE113"/>
    <mergeCell ref="CE114"/>
    <mergeCell ref="CE89"/>
    <mergeCell ref="CE90"/>
    <mergeCell ref="CE95"/>
    <mergeCell ref="CE96"/>
    <mergeCell ref="CE93"/>
    <mergeCell ref="CE94"/>
    <mergeCell ref="CE99"/>
    <mergeCell ref="CE100"/>
    <mergeCell ref="CE97"/>
    <mergeCell ref="CE13"/>
    <mergeCell ref="CE227"/>
    <mergeCell ref="CE14"/>
    <mergeCell ref="CE232"/>
    <mergeCell ref="CE19"/>
    <mergeCell ref="CE233"/>
    <mergeCell ref="CE20"/>
    <mergeCell ref="CE230"/>
    <mergeCell ref="CE17"/>
    <mergeCell ref="CE231"/>
    <mergeCell ref="CE18"/>
    <mergeCell ref="CE236"/>
    <mergeCell ref="CE23"/>
    <mergeCell ref="CE237"/>
    <mergeCell ref="CE24"/>
    <mergeCell ref="CE234"/>
    <mergeCell ref="CE21"/>
    <mergeCell ref="CE235"/>
    <mergeCell ref="CE22"/>
    <mergeCell ref="CE240"/>
    <mergeCell ref="CE27"/>
    <mergeCell ref="CE241"/>
    <mergeCell ref="CE28"/>
    <mergeCell ref="CE238"/>
    <mergeCell ref="CE25"/>
    <mergeCell ref="CE239"/>
    <mergeCell ref="CE26"/>
    <mergeCell ref="CE357"/>
    <mergeCell ref="CE144"/>
    <mergeCell ref="CE354"/>
    <mergeCell ref="CE141"/>
    <mergeCell ref="CE355"/>
    <mergeCell ref="CE142"/>
    <mergeCell ref="CE216"/>
    <mergeCell ref="CE117"/>
    <mergeCell ref="CE331"/>
    <mergeCell ref="CE118"/>
    <mergeCell ref="CE336"/>
    <mergeCell ref="CE123"/>
    <mergeCell ref="CE337"/>
    <mergeCell ref="CE124"/>
    <mergeCell ref="CE334"/>
    <mergeCell ref="CE121"/>
    <mergeCell ref="CE335"/>
    <mergeCell ref="CE122"/>
    <mergeCell ref="CE340"/>
    <mergeCell ref="CE127"/>
    <mergeCell ref="CE341"/>
    <mergeCell ref="CE128"/>
    <mergeCell ref="CE338"/>
    <mergeCell ref="CE125"/>
    <mergeCell ref="CE339"/>
    <mergeCell ref="CE126"/>
    <mergeCell ref="CE320"/>
    <mergeCell ref="CE107"/>
    <mergeCell ref="CE321"/>
    <mergeCell ref="CE108"/>
    <mergeCell ref="CE318"/>
    <mergeCell ref="CE105"/>
    <mergeCell ref="CE319"/>
    <mergeCell ref="CE106"/>
    <mergeCell ref="CE324"/>
    <mergeCell ref="CE111"/>
    <mergeCell ref="CE325"/>
    <mergeCell ref="CE3"/>
    <mergeCell ref="CE217"/>
    <mergeCell ref="CE4"/>
    <mergeCell ref="CE362"/>
    <mergeCell ref="CE149"/>
    <mergeCell ref="CE360"/>
    <mergeCell ref="CE147"/>
    <mergeCell ref="CE361"/>
    <mergeCell ref="CE148"/>
    <mergeCell ref="CE358"/>
    <mergeCell ref="CE145"/>
    <mergeCell ref="CE359"/>
    <mergeCell ref="CE146"/>
    <mergeCell ref="CE356"/>
    <mergeCell ref="CE143"/>
    <mergeCell ref="CE220"/>
    <mergeCell ref="CE7"/>
    <mergeCell ref="CE221"/>
    <mergeCell ref="CE8"/>
    <mergeCell ref="CE218"/>
    <mergeCell ref="CE5"/>
    <mergeCell ref="CE219"/>
    <mergeCell ref="CE6"/>
    <mergeCell ref="CE224"/>
    <mergeCell ref="CE11"/>
    <mergeCell ref="CE225"/>
    <mergeCell ref="CE12"/>
    <mergeCell ref="CE222"/>
    <mergeCell ref="CE9"/>
    <mergeCell ref="CE223"/>
    <mergeCell ref="CE10"/>
    <mergeCell ref="CE228"/>
    <mergeCell ref="CE15"/>
    <mergeCell ref="CE229"/>
    <mergeCell ref="CE16"/>
    <mergeCell ref="CE344"/>
    <mergeCell ref="CE131"/>
    <mergeCell ref="CE345"/>
    <mergeCell ref="CE132"/>
    <mergeCell ref="CE342"/>
    <mergeCell ref="CE129"/>
    <mergeCell ref="CE343"/>
    <mergeCell ref="CE130"/>
    <mergeCell ref="CE348"/>
    <mergeCell ref="CE135"/>
    <mergeCell ref="CE349"/>
    <mergeCell ref="CE136"/>
    <mergeCell ref="CE346"/>
    <mergeCell ref="CE133"/>
    <mergeCell ref="CE347"/>
    <mergeCell ref="CE134"/>
    <mergeCell ref="CE352"/>
    <mergeCell ref="CE139"/>
    <mergeCell ref="CE353"/>
    <mergeCell ref="CE140"/>
    <mergeCell ref="CE350"/>
    <mergeCell ref="CE137"/>
    <mergeCell ref="CE351"/>
    <mergeCell ref="CE138"/>
    <mergeCell ref="CE332"/>
    <mergeCell ref="CE119"/>
    <mergeCell ref="CE333"/>
    <mergeCell ref="CE120"/>
    <mergeCell ref="CE330"/>
    <mergeCell ref="CE415"/>
    <mergeCell ref="CE202"/>
    <mergeCell ref="CE416"/>
    <mergeCell ref="CE203"/>
    <mergeCell ref="CE413"/>
    <mergeCell ref="CE200"/>
    <mergeCell ref="CE414"/>
    <mergeCell ref="CE201"/>
    <mergeCell ref="CE420"/>
    <mergeCell ref="CE207"/>
    <mergeCell ref="CE417"/>
    <mergeCell ref="CE204"/>
    <mergeCell ref="CE418"/>
    <mergeCell ref="CE205"/>
    <mergeCell ref="CE296"/>
    <mergeCell ref="CE83"/>
    <mergeCell ref="CE297"/>
    <mergeCell ref="CE84"/>
    <mergeCell ref="CE425"/>
    <mergeCell ref="CE212"/>
    <mergeCell ref="CE423"/>
    <mergeCell ref="CE210"/>
    <mergeCell ref="CE424"/>
    <mergeCell ref="CE211"/>
    <mergeCell ref="CE421"/>
    <mergeCell ref="CE208"/>
    <mergeCell ref="CE422"/>
    <mergeCell ref="CE209"/>
    <mergeCell ref="CE419"/>
    <mergeCell ref="CE206"/>
    <mergeCell ref="CE300"/>
    <mergeCell ref="CE87"/>
    <mergeCell ref="CE301"/>
    <mergeCell ref="CE88"/>
    <mergeCell ref="CE298"/>
    <mergeCell ref="CE85"/>
    <mergeCell ref="CE299"/>
    <mergeCell ref="CE86"/>
    <mergeCell ref="CE304"/>
    <mergeCell ref="CE91"/>
    <mergeCell ref="CE305"/>
    <mergeCell ref="CE92"/>
    <mergeCell ref="CE403"/>
    <mergeCell ref="CE190"/>
    <mergeCell ref="CE404"/>
    <mergeCell ref="CE191"/>
    <mergeCell ref="CE401"/>
    <mergeCell ref="CE188"/>
    <mergeCell ref="CE402"/>
    <mergeCell ref="CE189"/>
    <mergeCell ref="CE407"/>
    <mergeCell ref="CE194"/>
    <mergeCell ref="CE408"/>
    <mergeCell ref="CE195"/>
    <mergeCell ref="CE405"/>
    <mergeCell ref="CE192"/>
    <mergeCell ref="CE406"/>
    <mergeCell ref="CE193"/>
    <mergeCell ref="CE411"/>
    <mergeCell ref="CE198"/>
    <mergeCell ref="CE412"/>
    <mergeCell ref="CE199"/>
    <mergeCell ref="CE409"/>
    <mergeCell ref="CE196"/>
    <mergeCell ref="CE410"/>
    <mergeCell ref="CE197"/>
    <mergeCell ref="CE391"/>
    <mergeCell ref="CE178"/>
    <mergeCell ref="CE392"/>
    <mergeCell ref="CE179"/>
    <mergeCell ref="CE389"/>
    <mergeCell ref="CE176"/>
    <mergeCell ref="CE390"/>
    <mergeCell ref="CE177"/>
    <mergeCell ref="CE395"/>
    <mergeCell ref="CE182"/>
    <mergeCell ref="CE396"/>
    <mergeCell ref="CE183"/>
    <mergeCell ref="CE393"/>
    <mergeCell ref="CE180"/>
    <mergeCell ref="CE394"/>
    <mergeCell ref="CE181"/>
    <mergeCell ref="CE399"/>
    <mergeCell ref="CE186"/>
    <mergeCell ref="CE400"/>
    <mergeCell ref="CE187"/>
    <mergeCell ref="CE397"/>
    <mergeCell ref="CE184"/>
    <mergeCell ref="CE398"/>
    <mergeCell ref="CE185"/>
    <mergeCell ref="CE379"/>
    <mergeCell ref="CE166"/>
    <mergeCell ref="CE380"/>
    <mergeCell ref="CE167"/>
    <mergeCell ref="CE377"/>
    <mergeCell ref="CE164"/>
    <mergeCell ref="CE378"/>
    <mergeCell ref="CE165"/>
    <mergeCell ref="CE383"/>
    <mergeCell ref="CE170"/>
    <mergeCell ref="CE384"/>
    <mergeCell ref="CE171"/>
    <mergeCell ref="CE381"/>
    <mergeCell ref="CE168"/>
    <mergeCell ref="CE382"/>
    <mergeCell ref="CE169"/>
    <mergeCell ref="CE387"/>
    <mergeCell ref="CE174"/>
    <mergeCell ref="CE388"/>
    <mergeCell ref="CE175"/>
    <mergeCell ref="CE385"/>
    <mergeCell ref="CE172"/>
    <mergeCell ref="CE386"/>
    <mergeCell ref="CE173"/>
    <mergeCell ref="CE367"/>
    <mergeCell ref="CE368"/>
    <mergeCell ref="CE365"/>
    <mergeCell ref="CE366"/>
    <mergeCell ref="CE371"/>
    <mergeCell ref="CE372"/>
    <mergeCell ref="CE369"/>
    <mergeCell ref="CE370"/>
    <mergeCell ref="CE375"/>
    <mergeCell ref="CE376"/>
    <mergeCell ref="CE373"/>
    <mergeCell ref="CE374"/>
    <mergeCell ref="CE281"/>
    <mergeCell ref="CE278"/>
    <mergeCell ref="CF46"/>
    <mergeCell ref="CF266"/>
    <mergeCell ref="CF53"/>
    <mergeCell ref="CF267"/>
    <mergeCell ref="CF54"/>
    <mergeCell ref="CF268"/>
    <mergeCell ref="CF55"/>
    <mergeCell ref="CF263"/>
    <mergeCell ref="CF50"/>
    <mergeCell ref="CF264"/>
    <mergeCell ref="CF51"/>
    <mergeCell ref="CF265"/>
    <mergeCell ref="CF52"/>
    <mergeCell ref="CF272"/>
    <mergeCell ref="CF59"/>
    <mergeCell ref="CF273"/>
    <mergeCell ref="CF60"/>
    <mergeCell ref="CF274"/>
    <mergeCell ref="CF61"/>
    <mergeCell ref="CF269"/>
    <mergeCell ref="CF56"/>
    <mergeCell ref="CF270"/>
    <mergeCell ref="CF57"/>
    <mergeCell ref="CF271"/>
    <mergeCell ref="CF58"/>
    <mergeCell ref="CF235"/>
    <mergeCell ref="CE161"/>
    <mergeCell ref="CF278"/>
    <mergeCell ref="CF65"/>
    <mergeCell ref="CF279"/>
    <mergeCell ref="CF66"/>
    <mergeCell ref="CF280"/>
    <mergeCell ref="CF67"/>
    <mergeCell ref="CF275"/>
    <mergeCell ref="CF62"/>
    <mergeCell ref="CF276"/>
    <mergeCell ref="CF63"/>
    <mergeCell ref="CF277"/>
    <mergeCell ref="CF64"/>
    <mergeCell ref="CF71"/>
    <mergeCell ref="CF72"/>
    <mergeCell ref="CF73"/>
    <mergeCell ref="CF68"/>
    <mergeCell ref="CF69"/>
    <mergeCell ref="CF70"/>
    <mergeCell ref="CF80"/>
    <mergeCell ref="CF77"/>
    <mergeCell ref="CF78"/>
    <mergeCell ref="CF79"/>
    <mergeCell ref="CF74"/>
    <mergeCell ref="CF75"/>
    <mergeCell ref="CF76"/>
    <mergeCell ref="CF260"/>
    <mergeCell ref="CE67"/>
    <mergeCell ref="CE68"/>
    <mergeCell ref="CE65"/>
    <mergeCell ref="CE279"/>
    <mergeCell ref="CE66"/>
    <mergeCell ref="CF22"/>
    <mergeCell ref="CF242"/>
    <mergeCell ref="CF29"/>
    <mergeCell ref="CF243"/>
    <mergeCell ref="CF30"/>
    <mergeCell ref="CF244"/>
    <mergeCell ref="CF31"/>
    <mergeCell ref="CF239"/>
    <mergeCell ref="CF26"/>
    <mergeCell ref="CF240"/>
    <mergeCell ref="CF27"/>
    <mergeCell ref="CF241"/>
    <mergeCell ref="CF28"/>
    <mergeCell ref="CF248"/>
    <mergeCell ref="CF35"/>
    <mergeCell ref="CF249"/>
    <mergeCell ref="CF36"/>
    <mergeCell ref="CF250"/>
    <mergeCell ref="CF37"/>
    <mergeCell ref="CF245"/>
    <mergeCell ref="CF32"/>
    <mergeCell ref="CF246"/>
    <mergeCell ref="CF33"/>
    <mergeCell ref="CF247"/>
    <mergeCell ref="CF34"/>
    <mergeCell ref="CF254"/>
    <mergeCell ref="CF41"/>
    <mergeCell ref="CF255"/>
    <mergeCell ref="CF42"/>
    <mergeCell ref="CF256"/>
    <mergeCell ref="CF43"/>
    <mergeCell ref="CF251"/>
    <mergeCell ref="CF38"/>
    <mergeCell ref="CF252"/>
    <mergeCell ref="CF39"/>
    <mergeCell ref="CF253"/>
    <mergeCell ref="CF40"/>
    <mergeCell ref="CF103"/>
    <mergeCell ref="CF104"/>
    <mergeCell ref="CF105"/>
    <mergeCell ref="CF112"/>
    <mergeCell ref="CF113"/>
    <mergeCell ref="CF114"/>
    <mergeCell ref="CF109"/>
    <mergeCell ref="CF110"/>
    <mergeCell ref="CF111"/>
    <mergeCell ref="CF118"/>
    <mergeCell ref="CF119"/>
    <mergeCell ref="CF120"/>
    <mergeCell ref="CF115"/>
    <mergeCell ref="CF116"/>
    <mergeCell ref="CF117"/>
    <mergeCell ref="CF162"/>
    <mergeCell ref="CF169"/>
    <mergeCell ref="CF170"/>
    <mergeCell ref="CF171"/>
    <mergeCell ref="CF166"/>
    <mergeCell ref="CF167"/>
    <mergeCell ref="CF168"/>
    <mergeCell ref="CF47"/>
    <mergeCell ref="CF48"/>
    <mergeCell ref="CF49"/>
    <mergeCell ref="CF44"/>
    <mergeCell ref="CF45"/>
    <mergeCell ref="CF356"/>
    <mergeCell ref="CF143"/>
    <mergeCell ref="CF357"/>
    <mergeCell ref="CF144"/>
    <mergeCell ref="CF352"/>
    <mergeCell ref="CF139"/>
    <mergeCell ref="CF353"/>
    <mergeCell ref="CF140"/>
    <mergeCell ref="CF354"/>
    <mergeCell ref="CF141"/>
    <mergeCell ref="CF361"/>
    <mergeCell ref="CF148"/>
    <mergeCell ref="CF362"/>
    <mergeCell ref="CF149"/>
    <mergeCell ref="CF358"/>
    <mergeCell ref="CF145"/>
    <mergeCell ref="CF359"/>
    <mergeCell ref="CF146"/>
    <mergeCell ref="CF360"/>
    <mergeCell ref="CF147"/>
    <mergeCell ref="CF218"/>
    <mergeCell ref="CF5"/>
    <mergeCell ref="CF219"/>
    <mergeCell ref="CF6"/>
    <mergeCell ref="CF220"/>
    <mergeCell ref="CF7"/>
    <mergeCell ref="CF216"/>
    <mergeCell ref="CF3"/>
    <mergeCell ref="CF217"/>
    <mergeCell ref="CF4"/>
    <mergeCell ref="CF224"/>
    <mergeCell ref="CF11"/>
    <mergeCell ref="CF225"/>
    <mergeCell ref="CF12"/>
    <mergeCell ref="CF226"/>
    <mergeCell ref="CF13"/>
    <mergeCell ref="CF221"/>
    <mergeCell ref="CF8"/>
    <mergeCell ref="CF222"/>
    <mergeCell ref="CF9"/>
    <mergeCell ref="CF223"/>
    <mergeCell ref="CF10"/>
    <mergeCell ref="CF230"/>
    <mergeCell ref="CF17"/>
    <mergeCell ref="CF231"/>
    <mergeCell ref="CF18"/>
    <mergeCell ref="CF232"/>
    <mergeCell ref="CF19"/>
    <mergeCell ref="CF227"/>
    <mergeCell ref="CF14"/>
    <mergeCell ref="CF228"/>
    <mergeCell ref="CF15"/>
    <mergeCell ref="CF229"/>
    <mergeCell ref="CF16"/>
    <mergeCell ref="CF236"/>
    <mergeCell ref="CF23"/>
    <mergeCell ref="CF237"/>
    <mergeCell ref="CF24"/>
    <mergeCell ref="CF238"/>
    <mergeCell ref="CF25"/>
    <mergeCell ref="CF233"/>
    <mergeCell ref="CF20"/>
    <mergeCell ref="CF234"/>
    <mergeCell ref="CF21"/>
    <mergeCell ref="CF350"/>
    <mergeCell ref="CF137"/>
    <mergeCell ref="CF351"/>
    <mergeCell ref="CF138"/>
    <mergeCell ref="CF346"/>
    <mergeCell ref="CF133"/>
    <mergeCell ref="CF347"/>
    <mergeCell ref="CF134"/>
    <mergeCell ref="CF348"/>
    <mergeCell ref="CF135"/>
    <mergeCell ref="CF355"/>
    <mergeCell ref="CF142"/>
    <mergeCell ref="CF316"/>
    <mergeCell ref="CF317"/>
    <mergeCell ref="CF318"/>
    <mergeCell ref="CF325"/>
    <mergeCell ref="CF326"/>
    <mergeCell ref="CF327"/>
    <mergeCell ref="CF322"/>
    <mergeCell ref="CF323"/>
    <mergeCell ref="CF324"/>
    <mergeCell ref="CF331"/>
    <mergeCell ref="CF332"/>
    <mergeCell ref="CF333"/>
    <mergeCell ref="CF328"/>
    <mergeCell ref="CF329"/>
    <mergeCell ref="CF330"/>
    <mergeCell ref="CF337"/>
    <mergeCell ref="CF124"/>
    <mergeCell ref="CF338"/>
    <mergeCell ref="CF125"/>
    <mergeCell ref="CF157"/>
    <mergeCell ref="CF158"/>
    <mergeCell ref="CF159"/>
    <mergeCell ref="CF154"/>
    <mergeCell ref="CF155"/>
    <mergeCell ref="CF156"/>
    <mergeCell ref="CF163"/>
    <mergeCell ref="CF164"/>
    <mergeCell ref="CF165"/>
    <mergeCell ref="CF160"/>
    <mergeCell ref="CF161"/>
    <mergeCell ref="CF261"/>
    <mergeCell ref="CF262"/>
    <mergeCell ref="CF257"/>
    <mergeCell ref="CF258"/>
    <mergeCell ref="CF259"/>
    <mergeCell ref="CF284"/>
    <mergeCell ref="CF285"/>
    <mergeCell ref="CF286"/>
    <mergeCell ref="CF281"/>
    <mergeCell ref="CF282"/>
    <mergeCell ref="CF283"/>
    <mergeCell ref="CF293"/>
    <mergeCell ref="CF290"/>
    <mergeCell ref="CF291"/>
    <mergeCell ref="CF292"/>
    <mergeCell ref="CF287"/>
    <mergeCell ref="CF288"/>
    <mergeCell ref="CF289"/>
    <mergeCell ref="CF406"/>
    <mergeCell ref="CF193"/>
    <mergeCell ref="CF407"/>
    <mergeCell ref="CF194"/>
    <mergeCell ref="CF408"/>
    <mergeCell ref="CF195"/>
    <mergeCell ref="CF403"/>
    <mergeCell ref="CF190"/>
    <mergeCell ref="CF404"/>
    <mergeCell ref="CF191"/>
    <mergeCell ref="CF405"/>
    <mergeCell ref="CF192"/>
    <mergeCell ref="CF417"/>
    <mergeCell ref="CF204"/>
    <mergeCell ref="CF412"/>
    <mergeCell ref="CF199"/>
    <mergeCell ref="CF413"/>
    <mergeCell ref="CF200"/>
    <mergeCell ref="CF414"/>
    <mergeCell ref="CF201"/>
    <mergeCell ref="CF409"/>
    <mergeCell ref="CF196"/>
    <mergeCell ref="CF410"/>
    <mergeCell ref="CF197"/>
    <mergeCell ref="CF411"/>
    <mergeCell ref="CF198"/>
    <mergeCell ref="CF296"/>
    <mergeCell ref="CF83"/>
    <mergeCell ref="CF297"/>
    <mergeCell ref="CF84"/>
    <mergeCell ref="CF424"/>
    <mergeCell ref="CF211"/>
    <mergeCell ref="CF425"/>
    <mergeCell ref="CF212"/>
    <mergeCell ref="CF421"/>
    <mergeCell ref="CF208"/>
    <mergeCell ref="CF422"/>
    <mergeCell ref="CF209"/>
    <mergeCell ref="CF423"/>
    <mergeCell ref="CF210"/>
    <mergeCell ref="CF418"/>
    <mergeCell ref="CF205"/>
    <mergeCell ref="CF419"/>
    <mergeCell ref="CF206"/>
    <mergeCell ref="CF420"/>
    <mergeCell ref="CF207"/>
    <mergeCell ref="CF415"/>
    <mergeCell ref="CF202"/>
    <mergeCell ref="CF416"/>
    <mergeCell ref="CF203"/>
    <mergeCell ref="CF301"/>
    <mergeCell ref="CF88"/>
    <mergeCell ref="CF302"/>
    <mergeCell ref="CF89"/>
    <mergeCell ref="CF303"/>
    <mergeCell ref="CF90"/>
    <mergeCell ref="CF298"/>
    <mergeCell ref="CF85"/>
    <mergeCell ref="CF299"/>
    <mergeCell ref="CF86"/>
    <mergeCell ref="CF300"/>
    <mergeCell ref="CF87"/>
    <mergeCell ref="CF307"/>
    <mergeCell ref="CF94"/>
    <mergeCell ref="CF388"/>
    <mergeCell ref="CF175"/>
    <mergeCell ref="CF389"/>
    <mergeCell ref="CF176"/>
    <mergeCell ref="CF390"/>
    <mergeCell ref="CF177"/>
    <mergeCell ref="CF385"/>
    <mergeCell ref="CF172"/>
    <mergeCell ref="CF386"/>
    <mergeCell ref="CF173"/>
    <mergeCell ref="CF387"/>
    <mergeCell ref="CF174"/>
    <mergeCell ref="CF394"/>
    <mergeCell ref="CF181"/>
    <mergeCell ref="CF395"/>
    <mergeCell ref="CF182"/>
    <mergeCell ref="CF396"/>
    <mergeCell ref="CF183"/>
    <mergeCell ref="CF391"/>
    <mergeCell ref="CF178"/>
    <mergeCell ref="CF392"/>
    <mergeCell ref="CF179"/>
    <mergeCell ref="CF393"/>
    <mergeCell ref="CF180"/>
    <mergeCell ref="CF400"/>
    <mergeCell ref="CF187"/>
    <mergeCell ref="CF401"/>
    <mergeCell ref="CF188"/>
    <mergeCell ref="CF402"/>
    <mergeCell ref="CF189"/>
    <mergeCell ref="CF397"/>
    <mergeCell ref="CF184"/>
    <mergeCell ref="CF398"/>
    <mergeCell ref="CF185"/>
    <mergeCell ref="CF399"/>
    <mergeCell ref="CF186"/>
    <mergeCell ref="CF370"/>
    <mergeCell ref="CF371"/>
    <mergeCell ref="CF372"/>
    <mergeCell ref="CF367"/>
    <mergeCell ref="CF368"/>
    <mergeCell ref="CF369"/>
    <mergeCell ref="CF376"/>
    <mergeCell ref="CF377"/>
    <mergeCell ref="CF378"/>
    <mergeCell ref="CF373"/>
    <mergeCell ref="CF374"/>
    <mergeCell ref="CF375"/>
    <mergeCell ref="CF382"/>
    <mergeCell ref="CF383"/>
    <mergeCell ref="CF384"/>
    <mergeCell ref="CF379"/>
    <mergeCell ref="CF380"/>
    <mergeCell ref="CF381"/>
    <mergeCell ref="CF339"/>
    <mergeCell ref="CF334"/>
    <mergeCell ref="CF335"/>
    <mergeCell ref="CF336"/>
    <mergeCell ref="CF343"/>
    <mergeCell ref="CF344"/>
    <mergeCell ref="CF345"/>
    <mergeCell ref="CF340"/>
    <mergeCell ref="CF341"/>
    <mergeCell ref="CF342"/>
    <mergeCell ref="CF365"/>
    <mergeCell ref="CF152"/>
    <mergeCell ref="CF366"/>
    <mergeCell ref="CF153"/>
    <mergeCell ref="CG293"/>
    <mergeCell ref="CG80"/>
    <mergeCell ref="CG290"/>
    <mergeCell ref="CG77"/>
    <mergeCell ref="CG291"/>
    <mergeCell ref="CG78"/>
    <mergeCell ref="CG292"/>
    <mergeCell ref="CG79"/>
    <mergeCell ref="CG354"/>
    <mergeCell ref="CG141"/>
    <mergeCell ref="CG349"/>
    <mergeCell ref="CG136"/>
    <mergeCell ref="CG350"/>
    <mergeCell ref="CG137"/>
    <mergeCell ref="CG351"/>
    <mergeCell ref="CG138"/>
    <mergeCell ref="CG346"/>
    <mergeCell ref="CG133"/>
    <mergeCell ref="CG347"/>
    <mergeCell ref="CG134"/>
    <mergeCell ref="CF308"/>
    <mergeCell ref="CF95"/>
    <mergeCell ref="CF309"/>
    <mergeCell ref="CF96"/>
    <mergeCell ref="CF304"/>
    <mergeCell ref="CF91"/>
    <mergeCell ref="CF305"/>
    <mergeCell ref="CF92"/>
    <mergeCell ref="CF306"/>
    <mergeCell ref="CF93"/>
    <mergeCell ref="CF313"/>
    <mergeCell ref="CF100"/>
    <mergeCell ref="CF314"/>
    <mergeCell ref="CF101"/>
    <mergeCell ref="CF315"/>
    <mergeCell ref="CF102"/>
    <mergeCell ref="CF310"/>
    <mergeCell ref="CF97"/>
    <mergeCell ref="CF311"/>
    <mergeCell ref="CF98"/>
    <mergeCell ref="CF312"/>
    <mergeCell ref="CF99"/>
    <mergeCell ref="CF319"/>
    <mergeCell ref="CF106"/>
    <mergeCell ref="CF320"/>
    <mergeCell ref="CF107"/>
    <mergeCell ref="CF321"/>
    <mergeCell ref="CF108"/>
    <mergeCell ref="CF126"/>
    <mergeCell ref="CF121"/>
    <mergeCell ref="CF122"/>
    <mergeCell ref="CF123"/>
    <mergeCell ref="CF130"/>
    <mergeCell ref="CF131"/>
    <mergeCell ref="CF132"/>
    <mergeCell ref="CF127"/>
    <mergeCell ref="CF128"/>
    <mergeCell ref="CF129"/>
    <mergeCell ref="CF349"/>
    <mergeCell ref="CF136"/>
    <mergeCell ref="CG275"/>
    <mergeCell ref="CG62"/>
    <mergeCell ref="CG276"/>
    <mergeCell ref="CG63"/>
    <mergeCell ref="CG277"/>
    <mergeCell ref="CG64"/>
    <mergeCell ref="CG272"/>
    <mergeCell ref="CG59"/>
    <mergeCell ref="CG273"/>
    <mergeCell ref="CG60"/>
    <mergeCell ref="CG274"/>
    <mergeCell ref="CG61"/>
    <mergeCell ref="CG281"/>
    <mergeCell ref="CG68"/>
    <mergeCell ref="CG282"/>
    <mergeCell ref="CG69"/>
    <mergeCell ref="CG283"/>
    <mergeCell ref="CG70"/>
    <mergeCell ref="CG278"/>
    <mergeCell ref="CG65"/>
    <mergeCell ref="CG279"/>
    <mergeCell ref="CG66"/>
    <mergeCell ref="CG280"/>
    <mergeCell ref="CG67"/>
    <mergeCell ref="CG251"/>
    <mergeCell ref="CG287"/>
    <mergeCell ref="CG74"/>
    <mergeCell ref="CG288"/>
    <mergeCell ref="CG75"/>
    <mergeCell ref="CG289"/>
    <mergeCell ref="CG76"/>
    <mergeCell ref="CG284"/>
    <mergeCell ref="CG71"/>
    <mergeCell ref="CG285"/>
    <mergeCell ref="CG72"/>
    <mergeCell ref="CG286"/>
    <mergeCell ref="CG73"/>
    <mergeCell ref="CG250"/>
    <mergeCell ref="CG258"/>
    <mergeCell ref="CG45"/>
    <mergeCell ref="CG259"/>
    <mergeCell ref="CG46"/>
    <mergeCell ref="CG254"/>
    <mergeCell ref="CG41"/>
    <mergeCell ref="CG255"/>
    <mergeCell ref="CG42"/>
    <mergeCell ref="CG256"/>
    <mergeCell ref="CG43"/>
    <mergeCell ref="CG263"/>
    <mergeCell ref="CG50"/>
    <mergeCell ref="CG264"/>
    <mergeCell ref="CG51"/>
    <mergeCell ref="CG265"/>
    <mergeCell ref="CG52"/>
    <mergeCell ref="CG260"/>
    <mergeCell ref="CG47"/>
    <mergeCell ref="CG261"/>
    <mergeCell ref="CG48"/>
    <mergeCell ref="CG262"/>
    <mergeCell ref="CG49"/>
    <mergeCell ref="CG234"/>
    <mergeCell ref="CG269"/>
    <mergeCell ref="CG56"/>
    <mergeCell ref="CG270"/>
    <mergeCell ref="CG57"/>
    <mergeCell ref="CG271"/>
    <mergeCell ref="CG58"/>
    <mergeCell ref="CG266"/>
    <mergeCell ref="CG53"/>
    <mergeCell ref="CG267"/>
    <mergeCell ref="CG54"/>
    <mergeCell ref="CG268"/>
    <mergeCell ref="CG55"/>
    <mergeCell ref="CG17"/>
    <mergeCell ref="CG231"/>
    <mergeCell ref="CG18"/>
    <mergeCell ref="CG232"/>
    <mergeCell ref="CG19"/>
    <mergeCell ref="CG239"/>
    <mergeCell ref="CG26"/>
    <mergeCell ref="CG240"/>
    <mergeCell ref="CG27"/>
    <mergeCell ref="CG241"/>
    <mergeCell ref="CG28"/>
    <mergeCell ref="CG236"/>
    <mergeCell ref="CG23"/>
    <mergeCell ref="CG237"/>
    <mergeCell ref="CG24"/>
    <mergeCell ref="CG238"/>
    <mergeCell ref="CG25"/>
    <mergeCell ref="CG245"/>
    <mergeCell ref="CG32"/>
    <mergeCell ref="CG246"/>
    <mergeCell ref="CG33"/>
    <mergeCell ref="CG247"/>
    <mergeCell ref="CG34"/>
    <mergeCell ref="CG242"/>
    <mergeCell ref="CG29"/>
    <mergeCell ref="CG243"/>
    <mergeCell ref="CG30"/>
    <mergeCell ref="CG244"/>
    <mergeCell ref="CG31"/>
    <mergeCell ref="CG95"/>
    <mergeCell ref="CG96"/>
    <mergeCell ref="CG91"/>
    <mergeCell ref="CG92"/>
    <mergeCell ref="CG93"/>
    <mergeCell ref="CG100"/>
    <mergeCell ref="CG101"/>
    <mergeCell ref="CG102"/>
    <mergeCell ref="CG97"/>
    <mergeCell ref="CG98"/>
    <mergeCell ref="CG99"/>
    <mergeCell ref="CG106"/>
    <mergeCell ref="CG107"/>
    <mergeCell ref="CG108"/>
    <mergeCell ref="CG103"/>
    <mergeCell ref="CG104"/>
    <mergeCell ref="CG105"/>
    <mergeCell ref="CG160"/>
    <mergeCell ref="CG161"/>
    <mergeCell ref="CG162"/>
    <mergeCell ref="CG169"/>
    <mergeCell ref="CG170"/>
    <mergeCell ref="CG171"/>
    <mergeCell ref="CG166"/>
    <mergeCell ref="CG167"/>
    <mergeCell ref="CG168"/>
    <mergeCell ref="CG38"/>
    <mergeCell ref="CG39"/>
    <mergeCell ref="CG40"/>
    <mergeCell ref="CG35"/>
    <mergeCell ref="CG36"/>
    <mergeCell ref="CG130"/>
    <mergeCell ref="CG37"/>
    <mergeCell ref="CG44"/>
    <mergeCell ref="CG344"/>
    <mergeCell ref="CG131"/>
    <mergeCell ref="CG345"/>
    <mergeCell ref="CG132"/>
    <mergeCell ref="CG340"/>
    <mergeCell ref="CG127"/>
    <mergeCell ref="CG341"/>
    <mergeCell ref="CG128"/>
    <mergeCell ref="CG342"/>
    <mergeCell ref="CG129"/>
    <mergeCell ref="CG216"/>
    <mergeCell ref="CG3"/>
    <mergeCell ref="CG217"/>
    <mergeCell ref="CG4"/>
    <mergeCell ref="CG361"/>
    <mergeCell ref="CG148"/>
    <mergeCell ref="CG362"/>
    <mergeCell ref="CG149"/>
    <mergeCell ref="CG358"/>
    <mergeCell ref="CG145"/>
    <mergeCell ref="CG359"/>
    <mergeCell ref="CG146"/>
    <mergeCell ref="CG360"/>
    <mergeCell ref="CG147"/>
    <mergeCell ref="CG355"/>
    <mergeCell ref="CG142"/>
    <mergeCell ref="CG356"/>
    <mergeCell ref="CG143"/>
    <mergeCell ref="CG357"/>
    <mergeCell ref="CG144"/>
    <mergeCell ref="CG352"/>
    <mergeCell ref="CG139"/>
    <mergeCell ref="CG353"/>
    <mergeCell ref="CG140"/>
    <mergeCell ref="CG221"/>
    <mergeCell ref="CG8"/>
    <mergeCell ref="CG222"/>
    <mergeCell ref="CG9"/>
    <mergeCell ref="CG223"/>
    <mergeCell ref="CG10"/>
    <mergeCell ref="CG218"/>
    <mergeCell ref="CG5"/>
    <mergeCell ref="CG219"/>
    <mergeCell ref="CG6"/>
    <mergeCell ref="CG220"/>
    <mergeCell ref="CG7"/>
    <mergeCell ref="CG227"/>
    <mergeCell ref="CG14"/>
    <mergeCell ref="CG228"/>
    <mergeCell ref="CG15"/>
    <mergeCell ref="CG229"/>
    <mergeCell ref="CG16"/>
    <mergeCell ref="CG224"/>
    <mergeCell ref="CG11"/>
    <mergeCell ref="CG225"/>
    <mergeCell ref="CG12"/>
    <mergeCell ref="CG226"/>
    <mergeCell ref="CG13"/>
    <mergeCell ref="CG233"/>
    <mergeCell ref="CG20"/>
    <mergeCell ref="CG21"/>
    <mergeCell ref="CG235"/>
    <mergeCell ref="CG22"/>
    <mergeCell ref="CG112"/>
    <mergeCell ref="CG326"/>
    <mergeCell ref="CG113"/>
    <mergeCell ref="CG327"/>
    <mergeCell ref="CG114"/>
    <mergeCell ref="CG322"/>
    <mergeCell ref="CG109"/>
    <mergeCell ref="CG323"/>
    <mergeCell ref="CG110"/>
    <mergeCell ref="CG324"/>
    <mergeCell ref="CG111"/>
    <mergeCell ref="CG331"/>
    <mergeCell ref="CG118"/>
    <mergeCell ref="CG332"/>
    <mergeCell ref="CG119"/>
    <mergeCell ref="CG333"/>
    <mergeCell ref="CG120"/>
    <mergeCell ref="CG328"/>
    <mergeCell ref="CG115"/>
    <mergeCell ref="CG329"/>
    <mergeCell ref="CG116"/>
    <mergeCell ref="CG330"/>
    <mergeCell ref="CG117"/>
    <mergeCell ref="CG337"/>
    <mergeCell ref="CG124"/>
    <mergeCell ref="CG338"/>
    <mergeCell ref="CG125"/>
    <mergeCell ref="CG339"/>
    <mergeCell ref="CG126"/>
    <mergeCell ref="CG334"/>
    <mergeCell ref="CG121"/>
    <mergeCell ref="CG335"/>
    <mergeCell ref="CG122"/>
    <mergeCell ref="CG336"/>
    <mergeCell ref="CG123"/>
    <mergeCell ref="CG308"/>
    <mergeCell ref="CG309"/>
    <mergeCell ref="CG304"/>
    <mergeCell ref="CG305"/>
    <mergeCell ref="CG306"/>
    <mergeCell ref="CG313"/>
    <mergeCell ref="CG314"/>
    <mergeCell ref="CG315"/>
    <mergeCell ref="CG310"/>
    <mergeCell ref="CG311"/>
    <mergeCell ref="CG312"/>
    <mergeCell ref="CG319"/>
    <mergeCell ref="CG320"/>
    <mergeCell ref="CG321"/>
    <mergeCell ref="CG316"/>
    <mergeCell ref="CG317"/>
    <mergeCell ref="CG318"/>
    <mergeCell ref="CG152"/>
    <mergeCell ref="CG153"/>
    <mergeCell ref="CG157"/>
    <mergeCell ref="CG158"/>
    <mergeCell ref="CG159"/>
    <mergeCell ref="CG154"/>
    <mergeCell ref="CG155"/>
    <mergeCell ref="CG156"/>
    <mergeCell ref="CG163"/>
    <mergeCell ref="CG164"/>
    <mergeCell ref="CG165"/>
    <mergeCell ref="CG135"/>
    <mergeCell ref="CG257"/>
    <mergeCell ref="CG406"/>
    <mergeCell ref="CG193"/>
    <mergeCell ref="CG407"/>
    <mergeCell ref="CG194"/>
    <mergeCell ref="CG408"/>
    <mergeCell ref="CG195"/>
    <mergeCell ref="CG403"/>
    <mergeCell ref="CG190"/>
    <mergeCell ref="CG404"/>
    <mergeCell ref="CG191"/>
    <mergeCell ref="CG405"/>
    <mergeCell ref="CG192"/>
    <mergeCell ref="CG417"/>
    <mergeCell ref="CG204"/>
    <mergeCell ref="CG412"/>
    <mergeCell ref="CG199"/>
    <mergeCell ref="CG413"/>
    <mergeCell ref="CG200"/>
    <mergeCell ref="CG414"/>
    <mergeCell ref="CG201"/>
    <mergeCell ref="CG409"/>
    <mergeCell ref="CG196"/>
    <mergeCell ref="CG410"/>
    <mergeCell ref="CG197"/>
    <mergeCell ref="CG411"/>
    <mergeCell ref="CG198"/>
    <mergeCell ref="CG296"/>
    <mergeCell ref="CG83"/>
    <mergeCell ref="CG297"/>
    <mergeCell ref="CG84"/>
    <mergeCell ref="CG424"/>
    <mergeCell ref="CG211"/>
    <mergeCell ref="CG425"/>
    <mergeCell ref="CG212"/>
    <mergeCell ref="CG421"/>
    <mergeCell ref="CG208"/>
    <mergeCell ref="CG422"/>
    <mergeCell ref="CG209"/>
    <mergeCell ref="CG423"/>
    <mergeCell ref="CG210"/>
    <mergeCell ref="CG418"/>
    <mergeCell ref="CG205"/>
    <mergeCell ref="CG419"/>
    <mergeCell ref="CG206"/>
    <mergeCell ref="CG420"/>
    <mergeCell ref="CG207"/>
    <mergeCell ref="CG415"/>
    <mergeCell ref="CG202"/>
    <mergeCell ref="CG416"/>
    <mergeCell ref="CG203"/>
    <mergeCell ref="CG301"/>
    <mergeCell ref="CG88"/>
    <mergeCell ref="CG302"/>
    <mergeCell ref="CG89"/>
    <mergeCell ref="CG303"/>
    <mergeCell ref="CG90"/>
    <mergeCell ref="CG298"/>
    <mergeCell ref="CG85"/>
    <mergeCell ref="CG299"/>
    <mergeCell ref="CG86"/>
    <mergeCell ref="CG300"/>
    <mergeCell ref="CG87"/>
    <mergeCell ref="CG307"/>
    <mergeCell ref="CG94"/>
    <mergeCell ref="CG388"/>
    <mergeCell ref="CG175"/>
    <mergeCell ref="CG389"/>
    <mergeCell ref="CG176"/>
    <mergeCell ref="CG390"/>
    <mergeCell ref="CG177"/>
    <mergeCell ref="CG385"/>
    <mergeCell ref="CG172"/>
    <mergeCell ref="CG386"/>
    <mergeCell ref="CG173"/>
    <mergeCell ref="CG387"/>
    <mergeCell ref="CG174"/>
    <mergeCell ref="CG394"/>
    <mergeCell ref="CG181"/>
    <mergeCell ref="CG395"/>
    <mergeCell ref="CG182"/>
    <mergeCell ref="CG396"/>
    <mergeCell ref="CG183"/>
    <mergeCell ref="CG391"/>
    <mergeCell ref="CG178"/>
    <mergeCell ref="CG392"/>
    <mergeCell ref="CG179"/>
    <mergeCell ref="CG393"/>
    <mergeCell ref="CG180"/>
    <mergeCell ref="CG400"/>
    <mergeCell ref="CG187"/>
    <mergeCell ref="CG401"/>
    <mergeCell ref="CG188"/>
    <mergeCell ref="CG402"/>
    <mergeCell ref="CG189"/>
    <mergeCell ref="CG397"/>
    <mergeCell ref="CG184"/>
    <mergeCell ref="CG398"/>
    <mergeCell ref="CG185"/>
    <mergeCell ref="CG399"/>
    <mergeCell ref="CG186"/>
    <mergeCell ref="CG365"/>
    <mergeCell ref="CG366"/>
    <mergeCell ref="CG370"/>
    <mergeCell ref="CG371"/>
    <mergeCell ref="CG372"/>
    <mergeCell ref="CG367"/>
    <mergeCell ref="CG368"/>
    <mergeCell ref="CG369"/>
    <mergeCell ref="CG376"/>
    <mergeCell ref="CG377"/>
    <mergeCell ref="CG378"/>
    <mergeCell ref="CG373"/>
    <mergeCell ref="CG374"/>
    <mergeCell ref="CG375"/>
    <mergeCell ref="CG382"/>
    <mergeCell ref="CG383"/>
    <mergeCell ref="CG384"/>
    <mergeCell ref="CG379"/>
    <mergeCell ref="CG380"/>
    <mergeCell ref="CG381"/>
    <mergeCell ref="CG325"/>
    <mergeCell ref="CG348"/>
    <mergeCell ref="CG343"/>
    <mergeCell ref="CG230"/>
    <mergeCell ref="CG252"/>
    <mergeCell ref="CG253"/>
    <mergeCell ref="CG248"/>
    <mergeCell ref="CG24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38"/>
  <sheetViews>
    <sheetView workbookViewId="0">
      <pane xSplit="7" ySplit="6" topLeftCell="AE7" activePane="bottomRight" state="frozen"/>
      <selection pane="topRight" activeCell="G1" sqref="G1"/>
      <selection pane="bottomLeft" activeCell="A3" sqref="A3"/>
      <selection pane="bottomRight" activeCell="AF7" sqref="AF7"/>
    </sheetView>
  </sheetViews>
  <sheetFormatPr defaultRowHeight="15" x14ac:dyDescent="0.25"/>
  <cols>
    <col min="1" max="1" width="5.5703125" style="307" bestFit="1" customWidth="1"/>
    <col min="2" max="2" width="11.5703125" style="307" bestFit="1" customWidth="1"/>
    <col min="3" max="3" width="4.5703125" style="307" bestFit="1" customWidth="1"/>
    <col min="4" max="4" width="38" style="307" customWidth="1"/>
    <col min="5" max="5" width="37.7109375" style="307" bestFit="1" customWidth="1"/>
    <col min="6" max="6" width="16.7109375" style="307" customWidth="1"/>
    <col min="7" max="9" width="3.7109375" style="307" customWidth="1"/>
    <col min="10" max="20" width="3.7109375" style="243" customWidth="1"/>
    <col min="21" max="21" width="6.7109375" style="307" customWidth="1"/>
    <col min="22" max="23" width="3.7109375" style="243" customWidth="1"/>
    <col min="24" max="24" width="3.7109375" style="307" customWidth="1"/>
    <col min="25" max="25" width="6.7109375" style="224" customWidth="1"/>
    <col min="26" max="26" width="6.7109375" style="224" hidden="1" customWidth="1"/>
    <col min="27" max="27" width="6.7109375" style="224" customWidth="1"/>
    <col min="28" max="28" width="6.7109375" style="224" hidden="1" customWidth="1"/>
    <col min="29" max="29" width="6.7109375" style="224" customWidth="1"/>
    <col min="30" max="30" width="3.7109375" style="550" customWidth="1"/>
    <col min="31" max="31" width="3.7109375" style="243" customWidth="1"/>
    <col min="32" max="111" width="10.7109375" style="307" customWidth="1"/>
    <col min="112" max="16384" width="9.140625" style="307"/>
  </cols>
  <sheetData>
    <row r="1" spans="1:111" x14ac:dyDescent="0.25">
      <c r="AF1" s="307" t="s">
        <v>516</v>
      </c>
      <c r="AG1" s="307" t="s">
        <v>517</v>
      </c>
      <c r="AH1" s="307" t="s">
        <v>578</v>
      </c>
      <c r="AI1" s="307" t="s">
        <v>579</v>
      </c>
      <c r="AJ1" s="307" t="s">
        <v>586</v>
      </c>
      <c r="AK1" s="323" t="s">
        <v>518</v>
      </c>
      <c r="AL1" s="307" t="s">
        <v>590</v>
      </c>
      <c r="AM1" s="307" t="s">
        <v>575</v>
      </c>
      <c r="AN1" s="307" t="s">
        <v>567</v>
      </c>
      <c r="AO1" s="307" t="s">
        <v>582</v>
      </c>
      <c r="AP1" s="307" t="s">
        <v>585</v>
      </c>
      <c r="AQ1" s="307" t="s">
        <v>519</v>
      </c>
      <c r="AR1" s="307" t="s">
        <v>587</v>
      </c>
      <c r="AS1" s="307" t="s">
        <v>566</v>
      </c>
      <c r="AT1" s="307" t="s">
        <v>581</v>
      </c>
      <c r="AU1" s="323" t="s">
        <v>1465</v>
      </c>
      <c r="AV1" s="307" t="s">
        <v>583</v>
      </c>
      <c r="AW1" s="307" t="s">
        <v>520</v>
      </c>
      <c r="AX1" s="307" t="s">
        <v>521</v>
      </c>
      <c r="AY1" s="307" t="s">
        <v>564</v>
      </c>
      <c r="AZ1" s="307" t="s">
        <v>522</v>
      </c>
      <c r="BA1" s="307" t="s">
        <v>523</v>
      </c>
      <c r="BB1" s="307" t="s">
        <v>524</v>
      </c>
      <c r="BC1" s="323" t="s">
        <v>525</v>
      </c>
      <c r="BD1" s="307" t="s">
        <v>526</v>
      </c>
      <c r="BE1" s="323" t="s">
        <v>1477</v>
      </c>
      <c r="BF1" s="323" t="s">
        <v>527</v>
      </c>
      <c r="BG1" s="323" t="s">
        <v>1478</v>
      </c>
      <c r="BH1" s="307" t="s">
        <v>528</v>
      </c>
      <c r="BI1" s="307" t="s">
        <v>529</v>
      </c>
      <c r="BJ1" s="307" t="s">
        <v>530</v>
      </c>
      <c r="BK1" s="307" t="s">
        <v>531</v>
      </c>
      <c r="BL1" s="307" t="s">
        <v>569</v>
      </c>
      <c r="BM1" s="307" t="s">
        <v>532</v>
      </c>
      <c r="BN1" s="323" t="s">
        <v>533</v>
      </c>
      <c r="BO1" s="323" t="s">
        <v>534</v>
      </c>
      <c r="BP1" s="323" t="s">
        <v>1466</v>
      </c>
      <c r="BQ1" s="323" t="s">
        <v>535</v>
      </c>
      <c r="BR1" s="307" t="s">
        <v>573</v>
      </c>
      <c r="BS1" s="307" t="s">
        <v>571</v>
      </c>
      <c r="BT1" s="323" t="s">
        <v>536</v>
      </c>
      <c r="BU1" s="307" t="s">
        <v>572</v>
      </c>
      <c r="BV1" s="307" t="s">
        <v>537</v>
      </c>
      <c r="BW1" s="307" t="s">
        <v>538</v>
      </c>
      <c r="BX1" s="307" t="s">
        <v>568</v>
      </c>
      <c r="BY1" s="307" t="s">
        <v>576</v>
      </c>
      <c r="BZ1" s="307" t="s">
        <v>539</v>
      </c>
      <c r="CA1" s="307" t="s">
        <v>577</v>
      </c>
      <c r="CB1" s="307" t="s">
        <v>584</v>
      </c>
      <c r="CC1" s="307" t="s">
        <v>580</v>
      </c>
      <c r="CD1" s="323" t="s">
        <v>540</v>
      </c>
      <c r="CE1" s="307" t="s">
        <v>541</v>
      </c>
      <c r="CF1" s="307" t="s">
        <v>542</v>
      </c>
      <c r="CG1" s="323" t="s">
        <v>1475</v>
      </c>
      <c r="CH1" s="307" t="s">
        <v>543</v>
      </c>
      <c r="CI1" s="307" t="s">
        <v>544</v>
      </c>
      <c r="CJ1" s="307" t="s">
        <v>570</v>
      </c>
      <c r="CK1" s="307" t="s">
        <v>545</v>
      </c>
      <c r="CL1" s="307" t="s">
        <v>546</v>
      </c>
      <c r="CM1" s="307" t="s">
        <v>547</v>
      </c>
      <c r="CN1" s="323" t="s">
        <v>548</v>
      </c>
      <c r="CO1" s="307" t="s">
        <v>549</v>
      </c>
      <c r="CP1" s="307" t="s">
        <v>550</v>
      </c>
      <c r="CQ1" s="323" t="s">
        <v>1501</v>
      </c>
      <c r="CR1" s="307" t="s">
        <v>551</v>
      </c>
      <c r="CS1" s="307" t="s">
        <v>552</v>
      </c>
      <c r="CT1" s="307" t="s">
        <v>1467</v>
      </c>
      <c r="CU1" s="307" t="s">
        <v>565</v>
      </c>
      <c r="CV1" s="307" t="s">
        <v>554</v>
      </c>
      <c r="CW1" s="307" t="s">
        <v>555</v>
      </c>
      <c r="CX1" s="307" t="s">
        <v>556</v>
      </c>
      <c r="CY1" s="307" t="s">
        <v>574</v>
      </c>
      <c r="CZ1" s="307" t="s">
        <v>557</v>
      </c>
      <c r="DA1" s="307" t="s">
        <v>558</v>
      </c>
      <c r="DB1" s="323" t="s">
        <v>559</v>
      </c>
      <c r="DC1" s="307" t="s">
        <v>560</v>
      </c>
      <c r="DD1" s="307" t="s">
        <v>561</v>
      </c>
      <c r="DE1" s="323" t="s">
        <v>1500</v>
      </c>
      <c r="DF1" s="307" t="s">
        <v>562</v>
      </c>
      <c r="DG1" s="307" t="s">
        <v>563</v>
      </c>
    </row>
    <row r="2" spans="1:111" x14ac:dyDescent="0.25">
      <c r="D2" s="323" t="s">
        <v>1472</v>
      </c>
      <c r="I2" s="30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308"/>
      <c r="V2" s="428"/>
      <c r="W2" s="428"/>
      <c r="X2" s="308"/>
      <c r="Y2" s="308"/>
      <c r="Z2" s="308"/>
      <c r="AA2" s="308"/>
      <c r="AB2" s="308"/>
      <c r="AC2" s="307"/>
      <c r="AE2" s="428"/>
      <c r="AF2" s="307" t="str">
        <f>INDEX('SK-info'!$C$2:$C$81,MATCH('SK-ratios'!AF1,'SK-info'!$B$2:$B$81,0))</f>
        <v>state</v>
      </c>
      <c r="AG2" s="307" t="str">
        <f>INDEX('SK-info'!$C$2:$C$81,MATCH('SK-ratios'!AG1,'SK-info'!$B$2:$B$81,0))</f>
        <v>state</v>
      </c>
      <c r="AH2" s="307" t="str">
        <f>INDEX('SK-info'!$C$2:$C$81,MATCH('SK-ratios'!AH1,'SK-info'!$B$2:$B$81,0))</f>
        <v>private</v>
      </c>
      <c r="AI2" s="307" t="str">
        <f>INDEX('SK-info'!$C$2:$C$81,MATCH('SK-ratios'!AI1,'SK-info'!$B$2:$B$81,0))</f>
        <v>private</v>
      </c>
      <c r="AJ2" s="307" t="str">
        <f>INDEX('SK-info'!$C$2:$C$81,MATCH('SK-ratios'!AJ1,'SK-info'!$B$2:$B$81,0))</f>
        <v>private</v>
      </c>
      <c r="AK2" s="307" t="str">
        <f>INDEX('SK-info'!$C$2:$C$81,MATCH('SK-ratios'!AK1,'SK-info'!$B$2:$B$81,0))</f>
        <v>state</v>
      </c>
      <c r="AL2" s="307" t="str">
        <f>INDEX('SK-info'!$C$2:$C$81,MATCH('SK-ratios'!AL1,'SK-info'!$B$2:$B$81,0))</f>
        <v>state</v>
      </c>
      <c r="AM2" s="307" t="str">
        <f>INDEX('SK-info'!$C$2:$C$81,MATCH('SK-ratios'!AM1,'SK-info'!$B$2:$B$81,0))</f>
        <v>private</v>
      </c>
      <c r="AN2" s="307" t="str">
        <f>INDEX('SK-info'!$C$2:$C$81,MATCH('SK-ratios'!AN1,'SK-info'!$B$2:$B$81,0))</f>
        <v>private</v>
      </c>
      <c r="AO2" s="307" t="str">
        <f>INDEX('SK-info'!$C$2:$C$81,MATCH('SK-ratios'!AO1,'SK-info'!$B$2:$B$81,0))</f>
        <v>private</v>
      </c>
      <c r="AP2" s="307" t="str">
        <f>INDEX('SK-info'!$C$2:$C$81,MATCH('SK-ratios'!AP1,'SK-info'!$B$2:$B$81,0))</f>
        <v>private</v>
      </c>
      <c r="AQ2" s="307" t="str">
        <f>INDEX('SK-info'!$C$2:$C$81,MATCH('SK-ratios'!AQ1,'SK-info'!$B$2:$B$81,0))</f>
        <v>state</v>
      </c>
      <c r="AR2" s="307" t="str">
        <f>INDEX('SK-info'!$C$2:$C$81,MATCH('SK-ratios'!AR1,'SK-info'!$B$2:$B$81,0))</f>
        <v>private</v>
      </c>
      <c r="AS2" s="307" t="str">
        <f>INDEX('SK-info'!$C$2:$C$81,MATCH('SK-ratios'!AS1,'SK-info'!$B$2:$B$81,0))</f>
        <v>private</v>
      </c>
      <c r="AT2" s="307" t="str">
        <f>INDEX('SK-info'!$C$2:$C$81,MATCH('SK-ratios'!AT1,'SK-info'!$B$2:$B$81,0))</f>
        <v>private</v>
      </c>
      <c r="AU2" s="307" t="str">
        <f>INDEX('SK-info'!$C$2:$C$81,MATCH('SK-ratios'!AU1,'SK-info'!$B$2:$B$81,0))</f>
        <v>state</v>
      </c>
      <c r="AV2" s="307" t="str">
        <f>INDEX('SK-info'!$C$2:$C$81,MATCH('SK-ratios'!AV1,'SK-info'!$B$2:$B$81,0))</f>
        <v>private</v>
      </c>
      <c r="AW2" s="307" t="str">
        <f>INDEX('SK-info'!$C$2:$C$81,MATCH('SK-ratios'!AW1,'SK-info'!$B$2:$B$81,0))</f>
        <v>state</v>
      </c>
      <c r="AX2" s="307" t="str">
        <f>INDEX('SK-info'!$C$2:$C$81,MATCH('SK-ratios'!AX1,'SK-info'!$B$2:$B$81,0))</f>
        <v>state</v>
      </c>
      <c r="AY2" s="307" t="str">
        <f>INDEX('SK-info'!$C$2:$C$81,MATCH('SK-ratios'!AY1,'SK-info'!$B$2:$B$81,0))</f>
        <v>private</v>
      </c>
      <c r="AZ2" s="307" t="str">
        <f>INDEX('SK-info'!$C$2:$C$81,MATCH('SK-ratios'!AZ1,'SK-info'!$B$2:$B$81,0))</f>
        <v>state</v>
      </c>
      <c r="BA2" s="307" t="str">
        <f>INDEX('SK-info'!$C$2:$C$81,MATCH('SK-ratios'!BA1,'SK-info'!$B$2:$B$81,0))</f>
        <v>state</v>
      </c>
      <c r="BB2" s="307" t="str">
        <f>INDEX('SK-info'!$C$2:$C$81,MATCH('SK-ratios'!BB1,'SK-info'!$B$2:$B$81,0))</f>
        <v>state</v>
      </c>
      <c r="BC2" s="307" t="str">
        <f>INDEX('SK-info'!$C$2:$C$81,MATCH('SK-ratios'!BC1,'SK-info'!$B$2:$B$81,0))</f>
        <v>state</v>
      </c>
      <c r="BD2" s="307" t="str">
        <f>INDEX('SK-info'!$C$2:$C$81,MATCH('SK-ratios'!BD1,'SK-info'!$B$2:$B$81,0))</f>
        <v>state</v>
      </c>
      <c r="BE2" s="307" t="str">
        <f>INDEX('SK-info'!$C$2:$C$81,MATCH('SK-ratios'!BE1,'SK-info'!$B$2:$B$81,0))</f>
        <v>private</v>
      </c>
      <c r="BF2" s="307" t="str">
        <f>INDEX('SK-info'!$C$2:$C$81,MATCH('SK-ratios'!BF1,'SK-info'!$B$2:$B$81,0))</f>
        <v>state</v>
      </c>
      <c r="BG2" s="307" t="str">
        <f>INDEX('SK-info'!$C$2:$C$81,MATCH('SK-ratios'!BG1,'SK-info'!$B$2:$B$81,0))</f>
        <v>private</v>
      </c>
      <c r="BH2" s="307" t="str">
        <f>INDEX('SK-info'!$C$2:$C$81,MATCH('SK-ratios'!BH1,'SK-info'!$B$2:$B$81,0))</f>
        <v>state</v>
      </c>
      <c r="BI2" s="307" t="str">
        <f>INDEX('SK-info'!$C$2:$C$81,MATCH('SK-ratios'!BI1,'SK-info'!$B$2:$B$81,0))</f>
        <v>state</v>
      </c>
      <c r="BJ2" s="307" t="str">
        <f>INDEX('SK-info'!$C$2:$C$81,MATCH('SK-ratios'!BJ1,'SK-info'!$B$2:$B$81,0))</f>
        <v>state</v>
      </c>
      <c r="BK2" s="307" t="str">
        <f>INDEX('SK-info'!$C$2:$C$81,MATCH('SK-ratios'!BK1,'SK-info'!$B$2:$B$81,0))</f>
        <v>state</v>
      </c>
      <c r="BL2" s="307" t="str">
        <f>INDEX('SK-info'!$C$2:$C$81,MATCH('SK-ratios'!BL1,'SK-info'!$B$2:$B$81,0))</f>
        <v>private</v>
      </c>
      <c r="BM2" s="307" t="str">
        <f>INDEX('SK-info'!$C$2:$C$81,MATCH('SK-ratios'!BM1,'SK-info'!$B$2:$B$81,0))</f>
        <v>state</v>
      </c>
      <c r="BN2" s="307" t="str">
        <f>INDEX('SK-info'!$C$2:$C$81,MATCH('SK-ratios'!BN1,'SK-info'!$B$2:$B$81,0))</f>
        <v>state</v>
      </c>
      <c r="BO2" s="307" t="str">
        <f>INDEX('SK-info'!$C$2:$C$81,MATCH('SK-ratios'!BO1,'SK-info'!$B$2:$B$81,0))</f>
        <v>state</v>
      </c>
      <c r="BP2" s="307" t="str">
        <f>INDEX('SK-info'!$C$2:$C$81,MATCH('SK-ratios'!BP1,'SK-info'!$B$2:$B$81,0))</f>
        <v>private</v>
      </c>
      <c r="BQ2" s="307" t="str">
        <f>INDEX('SK-info'!$C$2:$C$81,MATCH('SK-ratios'!BQ1,'SK-info'!$B$2:$B$81,0))</f>
        <v>state</v>
      </c>
      <c r="BR2" s="307" t="str">
        <f>INDEX('SK-info'!$C$2:$C$81,MATCH('SK-ratios'!BR1,'SK-info'!$B$2:$B$81,0))</f>
        <v>private</v>
      </c>
      <c r="BS2" s="307" t="str">
        <f>INDEX('SK-info'!$C$2:$C$81,MATCH('SK-ratios'!BS1,'SK-info'!$B$2:$B$81,0))</f>
        <v>private</v>
      </c>
      <c r="BT2" s="307" t="str">
        <f>INDEX('SK-info'!$C$2:$C$81,MATCH('SK-ratios'!BT1,'SK-info'!$B$2:$B$81,0))</f>
        <v>state</v>
      </c>
      <c r="BU2" s="307" t="str">
        <f>INDEX('SK-info'!$C$2:$C$81,MATCH('SK-ratios'!BU1,'SK-info'!$B$2:$B$81,0))</f>
        <v>private</v>
      </c>
      <c r="BV2" s="307" t="str">
        <f>INDEX('SK-info'!$C$2:$C$81,MATCH('SK-ratios'!BV1,'SK-info'!$B$2:$B$81,0))</f>
        <v>state</v>
      </c>
      <c r="BW2" s="307" t="str">
        <f>INDEX('SK-info'!$C$2:$C$81,MATCH('SK-ratios'!BW1,'SK-info'!$B$2:$B$81,0))</f>
        <v>state</v>
      </c>
      <c r="BX2" s="307" t="str">
        <f>INDEX('SK-info'!$C$2:$C$81,MATCH('SK-ratios'!BX1,'SK-info'!$B$2:$B$81,0))</f>
        <v>private</v>
      </c>
      <c r="BY2" s="307" t="str">
        <f>INDEX('SK-info'!$C$2:$C$81,MATCH('SK-ratios'!BY1,'SK-info'!$B$2:$B$81,0))</f>
        <v>private</v>
      </c>
      <c r="BZ2" s="307" t="str">
        <f>INDEX('SK-info'!$C$2:$C$81,MATCH('SK-ratios'!BZ1,'SK-info'!$B$2:$B$81,0))</f>
        <v>state</v>
      </c>
      <c r="CA2" s="307" t="str">
        <f>INDEX('SK-info'!$C$2:$C$81,MATCH('SK-ratios'!CA1,'SK-info'!$B$2:$B$81,0))</f>
        <v>private</v>
      </c>
      <c r="CB2" s="307" t="str">
        <f>INDEX('SK-info'!$C$2:$C$81,MATCH('SK-ratios'!CB1,'SK-info'!$B$2:$B$81,0))</f>
        <v>private</v>
      </c>
      <c r="CC2" s="307" t="str">
        <f>INDEX('SK-info'!$C$2:$C$81,MATCH('SK-ratios'!CC1,'SK-info'!$B$2:$B$81,0))</f>
        <v>private</v>
      </c>
      <c r="CD2" s="307" t="str">
        <f>INDEX('SK-info'!$C$2:$C$81,MATCH('SK-ratios'!CD1,'SK-info'!$B$2:$B$81,0))</f>
        <v>state</v>
      </c>
      <c r="CE2" s="307" t="str">
        <f>INDEX('SK-info'!$C$2:$C$81,MATCH('SK-ratios'!CE1,'SK-info'!$B$2:$B$81,0))</f>
        <v>state</v>
      </c>
      <c r="CF2" s="307" t="str">
        <f>INDEX('SK-info'!$C$2:$C$81,MATCH('SK-ratios'!CF1,'SK-info'!$B$2:$B$81,0))</f>
        <v>state</v>
      </c>
      <c r="CG2" s="307" t="str">
        <f>INDEX('SK-info'!$C$2:$C$81,MATCH('SK-ratios'!CG1,'SK-info'!$B$2:$B$81,0))</f>
        <v>private</v>
      </c>
      <c r="CH2" s="307" t="str">
        <f>INDEX('SK-info'!$C$2:$C$81,MATCH('SK-ratios'!CH1,'SK-info'!$B$2:$B$81,0))</f>
        <v>state</v>
      </c>
      <c r="CI2" s="307" t="str">
        <f>INDEX('SK-info'!$C$2:$C$81,MATCH('SK-ratios'!CI1,'SK-info'!$B$2:$B$81,0))</f>
        <v>state</v>
      </c>
      <c r="CJ2" s="307" t="str">
        <f>INDEX('SK-info'!$C$2:$C$81,MATCH('SK-ratios'!CJ1,'SK-info'!$B$2:$B$81,0))</f>
        <v>private</v>
      </c>
      <c r="CK2" s="307" t="str">
        <f>INDEX('SK-info'!$C$2:$C$81,MATCH('SK-ratios'!CK1,'SK-info'!$B$2:$B$81,0))</f>
        <v>state</v>
      </c>
      <c r="CL2" s="307" t="str">
        <f>INDEX('SK-info'!$C$2:$C$81,MATCH('SK-ratios'!CL1,'SK-info'!$B$2:$B$81,0))</f>
        <v>state</v>
      </c>
      <c r="CM2" s="307" t="str">
        <f>INDEX('SK-info'!$C$2:$C$81,MATCH('SK-ratios'!CM1,'SK-info'!$B$2:$B$81,0))</f>
        <v>state</v>
      </c>
      <c r="CN2" s="307" t="str">
        <f>INDEX('SK-info'!$C$2:$C$81,MATCH('SK-ratios'!CN1,'SK-info'!$B$2:$B$81,0))</f>
        <v>state</v>
      </c>
      <c r="CO2" s="307" t="str">
        <f>INDEX('SK-info'!$C$2:$C$81,MATCH('SK-ratios'!CO1,'SK-info'!$B$2:$B$81,0))</f>
        <v>state</v>
      </c>
      <c r="CP2" s="307" t="str">
        <f>INDEX('SK-info'!$C$2:$C$81,MATCH('SK-ratios'!CP1,'SK-info'!$B$2:$B$81,0))</f>
        <v>state</v>
      </c>
      <c r="CQ2" s="307" t="str">
        <f>INDEX('SK-info'!$C$2:$C$81,MATCH('SK-ratios'!CQ1,'SK-info'!$B$2:$B$81,0))</f>
        <v>state</v>
      </c>
      <c r="CR2" s="307" t="str">
        <f>INDEX('SK-info'!$C$2:$C$81,MATCH('SK-ratios'!CR1,'SK-info'!$B$2:$B$81,0))</f>
        <v>state</v>
      </c>
      <c r="CS2" s="307" t="str">
        <f>INDEX('SK-info'!$C$2:$C$81,MATCH('SK-ratios'!CS1,'SK-info'!$B$2:$B$81,0))</f>
        <v>state</v>
      </c>
      <c r="CT2" s="307" t="str">
        <f>INDEX('SK-info'!$C$2:$C$81,MATCH('SK-ratios'!CT1,'SK-info'!$B$2:$B$81,0))</f>
        <v>state</v>
      </c>
      <c r="CU2" s="307" t="str">
        <f>INDEX('SK-info'!$C$2:$C$81,MATCH('SK-ratios'!CU1,'SK-info'!$B$2:$B$81,0))</f>
        <v>private</v>
      </c>
      <c r="CV2" s="307" t="str">
        <f>INDEX('SK-info'!$C$2:$C$81,MATCH('SK-ratios'!CV1,'SK-info'!$B$2:$B$81,0))</f>
        <v>state</v>
      </c>
      <c r="CW2" s="307" t="str">
        <f>INDEX('SK-info'!$C$2:$C$81,MATCH('SK-ratios'!CW1,'SK-info'!$B$2:$B$81,0))</f>
        <v>state</v>
      </c>
      <c r="CX2" s="307" t="str">
        <f>INDEX('SK-info'!$C$2:$C$81,MATCH('SK-ratios'!CX1,'SK-info'!$B$2:$B$81,0))</f>
        <v>state</v>
      </c>
      <c r="CY2" s="307" t="str">
        <f>INDEX('SK-info'!$C$2:$C$81,MATCH('SK-ratios'!CY1,'SK-info'!$B$2:$B$81,0))</f>
        <v>private</v>
      </c>
      <c r="CZ2" s="307" t="str">
        <f>INDEX('SK-info'!$C$2:$C$81,MATCH('SK-ratios'!CZ1,'SK-info'!$B$2:$B$81,0))</f>
        <v>state</v>
      </c>
      <c r="DA2" s="307" t="str">
        <f>INDEX('SK-info'!$C$2:$C$81,MATCH('SK-ratios'!DA1,'SK-info'!$B$2:$B$81,0))</f>
        <v>state</v>
      </c>
      <c r="DB2" s="307" t="str">
        <f>INDEX('SK-info'!$C$2:$C$81,MATCH('SK-ratios'!DB1,'SK-info'!$B$2:$B$81,0))</f>
        <v>state</v>
      </c>
      <c r="DC2" s="307" t="str">
        <f>INDEX('SK-info'!$C$2:$C$81,MATCH('SK-ratios'!DC1,'SK-info'!$B$2:$B$81,0))</f>
        <v>state</v>
      </c>
      <c r="DD2" s="307" t="str">
        <f>INDEX('SK-info'!$C$2:$C$81,MATCH('SK-ratios'!DD1,'SK-info'!$B$2:$B$81,0))</f>
        <v>state</v>
      </c>
      <c r="DE2" s="307" t="str">
        <f>INDEX('SK-info'!$C$2:$C$81,MATCH('SK-ratios'!DE1,'SK-info'!$B$2:$B$81,0))</f>
        <v>state</v>
      </c>
      <c r="DF2" s="307" t="str">
        <f>INDEX('SK-info'!$C$2:$C$81,MATCH('SK-ratios'!DF1,'SK-info'!$B$2:$B$81,0))</f>
        <v>state</v>
      </c>
      <c r="DG2" s="307" t="str">
        <f>INDEX('SK-info'!$C$2:$C$81,MATCH('SK-ratios'!DG1,'SK-info'!$B$2:$B$81,0))</f>
        <v>state</v>
      </c>
    </row>
    <row r="3" spans="1:111" x14ac:dyDescent="0.25">
      <c r="D3" s="323" t="s">
        <v>406</v>
      </c>
      <c r="I3" s="30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308"/>
      <c r="V3" s="428"/>
      <c r="W3" s="428"/>
      <c r="X3" s="308"/>
      <c r="Y3" s="308"/>
      <c r="Z3" s="308"/>
      <c r="AA3" s="308"/>
      <c r="AB3" s="308"/>
      <c r="AC3" s="307"/>
      <c r="AE3" s="428"/>
      <c r="AF3" s="307" t="str">
        <f>INDEX('SK-info'!$E$2:$E$81,MATCH('SK-ratios'!AF1,'SK-info'!$B$2:$B$81,0))</f>
        <v>P</v>
      </c>
      <c r="AG3" s="307" t="str">
        <f>INDEX('SK-info'!$E$2:$E$81,MATCH('SK-ratios'!AG1,'SK-info'!$B$2:$B$81,0))</f>
        <v>N</v>
      </c>
      <c r="AH3" s="307" t="str">
        <f>INDEX('SK-info'!$E$2:$E$81,MATCH('SK-ratios'!AH1,'SK-info'!$B$2:$B$81,0))</f>
        <v>H</v>
      </c>
      <c r="AI3" s="307" t="str">
        <f>INDEX('SK-info'!$E$2:$E$81,MATCH('SK-ratios'!AI1,'SK-info'!$B$2:$B$81,0))</f>
        <v>H</v>
      </c>
      <c r="AJ3" s="307" t="str">
        <f>INDEX('SK-info'!$E$2:$E$81,MATCH('SK-ratios'!AJ1,'SK-info'!$B$2:$B$81,0))</f>
        <v>G</v>
      </c>
      <c r="AK3" s="307" t="str">
        <f>INDEX('SK-info'!$E$2:$E$81,MATCH('SK-ratios'!AK1,'SK-info'!$B$2:$B$81,0))</f>
        <v>G</v>
      </c>
      <c r="AL3" s="307" t="str">
        <f>INDEX('SK-info'!$E$2:$E$81,MATCH('SK-ratios'!AL1,'SK-info'!$B$2:$B$81,0))</f>
        <v>Q</v>
      </c>
      <c r="AM3" s="307" t="str">
        <f>INDEX('SK-info'!$E$2:$E$81,MATCH('SK-ratios'!AM1,'SK-info'!$B$2:$B$81,0))</f>
        <v>H</v>
      </c>
      <c r="AN3" s="307" t="str">
        <f>INDEX('SK-info'!$E$2:$E$81,MATCH('SK-ratios'!AN1,'SK-info'!$B$2:$B$81,0))</f>
        <v>D</v>
      </c>
      <c r="AO3" s="307" t="str">
        <f>INDEX('SK-info'!$E$2:$E$81,MATCH('SK-ratios'!AO1,'SK-info'!$B$2:$B$81,0))</f>
        <v>H</v>
      </c>
      <c r="AP3" s="307" t="str">
        <f>INDEX('SK-info'!$E$2:$E$81,MATCH('SK-ratios'!AP1,'SK-info'!$B$2:$B$81,0))</f>
        <v>H</v>
      </c>
      <c r="AQ3" s="307" t="str">
        <f>INDEX('SK-info'!$E$2:$E$81,MATCH('SK-ratios'!AQ1,'SK-info'!$B$2:$B$81,0))</f>
        <v>L</v>
      </c>
      <c r="AR3" s="307" t="str">
        <f>INDEX('SK-info'!$E$2:$E$81,MATCH('SK-ratios'!AR1,'SK-info'!$B$2:$B$81,0))</f>
        <v>E</v>
      </c>
      <c r="AS3" s="307" t="str">
        <f>INDEX('SK-info'!$E$2:$E$81,MATCH('SK-ratios'!AS1,'SK-info'!$B$2:$B$81,0))</f>
        <v>D</v>
      </c>
      <c r="AT3" s="307" t="str">
        <f>INDEX('SK-info'!$E$2:$E$81,MATCH('SK-ratios'!AT1,'SK-info'!$B$2:$B$81,0))</f>
        <v>H</v>
      </c>
      <c r="AU3" s="307" t="str">
        <f>INDEX('SK-info'!$E$2:$E$81,MATCH('SK-ratios'!AU1,'SK-info'!$B$2:$B$81,0))</f>
        <v>D</v>
      </c>
      <c r="AV3" s="307" t="str">
        <f>INDEX('SK-info'!$E$2:$E$81,MATCH('SK-ratios'!AV1,'SK-info'!$B$2:$B$81,0))</f>
        <v>H</v>
      </c>
      <c r="AW3" s="307" t="str">
        <f>INDEX('SK-info'!$E$2:$E$81,MATCH('SK-ratios'!AW1,'SK-info'!$B$2:$B$81,0))</f>
        <v>Q</v>
      </c>
      <c r="AX3" s="307" t="str">
        <f>INDEX('SK-info'!$E$2:$E$81,MATCH('SK-ratios'!AX1,'SK-info'!$B$2:$B$81,0))</f>
        <v>M</v>
      </c>
      <c r="AY3" s="307" t="str">
        <f>INDEX('SK-info'!$E$2:$E$81,MATCH('SK-ratios'!AY1,'SK-info'!$B$2:$B$81,0))</f>
        <v>D</v>
      </c>
      <c r="AZ3" s="307" t="str">
        <f>INDEX('SK-info'!$E$2:$E$81,MATCH('SK-ratios'!AZ1,'SK-info'!$B$2:$B$81,0))</f>
        <v>E</v>
      </c>
      <c r="BA3" s="307" t="str">
        <f>INDEX('SK-info'!$E$2:$E$81,MATCH('SK-ratios'!BA1,'SK-info'!$B$2:$B$81,0))</f>
        <v>A</v>
      </c>
      <c r="BB3" s="307" t="str">
        <f>INDEX('SK-info'!$E$2:$E$81,MATCH('SK-ratios'!BB1,'SK-info'!$B$2:$B$81,0))</f>
        <v>A</v>
      </c>
      <c r="BC3" s="307" t="str">
        <f>INDEX('SK-info'!$E$2:$E$81,MATCH('SK-ratios'!BC1,'SK-info'!$B$2:$B$81,0))</f>
        <v>Q</v>
      </c>
      <c r="BD3" s="307" t="str">
        <f>INDEX('SK-info'!$E$2:$E$81,MATCH('SK-ratios'!BD1,'SK-info'!$B$2:$B$81,0))</f>
        <v>C</v>
      </c>
      <c r="BE3" s="307" t="str">
        <f>INDEX('SK-info'!$E$2:$E$81,MATCH('SK-ratios'!BE1,'SK-info'!$B$2:$B$81,0))</f>
        <v>H</v>
      </c>
      <c r="BF3" s="307" t="str">
        <f>INDEX('SK-info'!$E$2:$E$81,MATCH('SK-ratios'!BF1,'SK-info'!$B$2:$B$81,0))</f>
        <v>H</v>
      </c>
      <c r="BG3" s="307" t="str">
        <f>INDEX('SK-info'!$E$2:$E$81,MATCH('SK-ratios'!BG1,'SK-info'!$B$2:$B$81,0))</f>
        <v>H</v>
      </c>
      <c r="BH3" s="307" t="str">
        <f>INDEX('SK-info'!$E$2:$E$81,MATCH('SK-ratios'!BH1,'SK-info'!$B$2:$B$81,0))</f>
        <v>H</v>
      </c>
      <c r="BI3" s="307" t="str">
        <f>INDEX('SK-info'!$E$2:$E$81,MATCH('SK-ratios'!BI1,'SK-info'!$B$2:$B$81,0))</f>
        <v>H</v>
      </c>
      <c r="BJ3" s="307" t="str">
        <f>INDEX('SK-info'!$E$2:$E$81,MATCH('SK-ratios'!BJ1,'SK-info'!$B$2:$B$81,0))</f>
        <v>H</v>
      </c>
      <c r="BK3" s="307" t="str">
        <f>INDEX('SK-info'!$E$2:$E$81,MATCH('SK-ratios'!BK1,'SK-info'!$B$2:$B$81,0))</f>
        <v>H</v>
      </c>
      <c r="BL3" s="307" t="str">
        <f>INDEX('SK-info'!$E$2:$E$81,MATCH('SK-ratios'!BL1,'SK-info'!$B$2:$B$81,0))</f>
        <v>D</v>
      </c>
      <c r="BM3" s="307" t="str">
        <f>INDEX('SK-info'!$E$2:$E$81,MATCH('SK-ratios'!BM1,'SK-info'!$B$2:$B$81,0))</f>
        <v>C</v>
      </c>
      <c r="BN3" s="307" t="str">
        <f>INDEX('SK-info'!$E$2:$E$81,MATCH('SK-ratios'!BN1,'SK-info'!$B$2:$B$81,0))</f>
        <v>H</v>
      </c>
      <c r="BO3" s="307" t="str">
        <f>INDEX('SK-info'!$E$2:$E$81,MATCH('SK-ratios'!BO1,'SK-info'!$B$2:$B$81,0))</f>
        <v>Q</v>
      </c>
      <c r="BP3" s="307" t="str">
        <f>INDEX('SK-info'!$E$2:$E$81,MATCH('SK-ratios'!BP1,'SK-info'!$B$2:$B$81,0))</f>
        <v>Q</v>
      </c>
      <c r="BQ3" s="307" t="str">
        <f>INDEX('SK-info'!$E$2:$E$81,MATCH('SK-ratios'!BQ1,'SK-info'!$B$2:$B$81,0))</f>
        <v>Q</v>
      </c>
      <c r="BR3" s="307" t="str">
        <f>INDEX('SK-info'!$E$2:$E$81,MATCH('SK-ratios'!BR1,'SK-info'!$B$2:$B$81,0))</f>
        <v>Q</v>
      </c>
      <c r="BS3" s="307" t="str">
        <f>INDEX('SK-info'!$E$2:$E$81,MATCH('SK-ratios'!BS1,'SK-info'!$B$2:$B$81,0))</f>
        <v>Q</v>
      </c>
      <c r="BT3" s="307" t="str">
        <f>INDEX('SK-info'!$E$2:$E$81,MATCH('SK-ratios'!BT1,'SK-info'!$B$2:$B$81,0))</f>
        <v>Q</v>
      </c>
      <c r="BU3" s="307" t="str">
        <f>INDEX('SK-info'!$E$2:$E$81,MATCH('SK-ratios'!BU1,'SK-info'!$B$2:$B$81,0))</f>
        <v>Q</v>
      </c>
      <c r="BV3" s="307" t="str">
        <f>INDEX('SK-info'!$E$2:$E$81,MATCH('SK-ratios'!BV1,'SK-info'!$B$2:$B$81,0))</f>
        <v>A</v>
      </c>
      <c r="BW3" s="307" t="str">
        <f>INDEX('SK-info'!$E$2:$E$81,MATCH('SK-ratios'!BW1,'SK-info'!$B$2:$B$81,0))</f>
        <v>C</v>
      </c>
      <c r="BX3" s="307" t="str">
        <f>INDEX('SK-info'!$E$2:$E$81,MATCH('SK-ratios'!BX1,'SK-info'!$B$2:$B$81,0))</f>
        <v>D</v>
      </c>
      <c r="BY3" s="307" t="str">
        <f>INDEX('SK-info'!$E$2:$E$81,MATCH('SK-ratios'!BY1,'SK-info'!$B$2:$B$81,0))</f>
        <v>H</v>
      </c>
      <c r="BZ3" s="307" t="str">
        <f>INDEX('SK-info'!$E$2:$E$81,MATCH('SK-ratios'!BZ1,'SK-info'!$B$2:$B$81,0))</f>
        <v>L</v>
      </c>
      <c r="CA3" s="307" t="str">
        <f>INDEX('SK-info'!$E$2:$E$81,MATCH('SK-ratios'!CA1,'SK-info'!$B$2:$B$81,0))</f>
        <v>H</v>
      </c>
      <c r="CB3" s="307" t="str">
        <f>INDEX('SK-info'!$E$2:$E$81,MATCH('SK-ratios'!CB1,'SK-info'!$B$2:$B$81,0))</f>
        <v>H</v>
      </c>
      <c r="CC3" s="307" t="str">
        <f>INDEX('SK-info'!$E$2:$E$81,MATCH('SK-ratios'!CC1,'SK-info'!$B$2:$B$81,0))</f>
        <v>H</v>
      </c>
      <c r="CD3" s="307" t="str">
        <f>INDEX('SK-info'!$E$2:$E$81,MATCH('SK-ratios'!CD1,'SK-info'!$B$2:$B$81,0))</f>
        <v>D</v>
      </c>
      <c r="CE3" s="307" t="str">
        <f>INDEX('SK-info'!$E$2:$E$81,MATCH('SK-ratios'!CE1,'SK-info'!$B$2:$B$81,0))</f>
        <v>N</v>
      </c>
      <c r="CF3" s="307" t="str">
        <f>INDEX('SK-info'!$E$2:$E$81,MATCH('SK-ratios'!CF1,'SK-info'!$B$2:$B$81,0))</f>
        <v>H</v>
      </c>
      <c r="CG3" s="307" t="str">
        <f>INDEX('SK-info'!$E$2:$E$81,MATCH('SK-ratios'!CG1,'SK-info'!$B$2:$B$81,0))</f>
        <v>D</v>
      </c>
      <c r="CH3" s="307" t="str">
        <f>INDEX('SK-info'!$E$2:$E$81,MATCH('SK-ratios'!CH1,'SK-info'!$B$2:$B$81,0))</f>
        <v>D</v>
      </c>
      <c r="CI3" s="307" t="str">
        <f>INDEX('SK-info'!$E$2:$E$81,MATCH('SK-ratios'!CI1,'SK-info'!$B$2:$B$81,0))</f>
        <v>E</v>
      </c>
      <c r="CJ3" s="307" t="str">
        <f>INDEX('SK-info'!$E$2:$E$81,MATCH('SK-ratios'!CJ1,'SK-info'!$B$2:$B$81,0))</f>
        <v>D</v>
      </c>
      <c r="CK3" s="307" t="str">
        <f>INDEX('SK-info'!$E$2:$E$81,MATCH('SK-ratios'!CK1,'SK-info'!$B$2:$B$81,0))</f>
        <v>Q</v>
      </c>
      <c r="CL3" s="307" t="str">
        <f>INDEX('SK-info'!$E$2:$E$81,MATCH('SK-ratios'!CL1,'SK-info'!$B$2:$B$81,0))</f>
        <v>L</v>
      </c>
      <c r="CM3" s="307" t="str">
        <f>INDEX('SK-info'!$E$2:$E$81,MATCH('SK-ratios'!CM1,'SK-info'!$B$2:$B$81,0))</f>
        <v>D</v>
      </c>
      <c r="CN3" s="307" t="str">
        <f>INDEX('SK-info'!$E$2:$E$81,MATCH('SK-ratios'!CN1,'SK-info'!$B$2:$B$81,0))</f>
        <v>Q</v>
      </c>
      <c r="CO3" s="307" t="str">
        <f>INDEX('SK-info'!$E$2:$E$81,MATCH('SK-ratios'!CO1,'SK-info'!$B$2:$B$81,0))</f>
        <v>Q</v>
      </c>
      <c r="CP3" s="307" t="str">
        <f>INDEX('SK-info'!$E$2:$E$81,MATCH('SK-ratios'!CP1,'SK-info'!$B$2:$B$81,0))</f>
        <v>M</v>
      </c>
      <c r="CQ3" s="307" t="str">
        <f>INDEX('SK-info'!$E$2:$E$81,MATCH('SK-ratios'!CQ1,'SK-info'!$B$2:$B$81,0))</f>
        <v>F</v>
      </c>
      <c r="CR3" s="307" t="str">
        <f>INDEX('SK-info'!$E$2:$E$81,MATCH('SK-ratios'!CR1,'SK-info'!$B$2:$B$81,0))</f>
        <v>M</v>
      </c>
      <c r="CS3" s="307" t="str">
        <f>INDEX('SK-info'!$E$2:$E$81,MATCH('SK-ratios'!CS1,'SK-info'!$B$2:$B$81,0))</f>
        <v>R</v>
      </c>
      <c r="CT3" s="307" t="str">
        <f>INDEX('SK-info'!$E$2:$E$81,MATCH('SK-ratios'!CT1,'SK-info'!$B$2:$B$81,0))</f>
        <v>H</v>
      </c>
      <c r="CU3" s="307" t="str">
        <f>INDEX('SK-info'!$E$2:$E$81,MATCH('SK-ratios'!CU1,'SK-info'!$B$2:$B$81,0))</f>
        <v>D</v>
      </c>
      <c r="CV3" s="307" t="str">
        <f>INDEX('SK-info'!$E$2:$E$81,MATCH('SK-ratios'!CV1,'SK-info'!$B$2:$B$81,0))</f>
        <v>H</v>
      </c>
      <c r="CW3" s="307" t="str">
        <f>INDEX('SK-info'!$E$2:$E$81,MATCH('SK-ratios'!CW1,'SK-info'!$B$2:$B$81,0))</f>
        <v>D</v>
      </c>
      <c r="CX3" s="307" t="str">
        <f>INDEX('SK-info'!$E$2:$E$81,MATCH('SK-ratios'!CX1,'SK-info'!$B$2:$B$81,0))</f>
        <v>A</v>
      </c>
      <c r="CY3" s="307" t="str">
        <f>INDEX('SK-info'!$E$2:$E$81,MATCH('SK-ratios'!CY1,'SK-info'!$B$2:$B$81,0))</f>
        <v>Q</v>
      </c>
      <c r="CZ3" s="307" t="str">
        <f>INDEX('SK-info'!$E$2:$E$81,MATCH('SK-ratios'!CZ1,'SK-info'!$B$2:$B$81,0))</f>
        <v>M</v>
      </c>
      <c r="DA3" s="307" t="str">
        <f>INDEX('SK-info'!$E$2:$E$81,MATCH('SK-ratios'!DA1,'SK-info'!$B$2:$B$81,0))</f>
        <v>Q</v>
      </c>
      <c r="DB3" s="307" t="str">
        <f>INDEX('SK-info'!$E$2:$E$81,MATCH('SK-ratios'!DB1,'SK-info'!$B$2:$B$81,0))</f>
        <v>Q</v>
      </c>
      <c r="DC3" s="307" t="str">
        <f>INDEX('SK-info'!$E$2:$E$81,MATCH('SK-ratios'!DC1,'SK-info'!$B$2:$B$81,0))</f>
        <v>M</v>
      </c>
      <c r="DD3" s="307" t="str">
        <f>INDEX('SK-info'!$E$2:$E$81,MATCH('SK-ratios'!DD1,'SK-info'!$B$2:$B$81,0))</f>
        <v>R</v>
      </c>
      <c r="DE3" s="307" t="str">
        <f>INDEX('SK-info'!$E$2:$E$81,MATCH('SK-ratios'!DE1,'SK-info'!$B$2:$B$81,0))</f>
        <v>H</v>
      </c>
      <c r="DF3" s="307" t="str">
        <f>INDEX('SK-info'!$E$2:$E$81,MATCH('SK-ratios'!DF1,'SK-info'!$B$2:$B$81,0))</f>
        <v>H</v>
      </c>
      <c r="DG3" s="307" t="str">
        <f>INDEX('SK-info'!$E$2:$E$81,MATCH('SK-ratios'!DG1,'SK-info'!$B$2:$B$81,0))</f>
        <v>H</v>
      </c>
    </row>
    <row r="4" spans="1:111" x14ac:dyDescent="0.25">
      <c r="D4" s="323" t="s">
        <v>1482</v>
      </c>
      <c r="I4" s="30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308"/>
      <c r="V4" s="428"/>
      <c r="W4" s="428"/>
      <c r="X4" s="308"/>
      <c r="Y4" s="308"/>
      <c r="Z4" s="308"/>
      <c r="AA4" s="308"/>
      <c r="AB4" s="308"/>
      <c r="AC4" s="307"/>
      <c r="AE4" s="428"/>
      <c r="AF4" s="307" t="str">
        <f>IF(OR(AF3="A",AF3="D",AF3="H",AF3="M",AF3="Q"),AF3,"other")</f>
        <v>other</v>
      </c>
      <c r="AG4" s="307" t="str">
        <f t="shared" ref="AG4:CR4" si="0">IF(OR(AG3="A",AG3="D",AG3="H",AG3="M",AG3="Q"),AG3,"other")</f>
        <v>other</v>
      </c>
      <c r="AH4" s="307" t="str">
        <f t="shared" si="0"/>
        <v>H</v>
      </c>
      <c r="AI4" s="307" t="str">
        <f t="shared" si="0"/>
        <v>H</v>
      </c>
      <c r="AJ4" s="307" t="str">
        <f t="shared" si="0"/>
        <v>other</v>
      </c>
      <c r="AK4" s="307" t="str">
        <f t="shared" si="0"/>
        <v>other</v>
      </c>
      <c r="AL4" s="307" t="str">
        <f t="shared" si="0"/>
        <v>Q</v>
      </c>
      <c r="AM4" s="307" t="str">
        <f t="shared" si="0"/>
        <v>H</v>
      </c>
      <c r="AN4" s="307" t="str">
        <f t="shared" si="0"/>
        <v>D</v>
      </c>
      <c r="AO4" s="307" t="str">
        <f t="shared" si="0"/>
        <v>H</v>
      </c>
      <c r="AP4" s="307" t="str">
        <f t="shared" si="0"/>
        <v>H</v>
      </c>
      <c r="AQ4" s="307" t="str">
        <f t="shared" si="0"/>
        <v>other</v>
      </c>
      <c r="AR4" s="307" t="str">
        <f t="shared" si="0"/>
        <v>other</v>
      </c>
      <c r="AS4" s="307" t="str">
        <f t="shared" si="0"/>
        <v>D</v>
      </c>
      <c r="AT4" s="307" t="str">
        <f t="shared" si="0"/>
        <v>H</v>
      </c>
      <c r="AU4" s="307" t="str">
        <f t="shared" si="0"/>
        <v>D</v>
      </c>
      <c r="AV4" s="307" t="str">
        <f t="shared" si="0"/>
        <v>H</v>
      </c>
      <c r="AW4" s="307" t="str">
        <f t="shared" si="0"/>
        <v>Q</v>
      </c>
      <c r="AX4" s="307" t="str">
        <f t="shared" si="0"/>
        <v>M</v>
      </c>
      <c r="AY4" s="307" t="str">
        <f t="shared" si="0"/>
        <v>D</v>
      </c>
      <c r="AZ4" s="307" t="str">
        <f t="shared" si="0"/>
        <v>other</v>
      </c>
      <c r="BA4" s="307" t="str">
        <f t="shared" si="0"/>
        <v>A</v>
      </c>
      <c r="BB4" s="307" t="str">
        <f t="shared" si="0"/>
        <v>A</v>
      </c>
      <c r="BC4" s="307" t="str">
        <f t="shared" si="0"/>
        <v>Q</v>
      </c>
      <c r="BD4" s="307" t="str">
        <f t="shared" si="0"/>
        <v>other</v>
      </c>
      <c r="BE4" s="307" t="str">
        <f t="shared" si="0"/>
        <v>H</v>
      </c>
      <c r="BF4" s="307" t="str">
        <f t="shared" si="0"/>
        <v>H</v>
      </c>
      <c r="BG4" s="307" t="str">
        <f t="shared" si="0"/>
        <v>H</v>
      </c>
      <c r="BH4" s="307" t="str">
        <f t="shared" si="0"/>
        <v>H</v>
      </c>
      <c r="BI4" s="307" t="str">
        <f t="shared" si="0"/>
        <v>H</v>
      </c>
      <c r="BJ4" s="307" t="str">
        <f t="shared" si="0"/>
        <v>H</v>
      </c>
      <c r="BK4" s="307" t="str">
        <f t="shared" si="0"/>
        <v>H</v>
      </c>
      <c r="BL4" s="307" t="str">
        <f t="shared" si="0"/>
        <v>D</v>
      </c>
      <c r="BM4" s="307" t="str">
        <f t="shared" si="0"/>
        <v>other</v>
      </c>
      <c r="BN4" s="307" t="str">
        <f t="shared" si="0"/>
        <v>H</v>
      </c>
      <c r="BO4" s="307" t="str">
        <f t="shared" si="0"/>
        <v>Q</v>
      </c>
      <c r="BP4" s="307" t="str">
        <f t="shared" si="0"/>
        <v>Q</v>
      </c>
      <c r="BQ4" s="307" t="str">
        <f t="shared" si="0"/>
        <v>Q</v>
      </c>
      <c r="BR4" s="307" t="str">
        <f t="shared" si="0"/>
        <v>Q</v>
      </c>
      <c r="BS4" s="307" t="str">
        <f t="shared" si="0"/>
        <v>Q</v>
      </c>
      <c r="BT4" s="307" t="str">
        <f t="shared" si="0"/>
        <v>Q</v>
      </c>
      <c r="BU4" s="307" t="str">
        <f t="shared" si="0"/>
        <v>Q</v>
      </c>
      <c r="BV4" s="307" t="str">
        <f t="shared" si="0"/>
        <v>A</v>
      </c>
      <c r="BW4" s="307" t="str">
        <f t="shared" si="0"/>
        <v>other</v>
      </c>
      <c r="BX4" s="307" t="str">
        <f t="shared" si="0"/>
        <v>D</v>
      </c>
      <c r="BY4" s="307" t="str">
        <f t="shared" si="0"/>
        <v>H</v>
      </c>
      <c r="BZ4" s="307" t="str">
        <f t="shared" si="0"/>
        <v>other</v>
      </c>
      <c r="CA4" s="307" t="str">
        <f t="shared" si="0"/>
        <v>H</v>
      </c>
      <c r="CB4" s="307" t="str">
        <f t="shared" si="0"/>
        <v>H</v>
      </c>
      <c r="CC4" s="307" t="str">
        <f t="shared" si="0"/>
        <v>H</v>
      </c>
      <c r="CD4" s="307" t="str">
        <f t="shared" si="0"/>
        <v>D</v>
      </c>
      <c r="CE4" s="307" t="str">
        <f t="shared" si="0"/>
        <v>other</v>
      </c>
      <c r="CF4" s="307" t="str">
        <f t="shared" si="0"/>
        <v>H</v>
      </c>
      <c r="CG4" s="307" t="str">
        <f t="shared" si="0"/>
        <v>D</v>
      </c>
      <c r="CH4" s="307" t="str">
        <f t="shared" si="0"/>
        <v>D</v>
      </c>
      <c r="CI4" s="307" t="str">
        <f t="shared" si="0"/>
        <v>other</v>
      </c>
      <c r="CJ4" s="307" t="str">
        <f t="shared" si="0"/>
        <v>D</v>
      </c>
      <c r="CK4" s="307" t="str">
        <f t="shared" si="0"/>
        <v>Q</v>
      </c>
      <c r="CL4" s="307" t="str">
        <f t="shared" si="0"/>
        <v>other</v>
      </c>
      <c r="CM4" s="307" t="str">
        <f t="shared" si="0"/>
        <v>D</v>
      </c>
      <c r="CN4" s="307" t="str">
        <f t="shared" si="0"/>
        <v>Q</v>
      </c>
      <c r="CO4" s="307" t="str">
        <f t="shared" si="0"/>
        <v>Q</v>
      </c>
      <c r="CP4" s="307" t="str">
        <f t="shared" si="0"/>
        <v>M</v>
      </c>
      <c r="CQ4" s="307" t="str">
        <f t="shared" si="0"/>
        <v>other</v>
      </c>
      <c r="CR4" s="307" t="str">
        <f t="shared" si="0"/>
        <v>M</v>
      </c>
      <c r="CS4" s="307" t="str">
        <f t="shared" ref="CS4:DG4" si="1">IF(OR(CS3="A",CS3="D",CS3="H",CS3="M",CS3="Q"),CS3,"other")</f>
        <v>other</v>
      </c>
      <c r="CT4" s="307" t="str">
        <f t="shared" si="1"/>
        <v>H</v>
      </c>
      <c r="CU4" s="307" t="str">
        <f t="shared" si="1"/>
        <v>D</v>
      </c>
      <c r="CV4" s="307" t="str">
        <f t="shared" si="1"/>
        <v>H</v>
      </c>
      <c r="CW4" s="307" t="str">
        <f t="shared" si="1"/>
        <v>D</v>
      </c>
      <c r="CX4" s="307" t="str">
        <f t="shared" si="1"/>
        <v>A</v>
      </c>
      <c r="CY4" s="307" t="str">
        <f t="shared" si="1"/>
        <v>Q</v>
      </c>
      <c r="CZ4" s="307" t="str">
        <f t="shared" si="1"/>
        <v>M</v>
      </c>
      <c r="DA4" s="307" t="str">
        <f t="shared" si="1"/>
        <v>Q</v>
      </c>
      <c r="DB4" s="307" t="str">
        <f t="shared" si="1"/>
        <v>Q</v>
      </c>
      <c r="DC4" s="307" t="str">
        <f t="shared" si="1"/>
        <v>M</v>
      </c>
      <c r="DD4" s="307" t="str">
        <f t="shared" si="1"/>
        <v>other</v>
      </c>
      <c r="DE4" s="307" t="str">
        <f t="shared" si="1"/>
        <v>H</v>
      </c>
      <c r="DF4" s="307" t="str">
        <f t="shared" si="1"/>
        <v>H</v>
      </c>
      <c r="DG4" s="307" t="str">
        <f t="shared" si="1"/>
        <v>H</v>
      </c>
    </row>
    <row r="5" spans="1:111" x14ac:dyDescent="0.25">
      <c r="D5" s="323" t="s">
        <v>1481</v>
      </c>
      <c r="F5" s="323" t="s">
        <v>1537</v>
      </c>
      <c r="I5" s="30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308" t="s">
        <v>1506</v>
      </c>
      <c r="V5" s="428"/>
      <c r="W5" s="428"/>
      <c r="X5" s="308"/>
      <c r="Y5" s="645" t="s">
        <v>399</v>
      </c>
      <c r="Z5" s="645"/>
      <c r="AA5" s="645"/>
      <c r="AB5" s="645"/>
      <c r="AC5" s="645"/>
      <c r="AE5" s="428"/>
      <c r="AF5" s="555">
        <f>IF($F5="const",1,IF($F5="full",'SK-data'!F152/1000,IF(LEFT($F5,3)="pow",(('SK-data'!F152)^(VALUE(MID($F5,6,10))))/1000,"n/a")))</f>
        <v>0.10526357684725458</v>
      </c>
      <c r="AG5" s="555">
        <f>IF($F5="const",1,IF($F5="full",'SK-data'!G152/1000,IF(LEFT($F5,3)="pow",(('SK-data'!G152)^(VALUE(MID($F5,6,10))))/1000,"n/a")))</f>
        <v>0.18154377573481928</v>
      </c>
      <c r="AH5" s="555">
        <f>IF($F5="const",1,IF($F5="full",'SK-data'!H152/1000,IF(LEFT($F5,3)="pow",(('SK-data'!H152)^(VALUE(MID($F5,6,10))))/1000,"n/a")))</f>
        <v>0.27976315817403735</v>
      </c>
      <c r="AI5" s="555">
        <f>IF($F5="const",1,IF($F5="full",'SK-data'!I152/1000,IF(LEFT($F5,3)="pow",(('SK-data'!I152)^(VALUE(MID($F5,6,10))))/1000,"n/a")))</f>
        <v>0.26730015205473501</v>
      </c>
      <c r="AJ5" s="555">
        <f>IF($F5="const",1,IF($F5="full",'SK-data'!J152/1000,IF(LEFT($F5,3)="pow",(('SK-data'!J152)^(VALUE(MID($F5,6,10))))/1000,"n/a")))</f>
        <v>0.21003806833768621</v>
      </c>
      <c r="AK5" s="555">
        <f>IF($F5="const",1,IF($F5="full",'SK-data'!K152/1000,IF(LEFT($F5,3)="pow",(('SK-data'!K152)^(VALUE(MID($F5,6,10))))/1000,"n/a")))</f>
        <v>0.22369006968436153</v>
      </c>
      <c r="AL5" s="555">
        <f>IF($F5="const",1,IF($F5="full",'SK-data'!L152/1000,IF(LEFT($F5,3)="pow",(('SK-data'!L152)^(VALUE(MID($F5,6,10))))/1000,"n/a")))</f>
        <v>0.1749349097554975</v>
      </c>
      <c r="AM5" s="555">
        <f>IF($F5="const",1,IF($F5="full",'SK-data'!M152/1000,IF(LEFT($F5,3)="pow",(('SK-data'!M152)^(VALUE(MID($F5,6,10))))/1000,"n/a")))</f>
        <v>0.5337858074256816</v>
      </c>
      <c r="AN5" s="555">
        <f>IF($F5="const",1,IF($F5="full",'SK-data'!N152/1000,IF(LEFT($F5,3)="pow",(('SK-data'!N152)^(VALUE(MID($F5,6,10))))/1000,"n/a")))</f>
        <v>0.63073661457462393</v>
      </c>
      <c r="AO5" s="555">
        <f>IF($F5="const",1,IF($F5="full",'SK-data'!O152/1000,IF(LEFT($F5,3)="pow",(('SK-data'!O152)^(VALUE(MID($F5,6,10))))/1000,"n/a")))</f>
        <v>0.46905006234646984</v>
      </c>
      <c r="AP5" s="555">
        <f>IF($F5="const",1,IF($F5="full",'SK-data'!P152/1000,IF(LEFT($F5,3)="pow",(('SK-data'!P152)^(VALUE(MID($F5,6,10))))/1000,"n/a")))</f>
        <v>0.27399594455174836</v>
      </c>
      <c r="AQ5" s="555">
        <f>IF($F5="const",1,IF($F5="full",'SK-data'!Q152/1000,IF(LEFT($F5,3)="pow",(('SK-data'!Q152)^(VALUE(MID($F5,6,10))))/1000,"n/a")))</f>
        <v>8.0347352889692691E-2</v>
      </c>
      <c r="AR5" s="555">
        <f>IF($F5="const",1,IF($F5="full",'SK-data'!R152/1000,IF(LEFT($F5,3)="pow",(('SK-data'!R152)^(VALUE(MID($F5,6,10))))/1000,"n/a")))</f>
        <v>0.34256745248702314</v>
      </c>
      <c r="AS5" s="555">
        <f>IF($F5="const",1,IF($F5="full",'SK-data'!S152/1000,IF(LEFT($F5,3)="pow",(('SK-data'!S152)^(VALUE(MID($F5,6,10))))/1000,"n/a")))</f>
        <v>0.59286334874856472</v>
      </c>
      <c r="AT5" s="555">
        <f>IF($F5="const",1,IF($F5="full",'SK-data'!T152/1000,IF(LEFT($F5,3)="pow",(('SK-data'!T152)^(VALUE(MID($F5,6,10))))/1000,"n/a")))</f>
        <v>0.23827765688379099</v>
      </c>
      <c r="AU5" s="555">
        <f>IF($F5="const",1,IF($F5="full",'SK-data'!U152/1000,IF(LEFT($F5,3)="pow",(('SK-data'!U152)^(VALUE(MID($F5,6,10))))/1000,"n/a")))</f>
        <v>0.91907954086535937</v>
      </c>
      <c r="AV5" s="555">
        <f>IF($F5="const",1,IF($F5="full",'SK-data'!V152/1000,IF(LEFT($F5,3)="pow",(('SK-data'!V152)^(VALUE(MID($F5,6,10))))/1000,"n/a")))</f>
        <v>0.26337103261803518</v>
      </c>
      <c r="AW5" s="555">
        <f>IF($F5="const",1,IF($F5="full",'SK-data'!W152/1000,IF(LEFT($F5,3)="pow",(('SK-data'!W152)^(VALUE(MID($F5,6,10))))/1000,"n/a")))</f>
        <v>0.18526832627814949</v>
      </c>
      <c r="AX5" s="555">
        <f>IF($F5="const",1,IF($F5="full",'SK-data'!X152/1000,IF(LEFT($F5,3)="pow",(('SK-data'!X152)^(VALUE(MID($F5,6,10))))/1000,"n/a")))</f>
        <v>9.8242532368017263E-2</v>
      </c>
      <c r="AY5" s="555">
        <f>IF($F5="const",1,IF($F5="full",'SK-data'!Y152/1000,IF(LEFT($F5,3)="pow",(('SK-data'!Y152)^(VALUE(MID($F5,6,10))))/1000,"n/a")))</f>
        <v>0.70403739425569201</v>
      </c>
      <c r="AZ5" s="555">
        <f>IF($F5="const",1,IF($F5="full",'SK-data'!Z152/1000,IF(LEFT($F5,3)="pow",(('SK-data'!Z152)^(VALUE(MID($F5,6,10))))/1000,"n/a")))</f>
        <v>0.35214620510684785</v>
      </c>
      <c r="BA5" s="555">
        <f>IF($F5="const",1,IF($F5="full",'SK-data'!AA152/1000,IF(LEFT($F5,3)="pow",(('SK-data'!AA152)^(VALUE(MID($F5,6,10))))/1000,"n/a")))</f>
        <v>0.18393987915838847</v>
      </c>
      <c r="BB5" s="555">
        <f>IF($F5="const",1,IF($F5="full",'SK-data'!AB152/1000,IF(LEFT($F5,3)="pow",(('SK-data'!AB152)^(VALUE(MID($F5,6,10))))/1000,"n/a")))</f>
        <v>0.59906136494632534</v>
      </c>
      <c r="BC5" s="555">
        <f>IF($F5="const",1,IF($F5="full",'SK-data'!AC152/1000,IF(LEFT($F5,3)="pow",(('SK-data'!AC152)^(VALUE(MID($F5,6,10))))/1000,"n/a")))</f>
        <v>0.16657814659755363</v>
      </c>
      <c r="BD5" s="555">
        <f>IF($F5="const",1,IF($F5="full",'SK-data'!AD152/1000,IF(LEFT($F5,3)="pow",(('SK-data'!AD152)^(VALUE(MID($F5,6,10))))/1000,"n/a")))</f>
        <v>0.21493084515624014</v>
      </c>
      <c r="BE5" s="555">
        <f>IF($F5="const",1,IF($F5="full",'SK-data'!AE152/1000,IF(LEFT($F5,3)="pow",(('SK-data'!AE152)^(VALUE(MID($F5,6,10))))/1000,"n/a")))</f>
        <v>0.20159263049536716</v>
      </c>
      <c r="BF5" s="555">
        <f>IF($F5="const",1,IF($F5="full",'SK-data'!AF152/1000,IF(LEFT($F5,3)="pow",(('SK-data'!AF152)^(VALUE(MID($F5,6,10))))/1000,"n/a")))</f>
        <v>0.27329196953344603</v>
      </c>
      <c r="BG5" s="555">
        <f>IF($F5="const",1,IF($F5="full",'SK-data'!AG152/1000,IF(LEFT($F5,3)="pow",(('SK-data'!AG152)^(VALUE(MID($F5,6,10))))/1000,"n/a")))</f>
        <v>7.9598844788793227E-2</v>
      </c>
      <c r="BH5" s="555">
        <f>IF($F5="const",1,IF($F5="full",'SK-data'!AH152/1000,IF(LEFT($F5,3)="pow",(('SK-data'!AH152)^(VALUE(MID($F5,6,10))))/1000,"n/a")))</f>
        <v>0.11711054516307949</v>
      </c>
      <c r="BI5" s="555">
        <f>IF($F5="const",1,IF($F5="full",'SK-data'!AI152/1000,IF(LEFT($F5,3)="pow",(('SK-data'!AI152)^(VALUE(MID($F5,6,10))))/1000,"n/a")))</f>
        <v>0.1170750746935138</v>
      </c>
      <c r="BJ5" s="555">
        <f>IF($F5="const",1,IF($F5="full",'SK-data'!AJ152/1000,IF(LEFT($F5,3)="pow",(('SK-data'!AJ152)^(VALUE(MID($F5,6,10))))/1000,"n/a")))</f>
        <v>9.718985013648003E-2</v>
      </c>
      <c r="BK5" s="555">
        <f>IF($F5="const",1,IF($F5="full",'SK-data'!AK152/1000,IF(LEFT($F5,3)="pow",(('SK-data'!AK152)^(VALUE(MID($F5,6,10))))/1000,"n/a")))</f>
        <v>0.40206376455687159</v>
      </c>
      <c r="BL5" s="555">
        <f>IF($F5="const",1,IF($F5="full",'SK-data'!AL152/1000,IF(LEFT($F5,3)="pow",(('SK-data'!AL152)^(VALUE(MID($F5,6,10))))/1000,"n/a")))</f>
        <v>0.48112445212236588</v>
      </c>
      <c r="BM5" s="555">
        <f>IF($F5="const",1,IF($F5="full",'SK-data'!AM152/1000,IF(LEFT($F5,3)="pow",(('SK-data'!AM152)^(VALUE(MID($F5,6,10))))/1000,"n/a")))</f>
        <v>0.29479788109880761</v>
      </c>
      <c r="BN5" s="555">
        <f>IF($F5="const",1,IF($F5="full",'SK-data'!AN152/1000,IF(LEFT($F5,3)="pow",(('SK-data'!AN152)^(VALUE(MID($F5,6,10))))/1000,"n/a")))</f>
        <v>0.68143282559062468</v>
      </c>
      <c r="BO5" s="555">
        <f>IF($F5="const",1,IF($F5="full",'SK-data'!AO152/1000,IF(LEFT($F5,3)="pow",(('SK-data'!AO152)^(VALUE(MID($F5,6,10))))/1000,"n/a")))</f>
        <v>0.42658980774704641</v>
      </c>
      <c r="BP5" s="555">
        <f>IF($F5="const",1,IF($F5="full",'SK-data'!AP152/1000,IF(LEFT($F5,3)="pow",(('SK-data'!AP152)^(VALUE(MID($F5,6,10))))/1000,"n/a")))</f>
        <v>0.31196334190921243</v>
      </c>
      <c r="BQ5" s="555">
        <f>IF($F5="const",1,IF($F5="full",'SK-data'!AQ152/1000,IF(LEFT($F5,3)="pow",(('SK-data'!AQ152)^(VALUE(MID($F5,6,10))))/1000,"n/a")))</f>
        <v>0.33616695562112325</v>
      </c>
      <c r="BR5" s="555">
        <f>IF($F5="const",1,IF($F5="full",'SK-data'!AR152/1000,IF(LEFT($F5,3)="pow",(('SK-data'!AR152)^(VALUE(MID($F5,6,10))))/1000,"n/a")))</f>
        <v>0.24262212551325105</v>
      </c>
      <c r="BS5" s="555">
        <f>IF($F5="const",1,IF($F5="full",'SK-data'!AS152/1000,IF(LEFT($F5,3)="pow",(('SK-data'!AS152)^(VALUE(MID($F5,6,10))))/1000,"n/a")))</f>
        <v>0.2688910284581586</v>
      </c>
      <c r="BT5" s="555">
        <f>IF($F5="const",1,IF($F5="full",'SK-data'!AT152/1000,IF(LEFT($F5,3)="pow",(('SK-data'!AT152)^(VALUE(MID($F5,6,10))))/1000,"n/a")))</f>
        <v>0.23195304264537731</v>
      </c>
      <c r="BU5" s="555">
        <f>IF($F5="const",1,IF($F5="full",'SK-data'!AU152/1000,IF(LEFT($F5,3)="pow",(('SK-data'!AU152)^(VALUE(MID($F5,6,10))))/1000,"n/a")))</f>
        <v>0.24947725917948055</v>
      </c>
      <c r="BV5" s="555">
        <f>IF($F5="const",1,IF($F5="full",'SK-data'!AV152/1000,IF(LEFT($F5,3)="pow",(('SK-data'!AV152)^(VALUE(MID($F5,6,10))))/1000,"n/a")))</f>
        <v>0.25710379539865558</v>
      </c>
      <c r="BW5" s="555">
        <f>IF($F5="const",1,IF($F5="full",'SK-data'!AW152/1000,IF(LEFT($F5,3)="pow",(('SK-data'!AW152)^(VALUE(MID($F5,6,10))))/1000,"n/a")))</f>
        <v>0.19526150495352934</v>
      </c>
      <c r="BX5" s="555">
        <f>IF($F5="const",1,IF($F5="full",'SK-data'!AX152/1000,IF(LEFT($F5,3)="pow",(('SK-data'!AX152)^(VALUE(MID($F5,6,10))))/1000,"n/a")))</f>
        <v>0.47678679152913439</v>
      </c>
      <c r="BY5" s="555">
        <f>IF($F5="const",1,IF($F5="full",'SK-data'!AY152/1000,IF(LEFT($F5,3)="pow",(('SK-data'!AY152)^(VALUE(MID($F5,6,10))))/1000,"n/a")))</f>
        <v>0.35595371700901074</v>
      </c>
      <c r="BZ5" s="555">
        <f>IF($F5="const",1,IF($F5="full",'SK-data'!AZ152/1000,IF(LEFT($F5,3)="pow",(('SK-data'!AZ152)^(VALUE(MID($F5,6,10))))/1000,"n/a")))</f>
        <v>0.12176686620629749</v>
      </c>
      <c r="CA5" s="555">
        <f>IF($F5="const",1,IF($F5="full",'SK-data'!BA152/1000,IF(LEFT($F5,3)="pow",(('SK-data'!BA152)^(VALUE(MID($F5,6,10))))/1000,"n/a")))</f>
        <v>0.26054792154719003</v>
      </c>
      <c r="CB5" s="555">
        <f>IF($F5="const",1,IF($F5="full",'SK-data'!BB152/1000,IF(LEFT($F5,3)="pow",(('SK-data'!BB152)^(VALUE(MID($F5,6,10))))/1000,"n/a")))</f>
        <v>0.32646493807910332</v>
      </c>
      <c r="CC5" s="555">
        <f>IF($F5="const",1,IF($F5="full",'SK-data'!BC152/1000,IF(LEFT($F5,3)="pow",(('SK-data'!BC152)^(VALUE(MID($F5,6,10))))/1000,"n/a")))</f>
        <v>0.29877666624039839</v>
      </c>
      <c r="CD5" s="555">
        <f>IF($F5="const",1,IF($F5="full",'SK-data'!BD152/1000,IF(LEFT($F5,3)="pow",(('SK-data'!BD152)^(VALUE(MID($F5,6,10))))/1000,"n/a")))</f>
        <v>0.73727945347289259</v>
      </c>
      <c r="CE5" s="555">
        <f>IF($F5="const",1,IF($F5="full",'SK-data'!BE152/1000,IF(LEFT($F5,3)="pow",(('SK-data'!BE152)^(VALUE(MID($F5,6,10))))/1000,"n/a")))</f>
        <v>0.22250090576047576</v>
      </c>
      <c r="CF5" s="555">
        <f>IF($F5="const",1,IF($F5="full",'SK-data'!BF152/1000,IF(LEFT($F5,3)="pow",(('SK-data'!BF152)^(VALUE(MID($F5,6,10))))/1000,"n/a")))</f>
        <v>0.67412250955690534</v>
      </c>
      <c r="CG5" s="555">
        <f>IF($F5="const",1,IF($F5="full",'SK-data'!BG152/1000,IF(LEFT($F5,3)="pow",(('SK-data'!BG152)^(VALUE(MID($F5,6,10))))/1000,"n/a")))</f>
        <v>1.2881764345797724</v>
      </c>
      <c r="CH5" s="555">
        <f>IF($F5="const",1,IF($F5="full",'SK-data'!BH152/1000,IF(LEFT($F5,3)="pow",(('SK-data'!BH152)^(VALUE(MID($F5,6,10))))/1000,"n/a")))</f>
        <v>1.1004056366294168</v>
      </c>
      <c r="CI5" s="555">
        <f>IF($F5="const",1,IF($F5="full",'SK-data'!BI152/1000,IF(LEFT($F5,3)="pow",(('SK-data'!BI152)^(VALUE(MID($F5,6,10))))/1000,"n/a")))</f>
        <v>0.4148633444667183</v>
      </c>
      <c r="CJ5" s="555">
        <f>IF($F5="const",1,IF($F5="full",'SK-data'!BJ152/1000,IF(LEFT($F5,3)="pow",(('SK-data'!BJ152)^(VALUE(MID($F5,6,10))))/1000,"n/a")))</f>
        <v>0.34870713850724833</v>
      </c>
      <c r="CK5" s="555">
        <f>IF($F5="const",1,IF($F5="full",'SK-data'!BK152/1000,IF(LEFT($F5,3)="pow",(('SK-data'!BK152)^(VALUE(MID($F5,6,10))))/1000,"n/a")))</f>
        <v>0.14253879990649582</v>
      </c>
      <c r="CL5" s="555">
        <f>IF($F5="const",1,IF($F5="full",'SK-data'!BL152/1000,IF(LEFT($F5,3)="pow",(('SK-data'!BL152)^(VALUE(MID($F5,6,10))))/1000,"n/a")))</f>
        <v>0.1601260657299613</v>
      </c>
      <c r="CM5" s="555">
        <f>IF($F5="const",1,IF($F5="full",'SK-data'!BM152/1000,IF(LEFT($F5,3)="pow",(('SK-data'!BM152)^(VALUE(MID($F5,6,10))))/1000,"n/a")))</f>
        <v>0.88034254995505745</v>
      </c>
      <c r="CN5" s="555">
        <f>IF($F5="const",1,IF($F5="full",'SK-data'!BN152/1000,IF(LEFT($F5,3)="pow",(('SK-data'!BN152)^(VALUE(MID($F5,6,10))))/1000,"n/a")))</f>
        <v>0.35256729892876199</v>
      </c>
      <c r="CO5" s="555">
        <f>IF($F5="const",1,IF($F5="full",'SK-data'!BO152/1000,IF(LEFT($F5,3)="pow",(('SK-data'!BO152)^(VALUE(MID($F5,6,10))))/1000,"n/a")))</f>
        <v>0.15402243987616235</v>
      </c>
      <c r="CP5" s="555">
        <f>IF($F5="const",1,IF($F5="full",'SK-data'!BP152/1000,IF(LEFT($F5,3)="pow",(('SK-data'!BP152)^(VALUE(MID($F5,6,10))))/1000,"n/a")))</f>
        <v>0.17388850513390144</v>
      </c>
      <c r="CQ5" s="555">
        <f>IF($F5="const",1,IF($F5="full",'SK-data'!BQ152/1000,IF(LEFT($F5,3)="pow",(('SK-data'!BQ152)^(VALUE(MID($F5,6,10))))/1000,"n/a")))</f>
        <v>0.12511574611792478</v>
      </c>
      <c r="CR5" s="555">
        <f>IF($F5="const",1,IF($F5="full",'SK-data'!BR152/1000,IF(LEFT($F5,3)="pow",(('SK-data'!BR152)^(VALUE(MID($F5,6,10))))/1000,"n/a")))</f>
        <v>0.14063173233309598</v>
      </c>
      <c r="CS5" s="555">
        <f>IF($F5="const",1,IF($F5="full",'SK-data'!BS152/1000,IF(LEFT($F5,3)="pow",(('SK-data'!BS152)^(VALUE(MID($F5,6,10))))/1000,"n/a")))</f>
        <v>0.75120010947544624</v>
      </c>
      <c r="CT5" s="555">
        <f>IF($F5="const",1,IF($F5="full",'SK-data'!BT152/1000,IF(LEFT($F5,3)="pow",(('SK-data'!BT152)^(VALUE(MID($F5,6,10))))/1000,"n/a")))</f>
        <v>0.3819954537013992</v>
      </c>
      <c r="CU5" s="555">
        <f>IF($F5="const",1,IF($F5="full",'SK-data'!BU152/1000,IF(LEFT($F5,3)="pow",(('SK-data'!BU152)^(VALUE(MID($F5,6,10))))/1000,"n/a")))</f>
        <v>0.35972069681295304</v>
      </c>
      <c r="CV5" s="555">
        <f>IF($F5="const",1,IF($F5="full",'SK-data'!BV152/1000,IF(LEFT($F5,3)="pow",(('SK-data'!BV152)^(VALUE(MID($F5,6,10))))/1000,"n/a")))</f>
        <v>0.13798766191004261</v>
      </c>
      <c r="CW5" s="555">
        <f>IF($F5="const",1,IF($F5="full",'SK-data'!BW152/1000,IF(LEFT($F5,3)="pow",(('SK-data'!BW152)^(VALUE(MID($F5,6,10))))/1000,"n/a")))</f>
        <v>0.4398837240912471</v>
      </c>
      <c r="CX5" s="555">
        <f>IF($F5="const",1,IF($F5="full",'SK-data'!BX152/1000,IF(LEFT($F5,3)="pow",(('SK-data'!BX152)^(VALUE(MID($F5,6,10))))/1000,"n/a")))</f>
        <v>0.25116359090307966</v>
      </c>
      <c r="CY5" s="555">
        <f>IF($F5="const",1,IF($F5="full",'SK-data'!BY152/1000,IF(LEFT($F5,3)="pow",(('SK-data'!BY152)^(VALUE(MID($F5,6,10))))/1000,"n/a")))</f>
        <v>0.23520382406527066</v>
      </c>
      <c r="CZ5" s="555">
        <f>IF($F5="const",1,IF($F5="full",'SK-data'!BZ152/1000,IF(LEFT($F5,3)="pow",(('SK-data'!BZ152)^(VALUE(MID($F5,6,10))))/1000,"n/a")))</f>
        <v>0.29252871288520926</v>
      </c>
      <c r="DA5" s="555">
        <f>IF($F5="const",1,IF($F5="full",'SK-data'!CA152/1000,IF(LEFT($F5,3)="pow",(('SK-data'!CA152)^(VALUE(MID($F5,6,10))))/1000,"n/a")))</f>
        <v>0.26762947894357286</v>
      </c>
      <c r="DB5" s="555">
        <f>IF($F5="const",1,IF($F5="full",'SK-data'!CB152/1000,IF(LEFT($F5,3)="pow",(('SK-data'!CB152)^(VALUE(MID($F5,6,10))))/1000,"n/a")))</f>
        <v>0.38525548711624374</v>
      </c>
      <c r="DC5" s="555">
        <f>IF($F5="const",1,IF($F5="full",'SK-data'!CC152/1000,IF(LEFT($F5,3)="pow",(('SK-data'!CC152)^(VALUE(MID($F5,6,10))))/1000,"n/a")))</f>
        <v>0.34985367356591734</v>
      </c>
      <c r="DD5" s="555">
        <f>IF($F5="const",1,IF($F5="full",'SK-data'!CD152/1000,IF(LEFT($F5,3)="pow",(('SK-data'!CD152)^(VALUE(MID($F5,6,10))))/1000,"n/a")))</f>
        <v>9.2508496809559873E-2</v>
      </c>
      <c r="DE5" s="555">
        <f>IF($F5="const",1,IF($F5="full",'SK-data'!CE152/1000,IF(LEFT($F5,3)="pow",(('SK-data'!CE152)^(VALUE(MID($F5,6,10))))/1000,"n/a")))</f>
        <v>0.54874852989053158</v>
      </c>
      <c r="DF5" s="555">
        <f>IF($F5="const",1,IF($F5="full",'SK-data'!CF152/1000,IF(LEFT($F5,3)="pow",(('SK-data'!CF152)^(VALUE(MID($F5,6,10))))/1000,"n/a")))</f>
        <v>0.64537528594150739</v>
      </c>
      <c r="DG5" s="555">
        <f>IF($F5="const",1,IF($F5="full",'SK-data'!CG152/1000,IF(LEFT($F5,3)="pow",(('SK-data'!CG152)^(VALUE(MID($F5,6,10))))/1000,"n/a")))</f>
        <v>0.6812023230821127</v>
      </c>
    </row>
    <row r="6" spans="1:111" ht="15.75" thickBot="1" x14ac:dyDescent="0.3">
      <c r="Y6" s="238">
        <v>0</v>
      </c>
      <c r="Z6" s="238">
        <v>2.5</v>
      </c>
      <c r="AA6" s="238">
        <v>5</v>
      </c>
      <c r="AB6" s="308">
        <v>7.5</v>
      </c>
      <c r="AC6" s="308">
        <v>10</v>
      </c>
    </row>
    <row r="7" spans="1:111" s="429" customFormat="1" ht="15.75" customHeight="1" thickBot="1" x14ac:dyDescent="0.3">
      <c r="A7" s="639">
        <f>'MD-ratings-year'!A4</f>
        <v>0.25</v>
      </c>
      <c r="B7" s="668" t="str">
        <f>'MD-ratings-year'!B4</f>
        <v>Liquidity</v>
      </c>
      <c r="C7" s="418">
        <f>'MD-ratings-year'!C4</f>
        <v>8.3333333333333329E-2</v>
      </c>
      <c r="D7" s="419" t="str">
        <f>'MD-ratings-year'!D4</f>
        <v>Current Ratio</v>
      </c>
      <c r="E7" s="419" t="s">
        <v>1447</v>
      </c>
      <c r="F7" s="420" t="str">
        <f>'MD-ratings-year'!E4</f>
        <v>Current Assets ÷ Current Liabilities</v>
      </c>
      <c r="G7" s="421" t="s">
        <v>400</v>
      </c>
      <c r="H7" s="653">
        <v>2015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6">
        <f>'MD-ratios'!U7</f>
        <v>64.774094569508634</v>
      </c>
      <c r="V7" s="259"/>
      <c r="W7" s="259"/>
      <c r="X7" s="259"/>
      <c r="Y7" s="260">
        <f>'MD-ratings-year'!P4</f>
        <v>0</v>
      </c>
      <c r="Z7" s="567">
        <f>'MD-ratings-year'!Q4</f>
        <v>0.73879197877818914</v>
      </c>
      <c r="AA7" s="567">
        <f>'MD-ratings-year'!R4</f>
        <v>1.6084478783348244</v>
      </c>
      <c r="AB7" s="567">
        <f>'MD-ratings-year'!S4</f>
        <v>3.5018038252098243</v>
      </c>
      <c r="AC7" s="260">
        <f>'MD-ratings-year'!T4</f>
        <v>12.785177209563054</v>
      </c>
      <c r="AD7" s="551"/>
      <c r="AE7" s="259"/>
      <c r="AF7" s="454">
        <f>('SK-data'!F73 + 'SK-data'!F68 + 'SK-data'!F55 + 'SK-data'!F36)/'SK-data'!F126</f>
        <v>10.598629980354042</v>
      </c>
      <c r="AG7" s="454">
        <f>('SK-data'!G73 + 'SK-data'!G68 + 'SK-data'!G55 + 'SK-data'!G36)/'SK-data'!G126</f>
        <v>11.792468927060119</v>
      </c>
      <c r="AH7" s="454">
        <f>('SK-data'!H73 + 'SK-data'!H68 + 'SK-data'!H55 + 'SK-data'!H36)/'SK-data'!H126</f>
        <v>0.77063425591386603</v>
      </c>
      <c r="AI7" s="454">
        <f>('SK-data'!I73 + 'SK-data'!I68 + 'SK-data'!I55 + 'SK-data'!I36)/'SK-data'!I126</f>
        <v>0.48025020247315098</v>
      </c>
      <c r="AJ7" s="454">
        <f>('SK-data'!J73 + 'SK-data'!J68 + 'SK-data'!J55 + 'SK-data'!J36)/'SK-data'!J126</f>
        <v>0.55118938895432057</v>
      </c>
      <c r="AK7" s="454">
        <f>('SK-data'!K73 + 'SK-data'!K68 + 'SK-data'!K55 + 'SK-data'!K36)/'SK-data'!K126</f>
        <v>1.9319965003156567</v>
      </c>
      <c r="AL7" s="454">
        <f>('SK-data'!L73 + 'SK-data'!L68 + 'SK-data'!L55 + 'SK-data'!L36)/'SK-data'!L126</f>
        <v>1.9736159210217035</v>
      </c>
      <c r="AM7" s="454">
        <f>('SK-data'!M73 + 'SK-data'!M68 + 'SK-data'!M55 + 'SK-data'!M36)/'SK-data'!M126</f>
        <v>2.3940166265868457</v>
      </c>
      <c r="AN7" s="454">
        <f>('SK-data'!N73 + 'SK-data'!N68 + 'SK-data'!N55 + 'SK-data'!N36)/'SK-data'!N126</f>
        <v>1.4675914458740018</v>
      </c>
      <c r="AO7" s="454">
        <f>('SK-data'!O73 + 'SK-data'!O68 + 'SK-data'!O55 + 'SK-data'!O36)/'SK-data'!O126</f>
        <v>1.1611055213735055</v>
      </c>
      <c r="AP7" s="454">
        <f>('SK-data'!P73 + 'SK-data'!P68 + 'SK-data'!P55 + 'SK-data'!P36)/'SK-data'!P126</f>
        <v>2.3192205524434999</v>
      </c>
      <c r="AQ7" s="454">
        <f>('SK-data'!Q73 + 'SK-data'!Q68 + 'SK-data'!Q55 + 'SK-data'!Q36)/'SK-data'!Q126</f>
        <v>10.351591943697739</v>
      </c>
      <c r="AR7" s="454">
        <f>('SK-data'!R73 + 'SK-data'!R68 + 'SK-data'!R55 + 'SK-data'!R36)/'SK-data'!R126</f>
        <v>1.2376934019730688</v>
      </c>
      <c r="AS7" s="454">
        <f>('SK-data'!S73 + 'SK-data'!S68 + 'SK-data'!S55 + 'SK-data'!S36)/'SK-data'!S126</f>
        <v>1.1155826146472756</v>
      </c>
      <c r="AT7" s="454">
        <f>('SK-data'!T73 + 'SK-data'!T68 + 'SK-data'!T55 + 'SK-data'!T36)/'SK-data'!T126</f>
        <v>1.4972887941896742</v>
      </c>
      <c r="AU7" s="454">
        <f>('SK-data'!U73 + 'SK-data'!U68 + 'SK-data'!U55 + 'SK-data'!U36)/'SK-data'!U126</f>
        <v>7.0742081667861347</v>
      </c>
      <c r="AV7" s="454">
        <f>('SK-data'!V73 + 'SK-data'!V68 + 'SK-data'!V55 + 'SK-data'!V36)/'SK-data'!V126</f>
        <v>2.2464120630565563</v>
      </c>
      <c r="AW7" s="454">
        <f>('SK-data'!W73 + 'SK-data'!W68 + 'SK-data'!W55 + 'SK-data'!W36)/'SK-data'!W126</f>
        <v>1.9992416506235875</v>
      </c>
      <c r="AX7" s="454">
        <f>('SK-data'!X73 + 'SK-data'!X68 + 'SK-data'!X55 + 'SK-data'!X36)/'SK-data'!X126</f>
        <v>3.2162844443703786</v>
      </c>
      <c r="AY7" s="454">
        <f>('SK-data'!Y73 + 'SK-data'!Y68 + 'SK-data'!Y55 + 'SK-data'!Y36)/'SK-data'!Y126</f>
        <v>1.1006711448387096</v>
      </c>
      <c r="AZ7" s="454">
        <f>('SK-data'!Z73 + 'SK-data'!Z68 + 'SK-data'!Z55 + 'SK-data'!Z36)/'SK-data'!Z126</f>
        <v>50.719964543786489</v>
      </c>
      <c r="BA7" s="454">
        <f>('SK-data'!AA73 + 'SK-data'!AA68 + 'SK-data'!AA55 + 'SK-data'!AA36)/'SK-data'!AA126</f>
        <v>5.4096768278112943</v>
      </c>
      <c r="BB7" s="454">
        <f>('SK-data'!AB73 + 'SK-data'!AB68 + 'SK-data'!AB55 + 'SK-data'!AB36)/'SK-data'!AB126</f>
        <v>3.1846773101511712</v>
      </c>
      <c r="BC7" s="454">
        <f>('SK-data'!AC73 + 'SK-data'!AC68 + 'SK-data'!AC55 + 'SK-data'!AC36)/'SK-data'!AC126</f>
        <v>1.1361992752083605</v>
      </c>
      <c r="BD7" s="454">
        <f>('SK-data'!AD73 + 'SK-data'!AD68 + 'SK-data'!AD55 + 'SK-data'!AD36)/'SK-data'!AD126</f>
        <v>0.84138132114548869</v>
      </c>
      <c r="BE7" s="454">
        <f>('SK-data'!AE73 + 'SK-data'!AE68 + 'SK-data'!AE55 + 'SK-data'!AE36)/'SK-data'!AE126</f>
        <v>16.947294655700219</v>
      </c>
      <c r="BF7" s="454">
        <f>('SK-data'!AF73 + 'SK-data'!AF68 + 'SK-data'!AF55 + 'SK-data'!AF36)/'SK-data'!AF126</f>
        <v>3.3870462481770534</v>
      </c>
      <c r="BG7" s="454">
        <f>('SK-data'!AG73 + 'SK-data'!AG68 + 'SK-data'!AG55 + 'SK-data'!AG36)/'SK-data'!AG126</f>
        <v>0.68963346549407545</v>
      </c>
      <c r="BH7" s="454">
        <f>('SK-data'!AH73 + 'SK-data'!AH68 + 'SK-data'!AH55 + 'SK-data'!AH36)/'SK-data'!AH126</f>
        <v>8.2858127142221711</v>
      </c>
      <c r="BI7" s="454">
        <f>('SK-data'!AI73 + 'SK-data'!AI68 + 'SK-data'!AI55 + 'SK-data'!AI36)/'SK-data'!AI126</f>
        <v>3.3158086145350416</v>
      </c>
      <c r="BJ7" s="454">
        <f>('SK-data'!AJ73 + 'SK-data'!AJ68 + 'SK-data'!AJ55 + 'SK-data'!AJ36)/'SK-data'!AJ126</f>
        <v>0.20162620513416193</v>
      </c>
      <c r="BK7" s="454">
        <f>('SK-data'!AK73 + 'SK-data'!AK68 + 'SK-data'!AK55 + 'SK-data'!AK36)/'SK-data'!AK126</f>
        <v>4.4383482808944796</v>
      </c>
      <c r="BL7" s="454">
        <f>('SK-data'!AL73 + 'SK-data'!AL68 + 'SK-data'!AL55 + 'SK-data'!AL36)/'SK-data'!AL126</f>
        <v>1.6043607741316841</v>
      </c>
      <c r="BM7" s="454">
        <f>('SK-data'!AM73 + 'SK-data'!AM68 + 'SK-data'!AM55 + 'SK-data'!AM36)/'SK-data'!AM126</f>
        <v>4.2456958016072468</v>
      </c>
      <c r="BN7" s="454">
        <f>('SK-data'!AN73 + 'SK-data'!AN68 + 'SK-data'!AN55 + 'SK-data'!AN36)/'SK-data'!AN126</f>
        <v>0.43243073113925112</v>
      </c>
      <c r="BO7" s="454">
        <f>('SK-data'!AO73 + 'SK-data'!AO68 + 'SK-data'!AO55 + 'SK-data'!AO36)/'SK-data'!AO126</f>
        <v>5.0615867402396182</v>
      </c>
      <c r="BP7" s="454">
        <f>('SK-data'!AP73 + 'SK-data'!AP68 + 'SK-data'!AP55 + 'SK-data'!AP36)/'SK-data'!AP126</f>
        <v>2.3310908277743132</v>
      </c>
      <c r="BQ7" s="454">
        <f>('SK-data'!AQ73 + 'SK-data'!AQ68 + 'SK-data'!AQ55 + 'SK-data'!AQ36)/'SK-data'!AQ126</f>
        <v>1.6838072939290498</v>
      </c>
      <c r="BR7" s="454">
        <f>('SK-data'!AR73 + 'SK-data'!AR68 + 'SK-data'!AR55 + 'SK-data'!AR36)/'SK-data'!AR126</f>
        <v>0.87281826014986397</v>
      </c>
      <c r="BS7" s="454">
        <f>('SK-data'!AS73 + 'SK-data'!AS68 + 'SK-data'!AS55 + 'SK-data'!AS36)/'SK-data'!AS126</f>
        <v>1.311601750545575</v>
      </c>
      <c r="BT7" s="454">
        <f>('SK-data'!AT73 + 'SK-data'!AT68 + 'SK-data'!AT55 + 'SK-data'!AT36)/'SK-data'!AT126</f>
        <v>2.0143168420640514</v>
      </c>
      <c r="BU7" s="454">
        <f>('SK-data'!AU73 + 'SK-data'!AU68 + 'SK-data'!AU55 + 'SK-data'!AU36)/'SK-data'!AU126</f>
        <v>0.63364969234763624</v>
      </c>
      <c r="BV7" s="454">
        <f>('SK-data'!AV73 + 'SK-data'!AV68 + 'SK-data'!AV55 + 'SK-data'!AV36)/'SK-data'!AV126</f>
        <v>6.5383249934308987</v>
      </c>
      <c r="BW7" s="454">
        <f>('SK-data'!AW73 + 'SK-data'!AW68 + 'SK-data'!AW55 + 'SK-data'!AW36)/'SK-data'!AW126</f>
        <v>2.9482596006691106</v>
      </c>
      <c r="BX7" s="454">
        <f>('SK-data'!AX73 + 'SK-data'!AX68 + 'SK-data'!AX55 + 'SK-data'!AX36)/'SK-data'!AX126</f>
        <v>1.4643459618220813</v>
      </c>
      <c r="BY7" s="454">
        <f>('SK-data'!AY73 + 'SK-data'!AY68 + 'SK-data'!AY55 + 'SK-data'!AY36)/'SK-data'!AY126</f>
        <v>1.0206084605437387</v>
      </c>
      <c r="BZ7" s="454">
        <f>('SK-data'!AZ73 + 'SK-data'!AZ68 + 'SK-data'!AZ55 + 'SK-data'!AZ36)/'SK-data'!AZ126</f>
        <v>8.3561926054581406</v>
      </c>
      <c r="CA7" s="454">
        <f>('SK-data'!BA73 + 'SK-data'!BA68 + 'SK-data'!BA55 + 'SK-data'!BA36)/'SK-data'!BA126</f>
        <v>1.2500708974072003</v>
      </c>
      <c r="CB7" s="454">
        <f>('SK-data'!BB73 + 'SK-data'!BB68 + 'SK-data'!BB55 + 'SK-data'!BB36)/'SK-data'!BB126</f>
        <v>1.4453706244590296</v>
      </c>
      <c r="CC7" s="454">
        <f>('SK-data'!BC73 + 'SK-data'!BC68 + 'SK-data'!BC55 + 'SK-data'!BC36)/'SK-data'!BC126</f>
        <v>0.49904934170444687</v>
      </c>
      <c r="CD7" s="454">
        <f>('SK-data'!BD73 + 'SK-data'!BD68 + 'SK-data'!BD55 + 'SK-data'!BD36)/'SK-data'!BD126</f>
        <v>1.6754229885898695</v>
      </c>
      <c r="CE7" s="454">
        <f>('SK-data'!BE73 + 'SK-data'!BE68 + 'SK-data'!BE55 + 'SK-data'!BE36)/'SK-data'!BE126</f>
        <v>55.323593930105346</v>
      </c>
      <c r="CF7" s="454">
        <f>('SK-data'!BF73 + 'SK-data'!BF68 + 'SK-data'!BF55 + 'SK-data'!BF36)/'SK-data'!BF126</f>
        <v>1.1678941893297667</v>
      </c>
      <c r="CG7" s="454">
        <f>('SK-data'!BG73 + 'SK-data'!BG68 + 'SK-data'!BG55 + 'SK-data'!BG36)/'SK-data'!BG126</f>
        <v>1.1517688962279549</v>
      </c>
      <c r="CH7" s="454">
        <f>('SK-data'!BH73 + 'SK-data'!BH68 + 'SK-data'!BH55 + 'SK-data'!BH36)/'SK-data'!BH126</f>
        <v>3.212910136973111</v>
      </c>
      <c r="CI7" s="454">
        <f>('SK-data'!BI73 + 'SK-data'!BI68 + 'SK-data'!BI55 + 'SK-data'!BI36)/'SK-data'!BI126</f>
        <v>2.4855986303910593</v>
      </c>
      <c r="CJ7" s="454">
        <f>('SK-data'!BJ73 + 'SK-data'!BJ68 + 'SK-data'!BJ55 + 'SK-data'!BJ36)/'SK-data'!BJ126</f>
        <v>0.97477485516129581</v>
      </c>
      <c r="CK7" s="454">
        <f>('SK-data'!BK73 + 'SK-data'!BK68 + 'SK-data'!BK55 + 'SK-data'!BK36)/'SK-data'!BK126</f>
        <v>12.852854864861243</v>
      </c>
      <c r="CL7" s="454">
        <f>('SK-data'!BL73 + 'SK-data'!BL68 + 'SK-data'!BL55 + 'SK-data'!BL36)/'SK-data'!BL126</f>
        <v>7.1591495043247324</v>
      </c>
      <c r="CM7" s="454">
        <f>('SK-data'!BM73 + 'SK-data'!BM68 + 'SK-data'!BM55 + 'SK-data'!BM36)/'SK-data'!BM126</f>
        <v>0.97428836929636364</v>
      </c>
      <c r="CN7" s="454">
        <f>('SK-data'!BN73 + 'SK-data'!BN68 + 'SK-data'!BN55 + 'SK-data'!BN36)/'SK-data'!BN126</f>
        <v>2.2860985618521386</v>
      </c>
      <c r="CO7" s="454">
        <f>('SK-data'!BO73 + 'SK-data'!BO68 + 'SK-data'!BO55 + 'SK-data'!BO36)/'SK-data'!BO126</f>
        <v>8.3104322169239655</v>
      </c>
      <c r="CP7" s="454">
        <f>('SK-data'!BP73 + 'SK-data'!BP68 + 'SK-data'!BP55 + 'SK-data'!BP36)/'SK-data'!BP126</f>
        <v>4.095696399201306</v>
      </c>
      <c r="CQ7" s="454">
        <f>('SK-data'!BQ73 + 'SK-data'!BQ68 + 'SK-data'!BQ55 + 'SK-data'!BQ36)/'SK-data'!BQ126</f>
        <v>1.970549140659615</v>
      </c>
      <c r="CR7" s="454">
        <f>('SK-data'!BR73 + 'SK-data'!BR68 + 'SK-data'!BR55 + 'SK-data'!BR36)/'SK-data'!BR126</f>
        <v>2.9012111004003689</v>
      </c>
      <c r="CS7" s="454">
        <f>('SK-data'!BS73 + 'SK-data'!BS68 + 'SK-data'!BS55 + 'SK-data'!BS36)/'SK-data'!BS126</f>
        <v>3.660944323014327</v>
      </c>
      <c r="CT7" s="454">
        <f>('SK-data'!BT73 + 'SK-data'!BT68 + 'SK-data'!BT55 + 'SK-data'!BT36)/'SK-data'!BT126</f>
        <v>2.0305206894701406</v>
      </c>
      <c r="CU7" s="454">
        <f>('SK-data'!BU73 + 'SK-data'!BU68 + 'SK-data'!BU55 + 'SK-data'!BU36)/'SK-data'!BU126</f>
        <v>1.6907029862368643</v>
      </c>
      <c r="CV7" s="454">
        <f>('SK-data'!BV73 + 'SK-data'!BV68 + 'SK-data'!BV55 + 'SK-data'!BV36)/'SK-data'!BV126</f>
        <v>10.707769447960276</v>
      </c>
      <c r="CW7" s="454">
        <f>('SK-data'!BW73 + 'SK-data'!BW68 + 'SK-data'!BW55 + 'SK-data'!BW36)/'SK-data'!BW126</f>
        <v>1.4434753008420669</v>
      </c>
      <c r="CX7" s="454">
        <f>('SK-data'!BX73 + 'SK-data'!BX68 + 'SK-data'!BX55 + 'SK-data'!BX36)/'SK-data'!BX126</f>
        <v>1.2192646090087718</v>
      </c>
      <c r="CY7" s="454">
        <f>('SK-data'!BY73 + 'SK-data'!BY68 + 'SK-data'!BY55 + 'SK-data'!BY36)/'SK-data'!BY126</f>
        <v>1.0797897160142704</v>
      </c>
      <c r="CZ7" s="454">
        <f>('SK-data'!BZ73 + 'SK-data'!BZ68 + 'SK-data'!BZ55 + 'SK-data'!BZ36)/'SK-data'!BZ126</f>
        <v>7.2484935144520479E-2</v>
      </c>
      <c r="DA7" s="454">
        <f>('SK-data'!CA73 + 'SK-data'!CA68 + 'SK-data'!CA55 + 'SK-data'!CA36)/'SK-data'!CA126</f>
        <v>7.2327446704589651</v>
      </c>
      <c r="DB7" s="454">
        <f>('SK-data'!CB73 + 'SK-data'!CB68 + 'SK-data'!CB55 + 'SK-data'!CB36)/'SK-data'!CB126</f>
        <v>2.3536282843187135</v>
      </c>
      <c r="DC7" s="454">
        <f>('SK-data'!CC73 + 'SK-data'!CC68 + 'SK-data'!CC55 + 'SK-data'!CC36)/'SK-data'!CC126</f>
        <v>1.1446725527172981</v>
      </c>
      <c r="DD7" s="454">
        <f>('SK-data'!CD73 + 'SK-data'!CD68 + 'SK-data'!CD55 + 'SK-data'!CD36)/'SK-data'!CD126</f>
        <v>1.4992226368159205</v>
      </c>
      <c r="DE7" s="454">
        <f>('SK-data'!CE73 + 'SK-data'!CE68 + 'SK-data'!CE55 + 'SK-data'!CE36)/'SK-data'!CE126</f>
        <v>1.1002154387352601</v>
      </c>
      <c r="DF7" s="454">
        <f>('SK-data'!CF73 + 'SK-data'!CF68 + 'SK-data'!CF55 + 'SK-data'!CF36)/'SK-data'!CF126</f>
        <v>0.70287361666511672</v>
      </c>
      <c r="DG7" s="454">
        <f>('SK-data'!CG73 + 'SK-data'!CG68 + 'SK-data'!CG55 + 'SK-data'!CG36)/'SK-data'!CG126</f>
        <v>0.80954958548189515</v>
      </c>
    </row>
    <row r="8" spans="1:111" s="428" customFormat="1" ht="15.75" customHeight="1" thickBot="1" x14ac:dyDescent="0.3">
      <c r="A8" s="640"/>
      <c r="B8" s="669"/>
      <c r="C8" s="418">
        <f>'MD-ratings-year'!C5</f>
        <v>8.3333333333333329E-2</v>
      </c>
      <c r="D8" s="419" t="str">
        <f>'MD-ratings-year'!D5</f>
        <v>Quick Asset Ratio</v>
      </c>
      <c r="E8" s="419" t="s">
        <v>1448</v>
      </c>
      <c r="F8" s="420" t="str">
        <f>'MD-ratings-year'!E5</f>
        <v>Cash + Marketable Securities + Accounts Receivable) ÷ Current Liabilities</v>
      </c>
      <c r="G8" s="422" t="s">
        <v>400</v>
      </c>
      <c r="H8" s="65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7">
        <f>'MD-ratios'!U8</f>
        <v>43.262257748757236</v>
      </c>
      <c r="V8" s="243"/>
      <c r="W8" s="243"/>
      <c r="X8" s="243"/>
      <c r="Y8" s="258">
        <f>'MD-ratings-year'!P5</f>
        <v>0</v>
      </c>
      <c r="Z8" s="568">
        <f>'MD-ratings-year'!Q5</f>
        <v>0.33460061034037614</v>
      </c>
      <c r="AA8" s="568">
        <f>'MD-ratings-year'!R5</f>
        <v>0.87637234101889483</v>
      </c>
      <c r="AB8" s="568">
        <f>'MD-ratings-year'!S5</f>
        <v>2.2953588737380146</v>
      </c>
      <c r="AC8" s="258">
        <f>'MD-ratings-year'!T5</f>
        <v>8.6625371887554401</v>
      </c>
      <c r="AD8" s="550"/>
      <c r="AE8" s="243"/>
      <c r="AF8" s="455">
        <f>('SK-data'!F73 + 'SK-data'!F68 + 'SK-data'!F55)/'SK-data'!F126</f>
        <v>10.598629980354042</v>
      </c>
      <c r="AG8" s="455">
        <f>('SK-data'!G73 + 'SK-data'!G68 + 'SK-data'!G55)/'SK-data'!G126</f>
        <v>11.491532024988176</v>
      </c>
      <c r="AH8" s="455">
        <f>('SK-data'!H73 + 'SK-data'!H68 + 'SK-data'!H55)/'SK-data'!H126</f>
        <v>0.76551120897032732</v>
      </c>
      <c r="AI8" s="455">
        <f>('SK-data'!I73 + 'SK-data'!I68 + 'SK-data'!I55)/'SK-data'!I126</f>
        <v>0.46447181837319207</v>
      </c>
      <c r="AJ8" s="455">
        <f>('SK-data'!J73 + 'SK-data'!J68 + 'SK-data'!J55)/'SK-data'!J126</f>
        <v>0.52647814050977926</v>
      </c>
      <c r="AK8" s="455">
        <f>('SK-data'!K73 + 'SK-data'!K68 + 'SK-data'!K55)/'SK-data'!K126</f>
        <v>1.5027984968105348</v>
      </c>
      <c r="AL8" s="455">
        <f>('SK-data'!L73 + 'SK-data'!L68 + 'SK-data'!L55)/'SK-data'!L126</f>
        <v>1.8353459218052182</v>
      </c>
      <c r="AM8" s="455">
        <f>('SK-data'!M73 + 'SK-data'!M68 + 'SK-data'!M55)/'SK-data'!M126</f>
        <v>2.3298950071420284</v>
      </c>
      <c r="AN8" s="455">
        <f>('SK-data'!N73 + 'SK-data'!N68 + 'SK-data'!N55)/'SK-data'!N126</f>
        <v>1.397862268003546</v>
      </c>
      <c r="AO8" s="455">
        <f>('SK-data'!O73 + 'SK-data'!O68 + 'SK-data'!O55)/'SK-data'!O126</f>
        <v>1.1603935958816995</v>
      </c>
      <c r="AP8" s="455">
        <f>('SK-data'!P73 + 'SK-data'!P68 + 'SK-data'!P55)/'SK-data'!P126</f>
        <v>2.2717394630094647</v>
      </c>
      <c r="AQ8" s="455">
        <f>('SK-data'!Q73 + 'SK-data'!Q68 + 'SK-data'!Q55)/'SK-data'!Q126</f>
        <v>10.351591943697739</v>
      </c>
      <c r="AR8" s="455">
        <f>('SK-data'!R73 + 'SK-data'!R68 + 'SK-data'!R55)/'SK-data'!R126</f>
        <v>1.2149491237363839</v>
      </c>
      <c r="AS8" s="455">
        <f>('SK-data'!S73 + 'SK-data'!S68 + 'SK-data'!S55)/'SK-data'!S126</f>
        <v>1.0776234930195152</v>
      </c>
      <c r="AT8" s="455">
        <f>('SK-data'!T73 + 'SK-data'!T68 + 'SK-data'!T55)/'SK-data'!T126</f>
        <v>1.4667539158321676</v>
      </c>
      <c r="AU8" s="455">
        <f>('SK-data'!U73 + 'SK-data'!U68 + 'SK-data'!U55)/'SK-data'!U126</f>
        <v>6.7358855046228241</v>
      </c>
      <c r="AV8" s="455">
        <f>('SK-data'!V73 + 'SK-data'!V68 + 'SK-data'!V55)/'SK-data'!V126</f>
        <v>2.2400644713683646</v>
      </c>
      <c r="AW8" s="455">
        <f>('SK-data'!W73 + 'SK-data'!W68 + 'SK-data'!W55)/'SK-data'!W126</f>
        <v>1.865022181300745</v>
      </c>
      <c r="AX8" s="455">
        <f>('SK-data'!X73 + 'SK-data'!X68 + 'SK-data'!X55)/'SK-data'!X126</f>
        <v>3.1676645496637277</v>
      </c>
      <c r="AY8" s="455">
        <f>('SK-data'!Y73 + 'SK-data'!Y68 + 'SK-data'!Y55)/'SK-data'!Y126</f>
        <v>1.0989904414465299</v>
      </c>
      <c r="AZ8" s="455">
        <f>('SK-data'!Z73 + 'SK-data'!Z68 + 'SK-data'!Z55)/'SK-data'!Z126</f>
        <v>50.659369742520902</v>
      </c>
      <c r="BA8" s="455">
        <f>('SK-data'!AA73 + 'SK-data'!AA68 + 'SK-data'!AA55)/'SK-data'!AA126</f>
        <v>3.8278149988793535</v>
      </c>
      <c r="BB8" s="455">
        <f>('SK-data'!AB73 + 'SK-data'!AB68 + 'SK-data'!AB55)/'SK-data'!AB126</f>
        <v>2.3927120792011394</v>
      </c>
      <c r="BC8" s="455">
        <f>('SK-data'!AC73 + 'SK-data'!AC68 + 'SK-data'!AC55)/'SK-data'!AC126</f>
        <v>1.0960089125639589</v>
      </c>
      <c r="BD8" s="455">
        <f>('SK-data'!AD73 + 'SK-data'!AD68 + 'SK-data'!AD55)/'SK-data'!AD126</f>
        <v>0.19748511170392621</v>
      </c>
      <c r="BE8" s="455">
        <f>('SK-data'!AE73 + 'SK-data'!AE68 + 'SK-data'!AE55)/'SK-data'!AE126</f>
        <v>16.803541933110775</v>
      </c>
      <c r="BF8" s="455">
        <f>('SK-data'!AF73 + 'SK-data'!AF68 + 'SK-data'!AF55)/'SK-data'!AF126</f>
        <v>3.2821155514945031</v>
      </c>
      <c r="BG8" s="455">
        <f>('SK-data'!AG73 + 'SK-data'!AG68 + 'SK-data'!AG55)/'SK-data'!AG126</f>
        <v>0.60285524993240602</v>
      </c>
      <c r="BH8" s="455">
        <f>('SK-data'!AH73 + 'SK-data'!AH68 + 'SK-data'!AH55)/'SK-data'!AH126</f>
        <v>7.5433153960875288</v>
      </c>
      <c r="BI8" s="455">
        <f>('SK-data'!AI73 + 'SK-data'!AI68 + 'SK-data'!AI55)/'SK-data'!AI126</f>
        <v>3.2043930668493288</v>
      </c>
      <c r="BJ8" s="455">
        <f>('SK-data'!AJ73 + 'SK-data'!AJ68 + 'SK-data'!AJ55)/'SK-data'!AJ126</f>
        <v>0.18161613814999805</v>
      </c>
      <c r="BK8" s="455">
        <f>('SK-data'!AK73 + 'SK-data'!AK68 + 'SK-data'!AK55)/'SK-data'!AK126</f>
        <v>4.174013068261397</v>
      </c>
      <c r="BL8" s="455">
        <f>('SK-data'!AL73 + 'SK-data'!AL68 + 'SK-data'!AL55)/'SK-data'!AL126</f>
        <v>1.6013812477107627</v>
      </c>
      <c r="BM8" s="455">
        <f>('SK-data'!AM73 + 'SK-data'!AM68 + 'SK-data'!AM55)/'SK-data'!AM126</f>
        <v>2.244870080661975</v>
      </c>
      <c r="BN8" s="455">
        <f>('SK-data'!AN73 + 'SK-data'!AN68 + 'SK-data'!AN55)/'SK-data'!AN126</f>
        <v>0.40946525803371908</v>
      </c>
      <c r="BO8" s="455">
        <f>('SK-data'!AO73 + 'SK-data'!AO68 + 'SK-data'!AO55)/'SK-data'!AO126</f>
        <v>4.3551568401609737</v>
      </c>
      <c r="BP8" s="455">
        <f>('SK-data'!AP73 + 'SK-data'!AP68 + 'SK-data'!AP55)/'SK-data'!AP126</f>
        <v>2.2488885896781752</v>
      </c>
      <c r="BQ8" s="455">
        <f>('SK-data'!AQ73 + 'SK-data'!AQ68 + 'SK-data'!AQ55)/'SK-data'!AQ126</f>
        <v>1.3890918835000856</v>
      </c>
      <c r="BR8" s="455">
        <f>('SK-data'!AR73 + 'SK-data'!AR68 + 'SK-data'!AR55)/'SK-data'!AR126</f>
        <v>0.72865256818122126</v>
      </c>
      <c r="BS8" s="455">
        <f>('SK-data'!AS73 + 'SK-data'!AS68 + 'SK-data'!AS55)/'SK-data'!AS126</f>
        <v>1.1880394622258386</v>
      </c>
      <c r="BT8" s="455">
        <f>('SK-data'!AT73 + 'SK-data'!AT68 + 'SK-data'!AT55)/'SK-data'!AT126</f>
        <v>1.8396826098789305</v>
      </c>
      <c r="BU8" s="455">
        <f>('SK-data'!AU73 + 'SK-data'!AU68 + 'SK-data'!AU55)/'SK-data'!AU126</f>
        <v>0.55689501924475127</v>
      </c>
      <c r="BV8" s="455">
        <f>('SK-data'!AV73 + 'SK-data'!AV68 + 'SK-data'!AV55)/'SK-data'!AV126</f>
        <v>6.2358064571408987</v>
      </c>
      <c r="BW8" s="455">
        <f>('SK-data'!AW73 + 'SK-data'!AW68 + 'SK-data'!AW55)/'SK-data'!AW126</f>
        <v>2.1684788411574187</v>
      </c>
      <c r="BX8" s="455">
        <f>('SK-data'!AX73 + 'SK-data'!AX68 + 'SK-data'!AX55)/'SK-data'!AX126</f>
        <v>1.4639470128819732</v>
      </c>
      <c r="BY8" s="455">
        <f>('SK-data'!AY73 + 'SK-data'!AY68 + 'SK-data'!AY55)/'SK-data'!AY126</f>
        <v>1.0206084605437387</v>
      </c>
      <c r="BZ8" s="455">
        <f>('SK-data'!AZ73 + 'SK-data'!AZ68 + 'SK-data'!AZ55)/'SK-data'!AZ126</f>
        <v>8.2318231370447705</v>
      </c>
      <c r="CA8" s="455">
        <f>('SK-data'!BA73 + 'SK-data'!BA68 + 'SK-data'!BA55)/'SK-data'!BA126</f>
        <v>1.2500708974072003</v>
      </c>
      <c r="CB8" s="455">
        <f>('SK-data'!BB73 + 'SK-data'!BB68 + 'SK-data'!BB55)/'SK-data'!BB126</f>
        <v>1.4319338054163733</v>
      </c>
      <c r="CC8" s="455">
        <f>('SK-data'!BC73 + 'SK-data'!BC68 + 'SK-data'!BC55)/'SK-data'!BC126</f>
        <v>0.48456446082679067</v>
      </c>
      <c r="CD8" s="455">
        <f>('SK-data'!BD73 + 'SK-data'!BD68 + 'SK-data'!BD55)/'SK-data'!BD126</f>
        <v>1.656049573161587</v>
      </c>
      <c r="CE8" s="455">
        <f>('SK-data'!BE73 + 'SK-data'!BE68 + 'SK-data'!BE55)/'SK-data'!BE126</f>
        <v>55.323593930105346</v>
      </c>
      <c r="CF8" s="455">
        <f>('SK-data'!BF73 + 'SK-data'!BF68 + 'SK-data'!BF55)/'SK-data'!BF126</f>
        <v>1.1473146084113539</v>
      </c>
      <c r="CG8" s="455">
        <f>('SK-data'!BG73 + 'SK-data'!BG68 + 'SK-data'!BG55)/'SK-data'!BG126</f>
        <v>0.48096888470732807</v>
      </c>
      <c r="CH8" s="455">
        <f>('SK-data'!BH73 + 'SK-data'!BH68 + 'SK-data'!BH55)/'SK-data'!BH126</f>
        <v>2.3051964725612448</v>
      </c>
      <c r="CI8" s="455">
        <f>('SK-data'!BI73 + 'SK-data'!BI68 + 'SK-data'!BI55)/'SK-data'!BI126</f>
        <v>2.3145395057426192</v>
      </c>
      <c r="CJ8" s="455">
        <f>('SK-data'!BJ73 + 'SK-data'!BJ68 + 'SK-data'!BJ55)/'SK-data'!BJ126</f>
        <v>0.87885017021096923</v>
      </c>
      <c r="CK8" s="455">
        <f>('SK-data'!BK73 + 'SK-data'!BK68 + 'SK-data'!BK55)/'SK-data'!BK126</f>
        <v>12.664806303348653</v>
      </c>
      <c r="CL8" s="455">
        <f>('SK-data'!BL73 + 'SK-data'!BL68 + 'SK-data'!BL55)/'SK-data'!BL126</f>
        <v>7.1360249963226439</v>
      </c>
      <c r="CM8" s="455">
        <f>('SK-data'!BM73 + 'SK-data'!BM68 + 'SK-data'!BM55)/'SK-data'!BM126</f>
        <v>0.97426103830438526</v>
      </c>
      <c r="CN8" s="455">
        <f>('SK-data'!BN73 + 'SK-data'!BN68 + 'SK-data'!BN55)/'SK-data'!BN126</f>
        <v>2.1673009568777286</v>
      </c>
      <c r="CO8" s="455">
        <f>('SK-data'!BO73 + 'SK-data'!BO68 + 'SK-data'!BO55)/'SK-data'!BO126</f>
        <v>8.2916274960640628</v>
      </c>
      <c r="CP8" s="455">
        <f>('SK-data'!BP73 + 'SK-data'!BP68 + 'SK-data'!BP55)/'SK-data'!BP126</f>
        <v>4.0933355182103428</v>
      </c>
      <c r="CQ8" s="455">
        <f>('SK-data'!BQ73 + 'SK-data'!BQ68 + 'SK-data'!BQ55)/'SK-data'!BQ126</f>
        <v>1.8502292471928541</v>
      </c>
      <c r="CR8" s="455">
        <f>('SK-data'!BR73 + 'SK-data'!BR68 + 'SK-data'!BR55)/'SK-data'!BR126</f>
        <v>2.8164902864209767</v>
      </c>
      <c r="CS8" s="455">
        <f>('SK-data'!BS73 + 'SK-data'!BS68 + 'SK-data'!BS55)/'SK-data'!BS126</f>
        <v>3.6162275898032514</v>
      </c>
      <c r="CT8" s="455">
        <f>('SK-data'!BT73 + 'SK-data'!BT68 + 'SK-data'!BT55)/'SK-data'!BT126</f>
        <v>1.918151372079564</v>
      </c>
      <c r="CU8" s="455">
        <f>('SK-data'!BU73 + 'SK-data'!BU68 + 'SK-data'!BU55)/'SK-data'!BU126</f>
        <v>1.3084608599618317</v>
      </c>
      <c r="CV8" s="455">
        <f>('SK-data'!BV73 + 'SK-data'!BV68 + 'SK-data'!BV55)/'SK-data'!BV126</f>
        <v>10.707769447960276</v>
      </c>
      <c r="CW8" s="455">
        <f>('SK-data'!BW73 + 'SK-data'!BW68 + 'SK-data'!BW55)/'SK-data'!BW126</f>
        <v>1.4122696029750885</v>
      </c>
      <c r="CX8" s="455">
        <f>('SK-data'!BX73 + 'SK-data'!BX68 + 'SK-data'!BX55)/'SK-data'!BX126</f>
        <v>0.87253807912129855</v>
      </c>
      <c r="CY8" s="455">
        <f>('SK-data'!BY73 + 'SK-data'!BY68 + 'SK-data'!BY55)/'SK-data'!BY126</f>
        <v>0.95016541046636549</v>
      </c>
      <c r="CZ8" s="455">
        <f>('SK-data'!BZ73 + 'SK-data'!BZ68 + 'SK-data'!BZ55)/'SK-data'!BZ126</f>
        <v>7.2484935144520479E-2</v>
      </c>
      <c r="DA8" s="455">
        <f>('SK-data'!CA73 + 'SK-data'!CA68 + 'SK-data'!CA55)/'SK-data'!CA126</f>
        <v>6.9481858549707347</v>
      </c>
      <c r="DB8" s="455">
        <f>('SK-data'!CB73 + 'SK-data'!CB68 + 'SK-data'!CB55)/'SK-data'!CB126</f>
        <v>2.3044344793627478</v>
      </c>
      <c r="DC8" s="455">
        <f>('SK-data'!CC73 + 'SK-data'!CC68 + 'SK-data'!CC55)/'SK-data'!CC126</f>
        <v>1.1430867478141609</v>
      </c>
      <c r="DD8" s="455">
        <f>('SK-data'!CD73 + 'SK-data'!CD68 + 'SK-data'!CD55)/'SK-data'!CD126</f>
        <v>1.4728765809506683</v>
      </c>
      <c r="DE8" s="455">
        <f>('SK-data'!CE73 + 'SK-data'!CE68 + 'SK-data'!CE55)/'SK-data'!CE126</f>
        <v>1.0201596536327966</v>
      </c>
      <c r="DF8" s="455">
        <f>('SK-data'!CF73 + 'SK-data'!CF68 + 'SK-data'!CF55)/'SK-data'!CF126</f>
        <v>0.60344621434549828</v>
      </c>
      <c r="DG8" s="455">
        <f>('SK-data'!CG73 + 'SK-data'!CG68 + 'SK-data'!CG55)/'SK-data'!CG126</f>
        <v>0.68874106150821912</v>
      </c>
    </row>
    <row r="9" spans="1:111" s="428" customFormat="1" ht="15.75" customHeight="1" thickBot="1" x14ac:dyDescent="0.3">
      <c r="A9" s="640"/>
      <c r="B9" s="669"/>
      <c r="C9" s="418">
        <f>'MD-ratings-year'!C6</f>
        <v>8.3333333333333329E-2</v>
      </c>
      <c r="D9" s="419" t="str">
        <f>'MD-ratings-year'!D6</f>
        <v>Cash Position Ratio</v>
      </c>
      <c r="E9" s="419" t="s">
        <v>1449</v>
      </c>
      <c r="F9" s="420" t="str">
        <f>'MD-ratings-year'!E6</f>
        <v>Cash ÷ Current Liabilities</v>
      </c>
      <c r="G9" s="422" t="s">
        <v>400</v>
      </c>
      <c r="H9" s="65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577">
        <f>'MD-ratios'!U9</f>
        <v>76.29155489281041</v>
      </c>
      <c r="V9" s="243"/>
      <c r="W9" s="243"/>
      <c r="X9" s="243"/>
      <c r="Y9" s="258">
        <f>'MD-ratings-year'!P6</f>
        <v>0</v>
      </c>
      <c r="Z9" s="568">
        <f>'MD-ratings-year'!Q6</f>
        <v>6.5827845563065257E-2</v>
      </c>
      <c r="AA9" s="568">
        <f>'MD-ratings-year'!R6</f>
        <v>0.25566768375988946</v>
      </c>
      <c r="AB9" s="568">
        <f>'MD-ratings-year'!S6</f>
        <v>0.9929835005237122</v>
      </c>
      <c r="AC9" s="258">
        <f>'MD-ratings-year'!T6</f>
        <v>7.9199921943120852</v>
      </c>
      <c r="AD9" s="550"/>
      <c r="AE9" s="243"/>
      <c r="AF9" s="455">
        <f>'SK-data'!F73/'SK-data'!F126</f>
        <v>9.8170119434944851</v>
      </c>
      <c r="AG9" s="455">
        <f>'SK-data'!G73/'SK-data'!G126</f>
        <v>10.971633288306807</v>
      </c>
      <c r="AH9" s="455">
        <f>'SK-data'!H73/'SK-data'!H126</f>
        <v>0.24141503806029632</v>
      </c>
      <c r="AI9" s="455">
        <f>'SK-data'!I73/'SK-data'!I126</f>
        <v>0.21572306746700065</v>
      </c>
      <c r="AJ9" s="455">
        <f>'SK-data'!J73/'SK-data'!J126</f>
        <v>0.16561764671377985</v>
      </c>
      <c r="AK9" s="455">
        <f>'SK-data'!K73/'SK-data'!K126</f>
        <v>1.3946905503628828</v>
      </c>
      <c r="AL9" s="455">
        <f>'SK-data'!L73/'SK-data'!L126</f>
        <v>0.48203713860377656</v>
      </c>
      <c r="AM9" s="455">
        <f>'SK-data'!M73/'SK-data'!M126</f>
        <v>0.86058497630293351</v>
      </c>
      <c r="AN9" s="455">
        <f>'SK-data'!N73/'SK-data'!N126</f>
        <v>5.0990501800119896E-3</v>
      </c>
      <c r="AO9" s="455">
        <f>'SK-data'!O73/'SK-data'!O126</f>
        <v>0.47748226325187565</v>
      </c>
      <c r="AP9" s="455">
        <f>'SK-data'!P73/'SK-data'!P126</f>
        <v>1.0689798725130384</v>
      </c>
      <c r="AQ9" s="455">
        <f>'SK-data'!Q73/'SK-data'!Q126</f>
        <v>8.2173607640249084</v>
      </c>
      <c r="AR9" s="455">
        <f>'SK-data'!R73/'SK-data'!R126</f>
        <v>0.21739969300958292</v>
      </c>
      <c r="AS9" s="455">
        <f>'SK-data'!S73/'SK-data'!S126</f>
        <v>1.0513967717939884E-2</v>
      </c>
      <c r="AT9" s="455">
        <f>'SK-data'!T73/'SK-data'!T126</f>
        <v>0.53836222614046392</v>
      </c>
      <c r="AU9" s="455">
        <f>'SK-data'!U73/'SK-data'!U126</f>
        <v>1.0985554435116451</v>
      </c>
      <c r="AV9" s="455">
        <f>'SK-data'!V73/'SK-data'!V126</f>
        <v>1.3976698568516563</v>
      </c>
      <c r="AW9" s="455">
        <f>'SK-data'!W73/'SK-data'!W126</f>
        <v>0.86668619737172514</v>
      </c>
      <c r="AX9" s="455">
        <f>'SK-data'!X73/'SK-data'!X126</f>
        <v>1.7606300727773194</v>
      </c>
      <c r="AY9" s="455">
        <f>'SK-data'!Y73/'SK-data'!Y126</f>
        <v>0.12120492348382395</v>
      </c>
      <c r="AZ9" s="455">
        <f>'SK-data'!Z73/'SK-data'!Z126</f>
        <v>8.1115270397359289</v>
      </c>
      <c r="BA9" s="455">
        <f>'SK-data'!AA73/'SK-data'!AA126</f>
        <v>2.4238729168480386</v>
      </c>
      <c r="BB9" s="455">
        <f>'SK-data'!AB73/'SK-data'!AB126</f>
        <v>1.647431398692806</v>
      </c>
      <c r="BC9" s="455">
        <f>'SK-data'!AC73/'SK-data'!AC126</f>
        <v>4.1308145624780912E-2</v>
      </c>
      <c r="BD9" s="455">
        <f>'SK-data'!AD73/'SK-data'!AD126</f>
        <v>0.11917558752684723</v>
      </c>
      <c r="BE9" s="455">
        <f>'SK-data'!AE73/'SK-data'!AE126</f>
        <v>15.442560215953053</v>
      </c>
      <c r="BF9" s="455">
        <f>'SK-data'!AF73/'SK-data'!AF126</f>
        <v>2.3654146429113663</v>
      </c>
      <c r="BG9" s="455">
        <f>'SK-data'!AG73/'SK-data'!AG126</f>
        <v>0.30432539199316422</v>
      </c>
      <c r="BH9" s="455">
        <f>'SK-data'!AH73/'SK-data'!AH126</f>
        <v>4.4704558735031705</v>
      </c>
      <c r="BI9" s="455">
        <f>'SK-data'!AI73/'SK-data'!AI126</f>
        <v>2.2780074783118365</v>
      </c>
      <c r="BJ9" s="455">
        <f>'SK-data'!AJ73/'SK-data'!AJ126</f>
        <v>4.2881480621055484E-2</v>
      </c>
      <c r="BK9" s="455">
        <f>'SK-data'!AK73/'SK-data'!AK126</f>
        <v>2.7089545308702663</v>
      </c>
      <c r="BL9" s="455">
        <f>'SK-data'!AL73/'SK-data'!AL126</f>
        <v>0.17913077775903635</v>
      </c>
      <c r="BM9" s="455">
        <f>'SK-data'!AM73/'SK-data'!AM126</f>
        <v>1.3539868438957949</v>
      </c>
      <c r="BN9" s="455">
        <f>'SK-data'!AN73/'SK-data'!AN126</f>
        <v>7.7347167871418529E-2</v>
      </c>
      <c r="BO9" s="455">
        <f>'SK-data'!AO73/'SK-data'!AO126</f>
        <v>2.9852411066100539</v>
      </c>
      <c r="BP9" s="455">
        <f>'SK-data'!AP73/'SK-data'!AP126</f>
        <v>4.0575925505981061E-2</v>
      </c>
      <c r="BQ9" s="455">
        <f>'SK-data'!AQ73/'SK-data'!AQ126</f>
        <v>0.36057239541511243</v>
      </c>
      <c r="BR9" s="455">
        <f>'SK-data'!AR73/'SK-data'!AR126</f>
        <v>1.4440466680778544E-2</v>
      </c>
      <c r="BS9" s="455">
        <f>'SK-data'!AS73/'SK-data'!AS126</f>
        <v>6.5640417557752979E-3</v>
      </c>
      <c r="BT9" s="455">
        <f>'SK-data'!AT73/'SK-data'!AT126</f>
        <v>1.593513006028171</v>
      </c>
      <c r="BU9" s="455">
        <f>'SK-data'!AU73/'SK-data'!AU126</f>
        <v>8.2672216281242834E-3</v>
      </c>
      <c r="BV9" s="455">
        <f>'SK-data'!AV73/'SK-data'!AV126</f>
        <v>5.6137168546000842</v>
      </c>
      <c r="BW9" s="455">
        <f>'SK-data'!AW73/'SK-data'!AW126</f>
        <v>1.3183925330106416</v>
      </c>
      <c r="BX9" s="455">
        <f>'SK-data'!AX73/'SK-data'!AX126</f>
        <v>0.93038976376803573</v>
      </c>
      <c r="BY9" s="455">
        <f>'SK-data'!AY73/'SK-data'!AY126</f>
        <v>1.8193233184558101E-2</v>
      </c>
      <c r="BZ9" s="455">
        <f>'SK-data'!AZ73/'SK-data'!AZ126</f>
        <v>7.9091018273867819</v>
      </c>
      <c r="CA9" s="455">
        <f>'SK-data'!BA73/'SK-data'!BA126</f>
        <v>0.97772005888736346</v>
      </c>
      <c r="CB9" s="455">
        <f>'SK-data'!BB73/'SK-data'!BB126</f>
        <v>0.51705693484314685</v>
      </c>
      <c r="CC9" s="455">
        <f>'SK-data'!BC73/'SK-data'!BC126</f>
        <v>0.13434714877756207</v>
      </c>
      <c r="CD9" s="455">
        <f>'SK-data'!BD73/'SK-data'!BD126</f>
        <v>1.2408365793406473</v>
      </c>
      <c r="CE9" s="455">
        <f>'SK-data'!BE73/'SK-data'!BE126</f>
        <v>49.627529671243295</v>
      </c>
      <c r="CF9" s="455">
        <f>'SK-data'!BF73/'SK-data'!BF126</f>
        <v>0.78899093475999404</v>
      </c>
      <c r="CG9" s="455">
        <f>'SK-data'!BG73/'SK-data'!BG126</f>
        <v>7.0711686715757338E-2</v>
      </c>
      <c r="CH9" s="455">
        <f>'SK-data'!BH73/'SK-data'!BH126</f>
        <v>0.7587363488280654</v>
      </c>
      <c r="CI9" s="455">
        <f>'SK-data'!BI73/'SK-data'!BI126</f>
        <v>0.65462983000050123</v>
      </c>
      <c r="CJ9" s="455">
        <f>'SK-data'!BJ73/'SK-data'!BJ126</f>
        <v>0.36977231165526203</v>
      </c>
      <c r="CK9" s="455">
        <f>'SK-data'!BK73/'SK-data'!BK126</f>
        <v>11.718218607206508</v>
      </c>
      <c r="CL9" s="455">
        <f>'SK-data'!BL73/'SK-data'!BL126</f>
        <v>6.8244454466249955</v>
      </c>
      <c r="CM9" s="455">
        <f>'SK-data'!BM73/'SK-data'!BM126</f>
        <v>0.35378602566380146</v>
      </c>
      <c r="CN9" s="455">
        <f>'SK-data'!BN73/'SK-data'!BN126</f>
        <v>0.88604500305367129</v>
      </c>
      <c r="CO9" s="455">
        <f>'SK-data'!BO73/'SK-data'!BO126</f>
        <v>7.5058189581941122</v>
      </c>
      <c r="CP9" s="455">
        <f>'SK-data'!BP73/'SK-data'!BP126</f>
        <v>3.1487221504045055</v>
      </c>
      <c r="CQ9" s="455">
        <f>'SK-data'!BQ73/'SK-data'!BQ126</f>
        <v>0.3031644190731706</v>
      </c>
      <c r="CR9" s="455">
        <f>'SK-data'!BR73/'SK-data'!BR126</f>
        <v>2.4241328983337742</v>
      </c>
      <c r="CS9" s="455">
        <f>'SK-data'!BS73/'SK-data'!BS126</f>
        <v>3.2251105947469276</v>
      </c>
      <c r="CT9" s="455">
        <f>'SK-data'!BT73/'SK-data'!BT126</f>
        <v>1.6012121079521717</v>
      </c>
      <c r="CU9" s="455">
        <f>'SK-data'!BU73/'SK-data'!BU126</f>
        <v>0.20519476060146638</v>
      </c>
      <c r="CV9" s="455">
        <f>'SK-data'!BV73/'SK-data'!BV126</f>
        <v>8.8508746308376338</v>
      </c>
      <c r="CW9" s="455">
        <f>'SK-data'!BW73/'SK-data'!BW126</f>
        <v>0.89977520703969061</v>
      </c>
      <c r="CX9" s="455">
        <f>'SK-data'!BX73/'SK-data'!BX126</f>
        <v>2.9340734084736156E-2</v>
      </c>
      <c r="CY9" s="455">
        <f>'SK-data'!BY73/'SK-data'!BY126</f>
        <v>7.7590284547225941E-2</v>
      </c>
      <c r="CZ9" s="455">
        <f>'SK-data'!BZ73/'SK-data'!BZ126</f>
        <v>4.9565927892962929E-2</v>
      </c>
      <c r="DA9" s="455">
        <f>'SK-data'!CA73/'SK-data'!CA126</f>
        <v>4.558821311511065</v>
      </c>
      <c r="DB9" s="455">
        <f>'SK-data'!CB73/'SK-data'!CB126</f>
        <v>1.1336568126381763</v>
      </c>
      <c r="DC9" s="455">
        <f>'SK-data'!CC73/'SK-data'!CC126</f>
        <v>0.68114606548945655</v>
      </c>
      <c r="DD9" s="455">
        <f>'SK-data'!CD73/'SK-data'!CD126</f>
        <v>1.4043562308937241</v>
      </c>
      <c r="DE9" s="455">
        <f>'SK-data'!CE73/'SK-data'!CE126</f>
        <v>0.36797352289166657</v>
      </c>
      <c r="DF9" s="455">
        <f>'SK-data'!CF73/'SK-data'!CF126</f>
        <v>4.4771558767652882E-2</v>
      </c>
      <c r="DG9" s="455">
        <f>'SK-data'!CG73/'SK-data'!CG126</f>
        <v>1.1936981852368878E-2</v>
      </c>
    </row>
    <row r="10" spans="1:111" s="430" customFormat="1" ht="15.75" customHeight="1" thickBot="1" x14ac:dyDescent="0.3">
      <c r="A10" s="641"/>
      <c r="B10" s="670"/>
      <c r="C10" s="647" t="str">
        <f>'MD-ratings-year'!C7:E7</f>
        <v>Liquidity total</v>
      </c>
      <c r="D10" s="648"/>
      <c r="E10" s="648"/>
      <c r="F10" s="649"/>
      <c r="G10" s="423"/>
      <c r="H10" s="653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7"/>
      <c r="Z10" s="267"/>
      <c r="AA10" s="267"/>
      <c r="AB10" s="267"/>
      <c r="AC10" s="267"/>
      <c r="AD10" s="552"/>
      <c r="AE10" s="266"/>
    </row>
    <row r="11" spans="1:111" s="428" customFormat="1" ht="15.75" customHeight="1" thickBot="1" x14ac:dyDescent="0.3">
      <c r="A11" s="639">
        <f>'MD-ratings-year'!A8</f>
        <v>0.25</v>
      </c>
      <c r="B11" s="668" t="str">
        <f>'MD-ratings-year'!B8</f>
        <v>Profitability</v>
      </c>
      <c r="C11" s="425">
        <f>'MD-ratings-year'!C8</f>
        <v>0.1</v>
      </c>
      <c r="D11" s="426" t="str">
        <f>'MD-ratings-year'!D8</f>
        <v>ROA - Return on Assets</v>
      </c>
      <c r="E11" s="426" t="s">
        <v>1450</v>
      </c>
      <c r="F11" s="427" t="str">
        <f>'MD-ratings-year'!E8</f>
        <v>Net Profit ÷ Total Assets</v>
      </c>
      <c r="G11" s="422" t="s">
        <v>400</v>
      </c>
      <c r="H11" s="65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577">
        <f>'MD-ratios'!U11</f>
        <v>26.39308354104994</v>
      </c>
      <c r="V11" s="243"/>
      <c r="W11" s="243"/>
      <c r="X11" s="243"/>
      <c r="Y11" s="258">
        <f>'MD-ratings-year'!P8</f>
        <v>-0.10593817076660558</v>
      </c>
      <c r="Z11" s="568">
        <f>'MD-ratings-year'!Q8</f>
        <v>-5.2969085383302791E-2</v>
      </c>
      <c r="AA11" s="258">
        <f>'MD-ratings-year'!R8</f>
        <v>0</v>
      </c>
      <c r="AB11" s="568">
        <f>'MD-ratings-year'!S8</f>
        <v>5.2969085383302791E-2</v>
      </c>
      <c r="AC11" s="258">
        <f>'MD-ratings-year'!T8</f>
        <v>0.10593817076660558</v>
      </c>
      <c r="AD11" s="550"/>
      <c r="AE11" s="243"/>
      <c r="AF11" s="455">
        <f>'SK-data'!F212/'SK-data'!F3</f>
        <v>-7.9657393391389583E-4</v>
      </c>
      <c r="AG11" s="455">
        <f>'SK-data'!G212/'SK-data'!G3</f>
        <v>3.2529149373416964E-3</v>
      </c>
      <c r="AH11" s="455">
        <f>'SK-data'!H212/'SK-data'!H3</f>
        <v>4.8092213714700585E-3</v>
      </c>
      <c r="AI11" s="455">
        <f>'SK-data'!I212/'SK-data'!I3</f>
        <v>2.4168817783208941E-2</v>
      </c>
      <c r="AJ11" s="455">
        <f>'SK-data'!J212/'SK-data'!J3</f>
        <v>5.008054597965151E-2</v>
      </c>
      <c r="AK11" s="455">
        <f>'SK-data'!K212/'SK-data'!K3</f>
        <v>1.1438966316718818E-4</v>
      </c>
      <c r="AL11" s="455">
        <f>'SK-data'!L212/'SK-data'!L3</f>
        <v>1.365708484476133E-2</v>
      </c>
      <c r="AM11" s="455">
        <f>'SK-data'!M212/'SK-data'!M3</f>
        <v>0.13260778231167231</v>
      </c>
      <c r="AN11" s="455">
        <f>'SK-data'!N212/'SK-data'!N3</f>
        <v>2.5230713984695129E-2</v>
      </c>
      <c r="AO11" s="455">
        <f>'SK-data'!O212/'SK-data'!O3</f>
        <v>-8.2011719889473131E-3</v>
      </c>
      <c r="AP11" s="455">
        <f>'SK-data'!P212/'SK-data'!P3</f>
        <v>0.16441772608565364</v>
      </c>
      <c r="AQ11" s="455">
        <f>'SK-data'!Q212/'SK-data'!Q3</f>
        <v>-5.8019617075338037E-2</v>
      </c>
      <c r="AR11" s="455">
        <f>'SK-data'!R212/'SK-data'!R3</f>
        <v>9.2740474260594952E-2</v>
      </c>
      <c r="AS11" s="455">
        <f>'SK-data'!S212/'SK-data'!S3</f>
        <v>7.6887384709493398E-2</v>
      </c>
      <c r="AT11" s="455">
        <f>'SK-data'!T212/'SK-data'!T3</f>
        <v>1.0994463300296907E-2</v>
      </c>
      <c r="AU11" s="455">
        <f>'SK-data'!U212/'SK-data'!U3</f>
        <v>0.1360520098791968</v>
      </c>
      <c r="AV11" s="455">
        <f>'SK-data'!V212/'SK-data'!V3</f>
        <v>0.28145566739163419</v>
      </c>
      <c r="AW11" s="455">
        <f>'SK-data'!W212/'SK-data'!W3</f>
        <v>1.0934751519818446E-2</v>
      </c>
      <c r="AX11" s="455">
        <f>'SK-data'!X212/'SK-data'!X3</f>
        <v>-0.10926902665402474</v>
      </c>
      <c r="AY11" s="455">
        <f>'SK-data'!Y212/'SK-data'!Y3</f>
        <v>9.2986009247246065E-2</v>
      </c>
      <c r="AZ11" s="455">
        <f>'SK-data'!Z212/'SK-data'!Z3</f>
        <v>9.1575280609885804E-3</v>
      </c>
      <c r="BA11" s="455">
        <f>'SK-data'!AA212/'SK-data'!AA3</f>
        <v>3.1780634627745705E-3</v>
      </c>
      <c r="BB11" s="455">
        <f>'SK-data'!AB212/'SK-data'!AB3</f>
        <v>9.0503520965349582E-3</v>
      </c>
      <c r="BC11" s="455">
        <f>'SK-data'!AC212/'SK-data'!AC3</f>
        <v>-0.11945878519907573</v>
      </c>
      <c r="BD11" s="455">
        <f>'SK-data'!AD212/'SK-data'!AD3</f>
        <v>-3.4402757878549468E-2</v>
      </c>
      <c r="BE11" s="455">
        <f>'SK-data'!AE212/'SK-data'!AE3</f>
        <v>3.6504264118753654E-2</v>
      </c>
      <c r="BF11" s="455">
        <f>'SK-data'!AF212/'SK-data'!AF3</f>
        <v>-2.268251116093481E-2</v>
      </c>
      <c r="BG11" s="455">
        <f>'SK-data'!AG212/'SK-data'!AG3</f>
        <v>-2.0008302126365465E-2</v>
      </c>
      <c r="BH11" s="455">
        <f>'SK-data'!AH212/'SK-data'!AH3</f>
        <v>-3.1394555628828933E-3</v>
      </c>
      <c r="BI11" s="455">
        <f>'SK-data'!AI212/'SK-data'!AI3</f>
        <v>3.2187643010573752E-2</v>
      </c>
      <c r="BJ11" s="455">
        <f>'SK-data'!AJ212/'SK-data'!AJ3</f>
        <v>-2.1247058850229591E-2</v>
      </c>
      <c r="BK11" s="455">
        <f>'SK-data'!AK212/'SK-data'!AK3</f>
        <v>2.1459765403647867E-2</v>
      </c>
      <c r="BL11" s="455">
        <f>'SK-data'!AL212/'SK-data'!AL3</f>
        <v>7.7369594075697629E-2</v>
      </c>
      <c r="BM11" s="455">
        <f>'SK-data'!AM212/'SK-data'!AM3</f>
        <v>3.7399407499880626E-2</v>
      </c>
      <c r="BN11" s="455">
        <f>'SK-data'!AN212/'SK-data'!AN3</f>
        <v>2.9885189391939985E-3</v>
      </c>
      <c r="BO11" s="455">
        <f>'SK-data'!AO212/'SK-data'!AO3</f>
        <v>4.2466621248268529E-4</v>
      </c>
      <c r="BP11" s="455">
        <f>'SK-data'!AP212/'SK-data'!AP3</f>
        <v>0.14663498202987171</v>
      </c>
      <c r="BQ11" s="455">
        <f>'SK-data'!AQ212/'SK-data'!AQ3</f>
        <v>2.1546348886855953E-2</v>
      </c>
      <c r="BR11" s="455">
        <f>'SK-data'!AR212/'SK-data'!AR3</f>
        <v>-4.5284191903547134E-3</v>
      </c>
      <c r="BS11" s="455">
        <f>'SK-data'!AS212/'SK-data'!AS3</f>
        <v>6.9333984468555654E-2</v>
      </c>
      <c r="BT11" s="455">
        <f>'SK-data'!AT212/'SK-data'!AT3</f>
        <v>-6.6414958663736381E-2</v>
      </c>
      <c r="BU11" s="455">
        <f>'SK-data'!AU212/'SK-data'!AU3</f>
        <v>1.3656478904753442E-2</v>
      </c>
      <c r="BV11" s="455">
        <f>'SK-data'!AV212/'SK-data'!AV3</f>
        <v>2.7605676750706191E-2</v>
      </c>
      <c r="BW11" s="455">
        <f>'SK-data'!AW212/'SK-data'!AW3</f>
        <v>1.9283008549949462E-2</v>
      </c>
      <c r="BX11" s="455">
        <f>'SK-data'!AX212/'SK-data'!AX3</f>
        <v>0.11453952786380132</v>
      </c>
      <c r="BY11" s="455">
        <f>'SK-data'!AY212/'SK-data'!AY3</f>
        <v>0.12181276962847858</v>
      </c>
      <c r="BZ11" s="455">
        <f>'SK-data'!AZ212/'SK-data'!AZ3</f>
        <v>3.3282677983750585E-3</v>
      </c>
      <c r="CA11" s="455">
        <f>'SK-data'!BA212/'SK-data'!BA3</f>
        <v>1.0570840594381953E-2</v>
      </c>
      <c r="CB11" s="455">
        <f>'SK-data'!BB212/'SK-data'!BB3</f>
        <v>6.1957526179865947E-2</v>
      </c>
      <c r="CC11" s="455">
        <f>'SK-data'!BC212/'SK-data'!BC3</f>
        <v>2.6424890018995069E-2</v>
      </c>
      <c r="CD11" s="455">
        <f>'SK-data'!BD212/'SK-data'!BD3</f>
        <v>8.0888709502541775E-2</v>
      </c>
      <c r="CE11" s="455">
        <f>'SK-data'!BE212/'SK-data'!BE3</f>
        <v>4.4228774606658153E-2</v>
      </c>
      <c r="CF11" s="455">
        <f>'SK-data'!BF212/'SK-data'!BF3</f>
        <v>4.8543689320388345E-3</v>
      </c>
      <c r="CG11" s="455">
        <f>'SK-data'!BG212/'SK-data'!BG3</f>
        <v>2.6168359425496465E-3</v>
      </c>
      <c r="CH11" s="455">
        <f>'SK-data'!BH212/'SK-data'!BH3</f>
        <v>0.14597938462529456</v>
      </c>
      <c r="CI11" s="455">
        <f>'SK-data'!BI212/'SK-data'!BI3</f>
        <v>-3.1719025981583487E-3</v>
      </c>
      <c r="CJ11" s="455">
        <f>'SK-data'!BJ212/'SK-data'!BJ3</f>
        <v>3.7289770292078507E-2</v>
      </c>
      <c r="CK11" s="455">
        <f>'SK-data'!BK212/'SK-data'!BK3</f>
        <v>7.4653845742945575E-3</v>
      </c>
      <c r="CL11" s="455">
        <f>'SK-data'!BL212/'SK-data'!BL3</f>
        <v>4.3170589625148225E-3</v>
      </c>
      <c r="CM11" s="455">
        <f>'SK-data'!BM212/'SK-data'!BM3</f>
        <v>6.4309456564225695E-2</v>
      </c>
      <c r="CN11" s="455">
        <f>'SK-data'!BN212/'SK-data'!BN3</f>
        <v>1.5121117360235111E-2</v>
      </c>
      <c r="CO11" s="455">
        <f>'SK-data'!BO212/'SK-data'!BO3</f>
        <v>5.0665056044427545E-2</v>
      </c>
      <c r="CP11" s="455">
        <f>'SK-data'!BP212/'SK-data'!BP3</f>
        <v>2.411734488825247E-2</v>
      </c>
      <c r="CQ11" s="455">
        <f>'SK-data'!BQ212/'SK-data'!BQ3</f>
        <v>5.5511328034737156E-2</v>
      </c>
      <c r="CR11" s="455">
        <f>'SK-data'!BR212/'SK-data'!BR3</f>
        <v>3.1535852267841627E-2</v>
      </c>
      <c r="CS11" s="455">
        <f>'SK-data'!BS212/'SK-data'!BS3</f>
        <v>0.12671040292097621</v>
      </c>
      <c r="CT11" s="455">
        <f>'SK-data'!BT212/'SK-data'!BT3</f>
        <v>2.0215347767703753E-2</v>
      </c>
      <c r="CU11" s="455">
        <f>'SK-data'!BU212/'SK-data'!BU3</f>
        <v>7.2997175266430611E-2</v>
      </c>
      <c r="CV11" s="455">
        <f>'SK-data'!BV212/'SK-data'!BV3</f>
        <v>1.3627113757093709E-3</v>
      </c>
      <c r="CW11" s="455">
        <f>'SK-data'!BW212/'SK-data'!BW3</f>
        <v>7.5124729324349982E-4</v>
      </c>
      <c r="CX11" s="455">
        <f>'SK-data'!BX212/'SK-data'!BX3</f>
        <v>2.7708802868901404E-3</v>
      </c>
      <c r="CY11" s="455">
        <f>'SK-data'!BY212/'SK-data'!BY3</f>
        <v>6.5111910005807433E-2</v>
      </c>
      <c r="CZ11" s="455">
        <f>'SK-data'!BZ212/'SK-data'!BZ3</f>
        <v>2.4900052099043023E-2</v>
      </c>
      <c r="DA11" s="455">
        <f>'SK-data'!CA212/'SK-data'!CA3</f>
        <v>4.0488249271126285E-2</v>
      </c>
      <c r="DB11" s="455">
        <f>'SK-data'!CB212/'SK-data'!CB3</f>
        <v>2.1266441049825582E-2</v>
      </c>
      <c r="DC11" s="455">
        <f>'SK-data'!CC212/'SK-data'!CC3</f>
        <v>5.6619721337634078E-2</v>
      </c>
      <c r="DD11" s="455">
        <f>'SK-data'!CD212/'SK-data'!CD3</f>
        <v>7.5325268713349273E-4</v>
      </c>
      <c r="DE11" s="455">
        <f>'SK-data'!CE212/'SK-data'!CE3</f>
        <v>4.911650862174888E-3</v>
      </c>
      <c r="DF11" s="455">
        <f>'SK-data'!CF212/'SK-data'!CF3</f>
        <v>2.1739437315602988E-4</v>
      </c>
      <c r="DG11" s="455">
        <f>'SK-data'!CG212/'SK-data'!CG3</f>
        <v>-5.7097260223502467E-3</v>
      </c>
    </row>
    <row r="12" spans="1:111" ht="15.75" customHeight="1" thickBot="1" x14ac:dyDescent="0.3">
      <c r="A12" s="640"/>
      <c r="B12" s="669"/>
      <c r="C12" s="418">
        <f>'MD-ratings-year'!C9</f>
        <v>0.05</v>
      </c>
      <c r="D12" s="419" t="str">
        <f>'MD-ratings-year'!D9</f>
        <v>ROE - Return on Equity</v>
      </c>
      <c r="E12" s="419" t="s">
        <v>1451</v>
      </c>
      <c r="F12" s="420" t="str">
        <f>'MD-ratings-year'!E9</f>
        <v>Net Profit ÷ Equity</v>
      </c>
      <c r="G12" s="422" t="s">
        <v>400</v>
      </c>
      <c r="H12" s="653"/>
      <c r="I12" s="224"/>
      <c r="U12" s="570">
        <f>'MD-ratios'!U12</f>
        <v>31.848480957203769</v>
      </c>
      <c r="X12" s="224"/>
      <c r="Y12" s="226">
        <f>'MD-ratings-year'!P9</f>
        <v>-0.28675695733572315</v>
      </c>
      <c r="Z12" s="566">
        <f>'MD-ratings-year'!Q9</f>
        <v>-0.14337847866786158</v>
      </c>
      <c r="AA12" s="226">
        <f>'MD-ratings-year'!R9</f>
        <v>0</v>
      </c>
      <c r="AB12" s="566">
        <f>'MD-ratings-year'!S9</f>
        <v>0.14337847866786158</v>
      </c>
      <c r="AC12" s="226">
        <f>'MD-ratings-year'!T9</f>
        <v>0.28675695733572315</v>
      </c>
      <c r="AF12" s="456">
        <f>'SK-data'!F212/'SK-data'!F84</f>
        <v>-8.7622912425815744E-4</v>
      </c>
      <c r="AG12" s="456">
        <f>'SK-data'!G212/'SK-data'!G84</f>
        <v>3.3287500855680467E-3</v>
      </c>
      <c r="AH12" s="456">
        <f>'SK-data'!H212/'SK-data'!H84</f>
        <v>9.3353209294473726E-3</v>
      </c>
      <c r="AI12" s="456">
        <f>'SK-data'!I212/'SK-data'!I84</f>
        <v>7.6524098998174445E-2</v>
      </c>
      <c r="AJ12" s="456">
        <f>'SK-data'!J212/'SK-data'!J84</f>
        <v>9.4774906278753623E-2</v>
      </c>
      <c r="AK12" s="456">
        <f>'SK-data'!K212/'SK-data'!K84</f>
        <v>1.2848677440009917E-4</v>
      </c>
      <c r="AL12" s="456">
        <f>'SK-data'!L212/'SK-data'!L84</f>
        <v>1.7346212203782633E-2</v>
      </c>
      <c r="AM12" s="456">
        <f>'SK-data'!M212/'SK-data'!M84</f>
        <v>0.20016436759139394</v>
      </c>
      <c r="AN12" s="456">
        <f>'SK-data'!N212/'SK-data'!N84</f>
        <v>7.9135253451512025E-2</v>
      </c>
      <c r="AO12" s="456">
        <f>'SK-data'!O212/'SK-data'!O84</f>
        <v>-0.10623966137823775</v>
      </c>
      <c r="AP12" s="456">
        <f>'SK-data'!P212/'SK-data'!P84</f>
        <v>0.27079814059012836</v>
      </c>
      <c r="AQ12" s="456">
        <f>'SK-data'!Q212/'SK-data'!Q84</f>
        <v>-5.825257208078919E-2</v>
      </c>
      <c r="AR12" s="456">
        <f>'SK-data'!R212/'SK-data'!R84</f>
        <v>0.20230176877640055</v>
      </c>
      <c r="AS12" s="456">
        <f>'SK-data'!S212/'SK-data'!S84</f>
        <v>0.53702794125491171</v>
      </c>
      <c r="AT12" s="456">
        <f>'SK-data'!T212/'SK-data'!T84</f>
        <v>2.3117900819692262E-2</v>
      </c>
      <c r="AU12" s="456">
        <f>'SK-data'!U212/'SK-data'!U84</f>
        <v>0.37841153464437349</v>
      </c>
      <c r="AV12" s="456">
        <f>'SK-data'!V212/'SK-data'!V84</f>
        <v>0.51756479488672402</v>
      </c>
      <c r="AW12" s="456">
        <f>'SK-data'!W212/'SK-data'!W84</f>
        <v>1.1754024689263672E-2</v>
      </c>
      <c r="AX12" s="456">
        <f>'SK-data'!X212/'SK-data'!X84</f>
        <v>-0.12046723419452218</v>
      </c>
      <c r="AY12" s="456">
        <f>'SK-data'!Y212/'SK-data'!Y84</f>
        <v>0.95269043984642254</v>
      </c>
      <c r="AZ12" s="456">
        <f>'SK-data'!Z212/'SK-data'!Z84</f>
        <v>6.327737452516384E-2</v>
      </c>
      <c r="BA12" s="456">
        <f>'SK-data'!AA212/'SK-data'!AA84</f>
        <v>3.2916390866538077E-3</v>
      </c>
      <c r="BB12" s="456">
        <f>'SK-data'!AB212/'SK-data'!AB84</f>
        <v>1.0247904430475789E-2</v>
      </c>
      <c r="BC12" s="456">
        <f>'SK-data'!AC212/'SK-data'!AC84</f>
        <v>-0.15016538587554398</v>
      </c>
      <c r="BD12" s="456">
        <f>'SK-data'!AD212/'SK-data'!AD84</f>
        <v>-4.0791183691876412E-2</v>
      </c>
      <c r="BE12" s="456">
        <f>'SK-data'!AE212/'SK-data'!AE84</f>
        <v>3.8281830725559851E-2</v>
      </c>
      <c r="BF12" s="456">
        <f>'SK-data'!AF212/'SK-data'!AF84</f>
        <v>-3.0311541406493628E-2</v>
      </c>
      <c r="BG12" s="456">
        <f>'SK-data'!AG212/'SK-data'!AG84</f>
        <v>-2.2266174144273964E-2</v>
      </c>
      <c r="BH12" s="456">
        <f>'SK-data'!AH212/'SK-data'!AH84</f>
        <v>-3.7770751320485084E-3</v>
      </c>
      <c r="BI12" s="456">
        <f>'SK-data'!AI212/'SK-data'!AI84</f>
        <v>5.5205343490973467E-2</v>
      </c>
      <c r="BJ12" s="456">
        <f>'SK-data'!AJ212/'SK-data'!AJ84</f>
        <v>-0.15811696502745046</v>
      </c>
      <c r="BK12" s="456">
        <f>'SK-data'!AK212/'SK-data'!AK84</f>
        <v>2.9708504973889723E-2</v>
      </c>
      <c r="BL12" s="456">
        <f>'SK-data'!AL212/'SK-data'!AL84</f>
        <v>0.51042029389848109</v>
      </c>
      <c r="BM12" s="456">
        <f>'SK-data'!AM212/'SK-data'!AM84</f>
        <v>5.8655286491588049E-2</v>
      </c>
      <c r="BN12" s="456">
        <f>'SK-data'!AN212/'SK-data'!AN84</f>
        <v>6.6845680330537786E-3</v>
      </c>
      <c r="BO12" s="456">
        <f>'SK-data'!AO212/'SK-data'!AO84</f>
        <v>4.8238148513407532E-4</v>
      </c>
      <c r="BP12" s="456">
        <f>'SK-data'!AP212/'SK-data'!AP84</f>
        <v>0.35761922724949535</v>
      </c>
      <c r="BQ12" s="456">
        <f>'SK-data'!AQ212/'SK-data'!AQ84</f>
        <v>3.5668010420443277E-2</v>
      </c>
      <c r="BR12" s="456">
        <f>'SK-data'!AR212/'SK-data'!AR84</f>
        <v>-1.0170720875765628E-2</v>
      </c>
      <c r="BS12" s="456">
        <f>'SK-data'!AS212/'SK-data'!AS84</f>
        <v>0.5778930291527985</v>
      </c>
      <c r="BT12" s="456">
        <f>'SK-data'!AT212/'SK-data'!AT84</f>
        <v>-7.1985673014993534E-2</v>
      </c>
      <c r="BU12" s="456">
        <f>'SK-data'!AU212/'SK-data'!AU84</f>
        <v>-3.1996253083183761E-2</v>
      </c>
      <c r="BV12" s="456">
        <f>'SK-data'!AV212/'SK-data'!AV84</f>
        <v>3.2330108560038859E-2</v>
      </c>
      <c r="BW12" s="456">
        <f>'SK-data'!AW212/'SK-data'!AW84</f>
        <v>2.3661032692530976E-2</v>
      </c>
      <c r="BX12" s="456">
        <f>'SK-data'!AX212/'SK-data'!AX84</f>
        <v>0.20511637023690565</v>
      </c>
      <c r="BY12" s="456">
        <f>'SK-data'!AY212/'SK-data'!AY84</f>
        <v>0.90468869320903356</v>
      </c>
      <c r="BZ12" s="456">
        <f>'SK-data'!AZ212/'SK-data'!AZ84</f>
        <v>3.7076924130562822E-3</v>
      </c>
      <c r="CA12" s="456">
        <f>'SK-data'!BA212/'SK-data'!BA84</f>
        <v>1.6150313534070999E-2</v>
      </c>
      <c r="CB12" s="456">
        <f>'SK-data'!BB212/'SK-data'!BB84</f>
        <v>0.10384533018776845</v>
      </c>
      <c r="CC12" s="456">
        <f>'SK-data'!BC212/'SK-data'!BC84</f>
        <v>7.0186660824737748E-2</v>
      </c>
      <c r="CD12" s="456">
        <f>'SK-data'!BD212/'SK-data'!BD84</f>
        <v>0.12170879983810658</v>
      </c>
      <c r="CE12" s="456">
        <f>'SK-data'!BE212/'SK-data'!BE84</f>
        <v>0.11379815584380679</v>
      </c>
      <c r="CF12" s="456">
        <f>'SK-data'!BF212/'SK-data'!BF84</f>
        <v>9.4880866488755988E-3</v>
      </c>
      <c r="CG12" s="456">
        <f>'SK-data'!BG212/'SK-data'!BG84</f>
        <v>6.1004053374018449E-3</v>
      </c>
      <c r="CH12" s="456">
        <f>'SK-data'!BH212/'SK-data'!BH84</f>
        <v>0.16819488881492914</v>
      </c>
      <c r="CI12" s="456">
        <f>'SK-data'!BI212/'SK-data'!BI84</f>
        <v>-4.7211697555073666E-3</v>
      </c>
      <c r="CJ12" s="456">
        <f>'SK-data'!BJ212/'SK-data'!BJ84</f>
        <v>5.6779057156132462E-2</v>
      </c>
      <c r="CK12" s="456">
        <f>'SK-data'!BK212/'SK-data'!BK84</f>
        <v>8.0813186883176378E-3</v>
      </c>
      <c r="CL12" s="456">
        <f>'SK-data'!BL212/'SK-data'!BL84</f>
        <v>4.579235950413465E-3</v>
      </c>
      <c r="CM12" s="456">
        <f>'SK-data'!BM212/'SK-data'!BM84</f>
        <v>7.7931698468456809E-2</v>
      </c>
      <c r="CN12" s="456">
        <f>'SK-data'!BN212/'SK-data'!BN84</f>
        <v>2.7076859579510705E-2</v>
      </c>
      <c r="CO12" s="456">
        <f>'SK-data'!BO212/'SK-data'!BO84</f>
        <v>5.600356314732878E-2</v>
      </c>
      <c r="CP12" s="456">
        <f>'SK-data'!BP212/'SK-data'!BP84</f>
        <v>3.2669395966621058E-2</v>
      </c>
      <c r="CQ12" s="456">
        <f>'SK-data'!BQ212/'SK-data'!BQ84</f>
        <v>6.4803556383033006E-2</v>
      </c>
      <c r="CR12" s="456">
        <f>'SK-data'!BR212/'SK-data'!BR84</f>
        <v>4.1098140087696897E-2</v>
      </c>
      <c r="CS12" s="456">
        <f>'SK-data'!BS212/'SK-data'!BS84</f>
        <v>0.51458679997363566</v>
      </c>
      <c r="CT12" s="456">
        <f>'SK-data'!BT212/'SK-data'!BT84</f>
        <v>2.2456253897975537E-2</v>
      </c>
      <c r="CU12" s="456">
        <f>'SK-data'!BU212/'SK-data'!BU84</f>
        <v>0.43381383398682116</v>
      </c>
      <c r="CV12" s="456">
        <f>'SK-data'!BV212/'SK-data'!BV84</f>
        <v>1.3647648829156335E-3</v>
      </c>
      <c r="CW12" s="456">
        <f>'SK-data'!BW212/'SK-data'!BW84</f>
        <v>2.0511974206013149E-3</v>
      </c>
      <c r="CX12" s="456">
        <f>'SK-data'!BX212/'SK-data'!BX84</f>
        <v>3.5430588516660059E-3</v>
      </c>
      <c r="CY12" s="456">
        <f>'SK-data'!BY212/'SK-data'!BY84</f>
        <v>0.20498499421407002</v>
      </c>
      <c r="CZ12" s="456">
        <f>'SK-data'!BZ212/'SK-data'!BZ84</f>
        <v>3.5125178511473475E-2</v>
      </c>
      <c r="DA12" s="456">
        <f>'SK-data'!CA212/'SK-data'!CA84</f>
        <v>4.9138042453110202E-2</v>
      </c>
      <c r="DB12" s="456">
        <f>'SK-data'!CB212/'SK-data'!CB84</f>
        <v>3.3839783657775027E-2</v>
      </c>
      <c r="DC12" s="456">
        <f>'SK-data'!CC212/'SK-data'!CC84</f>
        <v>0.16985202729639096</v>
      </c>
      <c r="DD12" s="456">
        <f>'SK-data'!CD212/'SK-data'!CD84</f>
        <v>1.2128185536428603E-3</v>
      </c>
      <c r="DE12" s="456">
        <f>'SK-data'!CE212/'SK-data'!CE84</f>
        <v>1.0429022399736924E-2</v>
      </c>
      <c r="DF12" s="456">
        <f>'SK-data'!CF212/'SK-data'!CF84</f>
        <v>6.5810278368930706E-4</v>
      </c>
      <c r="DG12" s="456">
        <f>'SK-data'!CG212/'SK-data'!CG84</f>
        <v>-3.947977072369524E-2</v>
      </c>
    </row>
    <row r="13" spans="1:111" ht="15.75" customHeight="1" thickBot="1" x14ac:dyDescent="0.3">
      <c r="A13" s="640"/>
      <c r="B13" s="669"/>
      <c r="C13" s="418">
        <f>'MD-ratings-year'!C10</f>
        <v>0.1</v>
      </c>
      <c r="D13" s="419" t="str">
        <f>'MD-ratings-year'!D10</f>
        <v>ROS – Return on Sales</v>
      </c>
      <c r="E13" s="419" t="s">
        <v>1452</v>
      </c>
      <c r="F13" s="420" t="str">
        <f>'MD-ratings-year'!E10</f>
        <v>Net Profit ÷ Sales</v>
      </c>
      <c r="G13" s="422" t="s">
        <v>400</v>
      </c>
      <c r="H13" s="653"/>
      <c r="I13" s="224"/>
      <c r="U13" s="570">
        <f>'MD-ratios'!U13</f>
        <v>17.296150581224119</v>
      </c>
      <c r="X13" s="224"/>
      <c r="Y13" s="226">
        <f>'MD-ratings-year'!P10</f>
        <v>-0.14571660974295453</v>
      </c>
      <c r="Z13" s="566">
        <f>'MD-ratings-year'!Q10</f>
        <v>-7.2858304871477264E-2</v>
      </c>
      <c r="AA13" s="226">
        <f>'MD-ratings-year'!R10</f>
        <v>0</v>
      </c>
      <c r="AB13" s="566">
        <f>'MD-ratings-year'!S10</f>
        <v>7.2858304871477264E-2</v>
      </c>
      <c r="AC13" s="226">
        <f>'MD-ratings-year'!T10</f>
        <v>0.14571660974295453</v>
      </c>
      <c r="AF13" s="456">
        <f>'SK-data'!F212/'SK-data'!F152</f>
        <v>-1.7112761610485767E-3</v>
      </c>
      <c r="AG13" s="456">
        <f>'SK-data'!G212/'SK-data'!G152</f>
        <v>1.4084040967075958E-2</v>
      </c>
      <c r="AH13" s="456">
        <f>'SK-data'!H212/'SK-data'!H152</f>
        <v>6.2227150816067727E-3</v>
      </c>
      <c r="AI13" s="456">
        <f>'SK-data'!I212/'SK-data'!I152</f>
        <v>3.3369883722220953E-2</v>
      </c>
      <c r="AJ13" s="456">
        <f>'SK-data'!J212/'SK-data'!J152</f>
        <v>0.15524650595185549</v>
      </c>
      <c r="AK13" s="456">
        <f>'SK-data'!K212/'SK-data'!K152</f>
        <v>1.781467856253591E-4</v>
      </c>
      <c r="AL13" s="456">
        <f>'SK-data'!L212/'SK-data'!L152</f>
        <v>1.8074784999663768E-2</v>
      </c>
      <c r="AM13" s="456">
        <f>'SK-data'!M212/'SK-data'!M152</f>
        <v>5.7870260544784544E-2</v>
      </c>
      <c r="AN13" s="456">
        <f>'SK-data'!N212/'SK-data'!N152</f>
        <v>5.8173363001212857E-3</v>
      </c>
      <c r="AO13" s="456">
        <f>'SK-data'!O212/'SK-data'!O152</f>
        <v>-1.6237251572851414E-3</v>
      </c>
      <c r="AP13" s="456">
        <f>'SK-data'!P212/'SK-data'!P152</f>
        <v>7.9006693985398432E-2</v>
      </c>
      <c r="AQ13" s="456">
        <f>'SK-data'!Q212/'SK-data'!Q152</f>
        <v>-2.8970821565244216</v>
      </c>
      <c r="AR13" s="456">
        <f>'SK-data'!R212/'SK-data'!R152</f>
        <v>4.9373390574167043E-2</v>
      </c>
      <c r="AS13" s="456">
        <f>'SK-data'!S212/'SK-data'!S152</f>
        <v>1.1595332857470365E-2</v>
      </c>
      <c r="AT13" s="456">
        <f>'SK-data'!T212/'SK-data'!T152</f>
        <v>3.6733819547907373E-2</v>
      </c>
      <c r="AU13" s="456">
        <f>'SK-data'!U212/'SK-data'!U152</f>
        <v>0.53875154726682806</v>
      </c>
      <c r="AV13" s="456">
        <f>'SK-data'!V212/'SK-data'!V152</f>
        <v>0.12183928569571389</v>
      </c>
      <c r="AW13" s="456">
        <f>'SK-data'!W212/'SK-data'!W152</f>
        <v>3.4124272818691952E-2</v>
      </c>
      <c r="AX13" s="456">
        <f>'SK-data'!X212/'SK-data'!X152</f>
        <v>-6.3623604766116202</v>
      </c>
      <c r="AY13" s="456">
        <f>'SK-data'!Y212/'SK-data'!Y152</f>
        <v>1.6278345409245196E-2</v>
      </c>
      <c r="AZ13" s="456">
        <f>'SK-data'!Z212/'SK-data'!Z152</f>
        <v>0.32507769466201064</v>
      </c>
      <c r="BA13" s="456">
        <f>'SK-data'!AA212/'SK-data'!AA152</f>
        <v>1.3956944142497377E-2</v>
      </c>
      <c r="BB13" s="456">
        <f>'SK-data'!AB212/'SK-data'!AB152</f>
        <v>3.6234881203756883E-2</v>
      </c>
      <c r="BC13" s="456">
        <f>'SK-data'!AC212/'SK-data'!AC152</f>
        <v>-9.6527418292299785E-2</v>
      </c>
      <c r="BD13" s="456">
        <f>'SK-data'!AD212/'SK-data'!AD152</f>
        <v>-0.12615384832310533</v>
      </c>
      <c r="BE13" s="456">
        <f>'SK-data'!AE212/'SK-data'!AE152</f>
        <v>0.24420220653034164</v>
      </c>
      <c r="BF13" s="456">
        <f>'SK-data'!AF212/'SK-data'!AF152</f>
        <v>-0.35858397987351726</v>
      </c>
      <c r="BG13" s="456">
        <f>'SK-data'!AG212/'SK-data'!AG152</f>
        <v>-0.89358630931727023</v>
      </c>
      <c r="BH13" s="456">
        <f>'SK-data'!AH212/'SK-data'!AH152</f>
        <v>-5.235527773973029E-2</v>
      </c>
      <c r="BI13" s="456">
        <f>'SK-data'!AI212/'SK-data'!AI152</f>
        <v>6.4123296199152371E-2</v>
      </c>
      <c r="BJ13" s="456">
        <f>'SK-data'!AJ212/'SK-data'!AJ152</f>
        <v>-0.16316124850907626</v>
      </c>
      <c r="BK13" s="456">
        <f>'SK-data'!AK212/'SK-data'!AK152</f>
        <v>3.1441609150073872E-2</v>
      </c>
      <c r="BL13" s="456">
        <f>'SK-data'!AL212/'SK-data'!AL152</f>
        <v>1.2977109456055671E-2</v>
      </c>
      <c r="BM13" s="456">
        <f>'SK-data'!AM212/'SK-data'!AM152</f>
        <v>4.2189173492042181E-2</v>
      </c>
      <c r="BN13" s="456">
        <f>'SK-data'!AN212/'SK-data'!AN152</f>
        <v>7.3896280377966694E-2</v>
      </c>
      <c r="BO13" s="456">
        <f>'SK-data'!AO212/'SK-data'!AO152</f>
        <v>6.0927399810018423E-4</v>
      </c>
      <c r="BP13" s="456">
        <f>'SK-data'!AP212/'SK-data'!AP152</f>
        <v>7.8655954598816705E-2</v>
      </c>
      <c r="BQ13" s="456">
        <f>'SK-data'!AQ212/'SK-data'!AQ152</f>
        <v>2.7149356284248714E-2</v>
      </c>
      <c r="BR13" s="456">
        <f>'SK-data'!AR212/'SK-data'!AR152</f>
        <v>-2.6233857037241954E-3</v>
      </c>
      <c r="BS13" s="456">
        <f>'SK-data'!AS212/'SK-data'!AS152</f>
        <v>1.5262432896478818E-2</v>
      </c>
      <c r="BT13" s="456">
        <f>'SK-data'!AT212/'SK-data'!AT152</f>
        <v>-0.5006153905067553</v>
      </c>
      <c r="BU13" s="456">
        <f>'SK-data'!AU212/'SK-data'!AU152</f>
        <v>3.1721246144247269E-3</v>
      </c>
      <c r="BV13" s="456">
        <f>'SK-data'!AV212/'SK-data'!AV152</f>
        <v>1.0930571951282728E-2</v>
      </c>
      <c r="BW13" s="456">
        <f>'SK-data'!AW212/'SK-data'!AW152</f>
        <v>4.2153892938809898E-3</v>
      </c>
      <c r="BX13" s="456">
        <f>'SK-data'!AX212/'SK-data'!AX152</f>
        <v>8.2345708980165397E-2</v>
      </c>
      <c r="BY13" s="456">
        <f>'SK-data'!AY212/'SK-data'!AY152</f>
        <v>4.5521122978147643E-2</v>
      </c>
      <c r="BZ13" s="456">
        <f>'SK-data'!AZ212/'SK-data'!AZ152</f>
        <v>4.7976055174125051E-3</v>
      </c>
      <c r="CA13" s="456">
        <f>'SK-data'!BA212/'SK-data'!BA152</f>
        <v>3.6639241124653769E-2</v>
      </c>
      <c r="CB13" s="456">
        <f>'SK-data'!BB212/'SK-data'!BB152</f>
        <v>4.7606601943432893E-2</v>
      </c>
      <c r="CC13" s="456">
        <f>'SK-data'!BC212/'SK-data'!BC152</f>
        <v>3.4787093534780815E-2</v>
      </c>
      <c r="CD13" s="456">
        <f>'SK-data'!BD212/'SK-data'!BD152</f>
        <v>0.18210619180190851</v>
      </c>
      <c r="CE13" s="456">
        <f>'SK-data'!BE212/'SK-data'!BE152</f>
        <v>0.22281080956577862</v>
      </c>
      <c r="CF13" s="456">
        <f>'SK-data'!BF212/'SK-data'!BF152</f>
        <v>7.1257201612508368E-3</v>
      </c>
      <c r="CG13" s="456">
        <f>'SK-data'!BG212/'SK-data'!BG152</f>
        <v>1.0871314400339813E-2</v>
      </c>
      <c r="CH13" s="456">
        <f>'SK-data'!BH212/'SK-data'!BH152</f>
        <v>0.32654309452675834</v>
      </c>
      <c r="CI13" s="456">
        <f>'SK-data'!BI212/'SK-data'!BI152</f>
        <v>-6.3154357713689852E-2</v>
      </c>
      <c r="CJ13" s="456">
        <f>'SK-data'!BJ212/'SK-data'!BJ152</f>
        <v>4.8707677219276255E-2</v>
      </c>
      <c r="CK13" s="456">
        <f>'SK-data'!BK212/'SK-data'!BK152</f>
        <v>1.664889532217698E-2</v>
      </c>
      <c r="CL13" s="456">
        <f>'SK-data'!BL212/'SK-data'!BL152</f>
        <v>5.9080528974960009E-2</v>
      </c>
      <c r="CM13" s="456">
        <f>'SK-data'!BM212/'SK-data'!BM152</f>
        <v>9.6215347905997811E-2</v>
      </c>
      <c r="CN13" s="456">
        <f>'SK-data'!BN212/'SK-data'!BN152</f>
        <v>1.7076729300978952E-2</v>
      </c>
      <c r="CO13" s="456">
        <f>'SK-data'!BO212/'SK-data'!BO152</f>
        <v>6.5796258042056799E-2</v>
      </c>
      <c r="CP13" s="456">
        <f>'SK-data'!BP212/'SK-data'!BP152</f>
        <v>1.7233217667984978E-2</v>
      </c>
      <c r="CQ13" s="456">
        <f>'SK-data'!BQ212/'SK-data'!BQ152</f>
        <v>0.10634315403373049</v>
      </c>
      <c r="CR13" s="456">
        <f>'SK-data'!BR212/'SK-data'!BR152</f>
        <v>4.5887346275466458E-2</v>
      </c>
      <c r="CS13" s="456">
        <f>'SK-data'!BS212/'SK-data'!BS152</f>
        <v>1.722015563952815E-2</v>
      </c>
      <c r="CT13" s="456">
        <f>'SK-data'!BT212/'SK-data'!BT152</f>
        <v>0.12791336122805272</v>
      </c>
      <c r="CU13" s="456">
        <f>'SK-data'!BU212/'SK-data'!BU152</f>
        <v>1.6065458698793229E-2</v>
      </c>
      <c r="CV13" s="456">
        <f>'SK-data'!BV212/'SK-data'!BV152</f>
        <v>0.30832996499208726</v>
      </c>
      <c r="CW13" s="456">
        <f>'SK-data'!BW212/'SK-data'!BW152</f>
        <v>1.084021684287158E-2</v>
      </c>
      <c r="CX13" s="456">
        <f>'SK-data'!BX212/'SK-data'!BX152</f>
        <v>1.5995945079328392E-2</v>
      </c>
      <c r="CY13" s="456">
        <f>'SK-data'!BY212/'SK-data'!BY152</f>
        <v>2.5117419565464993E-2</v>
      </c>
      <c r="CZ13" s="456">
        <f>'SK-data'!BZ212/'SK-data'!BZ152</f>
        <v>0.90688291455279035</v>
      </c>
      <c r="DA13" s="456">
        <f>'SK-data'!CA212/'SK-data'!CA152</f>
        <v>5.2797185194508212E-2</v>
      </c>
      <c r="DB13" s="456">
        <f>'SK-data'!CB212/'SK-data'!CB152</f>
        <v>1.8597842178330888E-2</v>
      </c>
      <c r="DC13" s="456">
        <f>'SK-data'!CC212/'SK-data'!CC152</f>
        <v>1.3531362383821399</v>
      </c>
      <c r="DD13" s="456">
        <f>'SK-data'!CD212/'SK-data'!CD152</f>
        <v>4.2605490588392813E-3</v>
      </c>
      <c r="DE13" s="456">
        <f>'SK-data'!CE212/'SK-data'!CE152</f>
        <v>0.10402130170353112</v>
      </c>
      <c r="DF13" s="456">
        <f>'SK-data'!CF212/'SK-data'!CF152</f>
        <v>2.8644767679773819E-4</v>
      </c>
      <c r="DG13" s="456">
        <f>'SK-data'!CG212/'SK-data'!CG152</f>
        <v>-1.8629649899243615E-2</v>
      </c>
    </row>
    <row r="14" spans="1:111" s="428" customFormat="1" ht="15.75" customHeight="1" thickBot="1" x14ac:dyDescent="0.3">
      <c r="A14" s="641"/>
      <c r="B14" s="670"/>
      <c r="C14" s="650" t="str">
        <f>'MD-ratings-year'!C11:E11</f>
        <v>Profitability total</v>
      </c>
      <c r="D14" s="651"/>
      <c r="E14" s="651"/>
      <c r="F14" s="652"/>
      <c r="G14" s="422" t="s">
        <v>400</v>
      </c>
      <c r="H14" s="653"/>
      <c r="I14" s="270"/>
      <c r="J14" s="270"/>
      <c r="K14" s="270"/>
      <c r="L14" s="270"/>
      <c r="M14" s="270"/>
      <c r="N14" s="270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1"/>
      <c r="Z14" s="271"/>
      <c r="AA14" s="271"/>
      <c r="AB14" s="271"/>
      <c r="AC14" s="271"/>
      <c r="AD14" s="553"/>
      <c r="AE14" s="270"/>
    </row>
    <row r="15" spans="1:111" s="429" customFormat="1" ht="15.75" customHeight="1" thickBot="1" x14ac:dyDescent="0.3">
      <c r="A15" s="639">
        <f>'MD-ratings-year'!A12</f>
        <v>0.3</v>
      </c>
      <c r="B15" s="668" t="str">
        <f>'MD-ratings-year'!B12</f>
        <v>Leverage</v>
      </c>
      <c r="C15" s="418">
        <f>'MD-ratings-year'!C12</f>
        <v>0.15</v>
      </c>
      <c r="D15" s="419" t="str">
        <f>'MD-ratings-year'!D12</f>
        <v>Total Debt to Total Assets</v>
      </c>
      <c r="E15" s="419" t="s">
        <v>1453</v>
      </c>
      <c r="F15" s="420" t="str">
        <f>'MD-ratings-year'!E12</f>
        <v>Total Debt ÷ Total Assets</v>
      </c>
      <c r="G15" s="421" t="s">
        <v>400</v>
      </c>
      <c r="H15" s="653"/>
      <c r="I15" s="259"/>
      <c r="J15" s="259"/>
      <c r="K15" s="259"/>
      <c r="L15" s="259"/>
      <c r="M15" s="259"/>
      <c r="N15" s="259"/>
      <c r="O15" s="259"/>
      <c r="P15" s="259"/>
      <c r="Q15" s="259"/>
      <c r="R15" s="259"/>
      <c r="S15" s="259"/>
      <c r="T15" s="259"/>
      <c r="U15" s="576">
        <f>'MD-ratios'!U15</f>
        <v>47.086287214144001</v>
      </c>
      <c r="V15" s="259"/>
      <c r="W15" s="259"/>
      <c r="X15" s="259"/>
      <c r="Y15" s="260">
        <f>'MD-ratings-year'!P12</f>
        <v>0.42915244238690342</v>
      </c>
      <c r="Z15" s="567">
        <f>'MD-ratings-year'!Q12</f>
        <v>7.2526757140747924E-2</v>
      </c>
      <c r="AA15" s="567">
        <f>'MD-ratings-year'!R12</f>
        <v>2.2741136275318621E-2</v>
      </c>
      <c r="AB15" s="567">
        <f>'MD-ratings-year'!S12</f>
        <v>7.1305997880064496E-3</v>
      </c>
      <c r="AC15" s="260">
        <f>'MD-ratings-year'!T12</f>
        <v>0</v>
      </c>
      <c r="AD15" s="551"/>
      <c r="AE15" s="259"/>
      <c r="AF15" s="454">
        <f>'SK-data'!F105/'SK-data'!F83</f>
        <v>9.0746373014501558E-2</v>
      </c>
      <c r="AG15" s="454">
        <f>'SK-data'!G105/'SK-data'!G83</f>
        <v>2.1980326563770986E-2</v>
      </c>
      <c r="AH15" s="454">
        <f>'SK-data'!H105/'SK-data'!H83</f>
        <v>0.48411511960933834</v>
      </c>
      <c r="AI15" s="454">
        <f>'SK-data'!I105/'SK-data'!I83</f>
        <v>0.68413879310217329</v>
      </c>
      <c r="AJ15" s="454">
        <f>'SK-data'!J105/'SK-data'!J83</f>
        <v>0.46981096716899706</v>
      </c>
      <c r="AK15" s="454">
        <f>'SK-data'!K105/'SK-data'!K83</f>
        <v>0.10933965210971196</v>
      </c>
      <c r="AL15" s="454">
        <f>'SK-data'!L105/'SK-data'!L83</f>
        <v>0.21252410133987995</v>
      </c>
      <c r="AM15" s="454">
        <f>'SK-data'!M105/'SK-data'!M83</f>
        <v>0.3375052502012621</v>
      </c>
      <c r="AN15" s="454">
        <f>'SK-data'!N105/'SK-data'!N83</f>
        <v>0.68116973302986172</v>
      </c>
      <c r="AO15" s="454">
        <f>'SK-data'!O105/'SK-data'!O83</f>
        <v>0.92280498749191942</v>
      </c>
      <c r="AP15" s="454">
        <f>'SK-data'!P105/'SK-data'!P83</f>
        <v>0.39284026940749495</v>
      </c>
      <c r="AQ15" s="454">
        <f>'SK-data'!Q105/'SK-data'!Q83</f>
        <v>3.9990509797244401E-3</v>
      </c>
      <c r="AR15" s="454">
        <f>'SK-data'!R105/'SK-data'!R83</f>
        <v>0.53125855614428574</v>
      </c>
      <c r="AS15" s="454">
        <f>'SK-data'!S105/'SK-data'!S83</f>
        <v>0.79469171016960138</v>
      </c>
      <c r="AT15" s="454">
        <f>'SK-data'!T105/'SK-data'!T83</f>
        <v>0.51398132546066622</v>
      </c>
      <c r="AU15" s="454">
        <f>'SK-data'!U105/'SK-data'!U83</f>
        <v>0.63824744115726995</v>
      </c>
      <c r="AV15" s="454">
        <f>'SK-data'!V105/'SK-data'!V83</f>
        <v>0.44333986647109402</v>
      </c>
      <c r="AW15" s="454">
        <f>'SK-data'!W105/'SK-data'!W83</f>
        <v>6.807711341143316E-2</v>
      </c>
      <c r="AX15" s="454">
        <f>'SK-data'!X105/'SK-data'!X83</f>
        <v>2.3899982655384899E-2</v>
      </c>
      <c r="AY15" s="454">
        <f>'SK-data'!Y105/'SK-data'!Y83</f>
        <v>0.90239640773320262</v>
      </c>
      <c r="AZ15" s="454">
        <f>'SK-data'!Z105/'SK-data'!Z83</f>
        <v>0.79562224341144927</v>
      </c>
      <c r="BA15" s="454">
        <f>'SK-data'!AA105/'SK-data'!AA83</f>
        <v>3.4504276103579527E-2</v>
      </c>
      <c r="BB15" s="454">
        <f>'SK-data'!AB105/'SK-data'!AB83</f>
        <v>8.3576176964447565E-2</v>
      </c>
      <c r="BC15" s="454">
        <f>'SK-data'!AC105/'SK-data'!AC83</f>
        <v>0.20335946212922087</v>
      </c>
      <c r="BD15" s="454">
        <f>'SK-data'!AD105/'SK-data'!AD83</f>
        <v>0.15617021492814512</v>
      </c>
      <c r="BE15" s="454">
        <f>'SK-data'!AE105/'SK-data'!AE83</f>
        <v>4.380596354808311E-2</v>
      </c>
      <c r="BF15" s="454">
        <f>'SK-data'!AF105/'SK-data'!AF83</f>
        <v>0.22241693375552549</v>
      </c>
      <c r="BG15" s="454">
        <f>'SK-data'!AG105/'SK-data'!AG83</f>
        <v>7.5610128594165868E-2</v>
      </c>
      <c r="BH15" s="454">
        <f>'SK-data'!AH105/'SK-data'!AH83</f>
        <v>1.0915293985530101E-2</v>
      </c>
      <c r="BI15" s="454">
        <f>'SK-data'!AI105/'SK-data'!AI83</f>
        <v>0.12532660760698169</v>
      </c>
      <c r="BJ15" s="454">
        <f>'SK-data'!AJ105/'SK-data'!AJ83</f>
        <v>7.2566327998270633E-2</v>
      </c>
      <c r="BK15" s="454">
        <f>'SK-data'!AK105/'SK-data'!AK83</f>
        <v>0.27658594195493574</v>
      </c>
      <c r="BL15" s="454">
        <f>'SK-data'!AL105/'SK-data'!AL83</f>
        <v>0.84841983165527135</v>
      </c>
      <c r="BM15" s="454">
        <f>'SK-data'!AM105/'SK-data'!AM83</f>
        <v>0.36206995819559423</v>
      </c>
      <c r="BN15" s="454">
        <f>'SK-data'!AN105/'SK-data'!AN83</f>
        <v>8.2307924425477269E-2</v>
      </c>
      <c r="BO15" s="454">
        <f>'SK-data'!AO105/'SK-data'!AO83</f>
        <v>0.11807237147604886</v>
      </c>
      <c r="BP15" s="454">
        <f>'SK-data'!AP105/'SK-data'!AP83</f>
        <v>0.45166381798850003</v>
      </c>
      <c r="BQ15" s="454">
        <f>'SK-data'!AQ105/'SK-data'!AQ83</f>
        <v>0.1654883439661399</v>
      </c>
      <c r="BR15" s="454">
        <f>'SK-data'!AR105/'SK-data'!AR83</f>
        <v>0.54424472704695892</v>
      </c>
      <c r="BS15" s="454">
        <f>'SK-data'!AS105/'SK-data'!AS83</f>
        <v>0.86141544802737569</v>
      </c>
      <c r="BT15" s="454">
        <f>'SK-data'!AT105/'SK-data'!AT83</f>
        <v>7.6978597309290561E-2</v>
      </c>
      <c r="BU15" s="454">
        <f>'SK-data'!AU105/'SK-data'!AU83</f>
        <v>1.3430503064701849</v>
      </c>
      <c r="BV15" s="454">
        <f>'SK-data'!AV105/'SK-data'!AV83</f>
        <v>0.11964862314142408</v>
      </c>
      <c r="BW15" s="454">
        <f>'SK-data'!AW105/'SK-data'!AW83</f>
        <v>0.18476001462370084</v>
      </c>
      <c r="BX15" s="454">
        <f>'SK-data'!AX105/'SK-data'!AX83</f>
        <v>0.43685562439321596</v>
      </c>
      <c r="BY15" s="454">
        <f>'SK-data'!AY105/'SK-data'!AY83</f>
        <v>0.86526636371565324</v>
      </c>
      <c r="BZ15" s="454">
        <f>'SK-data'!AZ105/'SK-data'!AZ83</f>
        <v>0.1023282889314539</v>
      </c>
      <c r="CA15" s="454">
        <f>'SK-data'!BA105/'SK-data'!BA83</f>
        <v>0.33762916967531637</v>
      </c>
      <c r="CB15" s="454">
        <f>'SK-data'!BB105/'SK-data'!BB83</f>
        <v>0.40317666819197251</v>
      </c>
      <c r="CC15" s="454">
        <f>'SK-data'!BC105/'SK-data'!BC83</f>
        <v>0.62350267695325312</v>
      </c>
      <c r="CD15" s="454">
        <f>'SK-data'!BD105/'SK-data'!BD83</f>
        <v>0.22139556152607312</v>
      </c>
      <c r="CE15" s="454">
        <f>'SK-data'!BE105/'SK-data'!BE83</f>
        <v>0.61133654486327793</v>
      </c>
      <c r="CF15" s="454">
        <f>'SK-data'!BF105/'SK-data'!BF83</f>
        <v>0.48837219645184099</v>
      </c>
      <c r="CG15" s="454">
        <f>'SK-data'!BG105/'SK-data'!BG83</f>
        <v>0.57103900514516404</v>
      </c>
      <c r="CH15" s="454">
        <f>'SK-data'!BH105/'SK-data'!BH83</f>
        <v>0.13208192202605573</v>
      </c>
      <c r="CI15" s="454">
        <f>'SK-data'!BI105/'SK-data'!BI83</f>
        <v>0.12964376870924371</v>
      </c>
      <c r="CJ15" s="454">
        <f>'SK-data'!BJ105/'SK-data'!BJ83</f>
        <v>0.34324780720577719</v>
      </c>
      <c r="CK15" s="454">
        <f>'SK-data'!BK105/'SK-data'!BK83</f>
        <v>7.5211705802286533E-2</v>
      </c>
      <c r="CL15" s="454">
        <f>'SK-data'!BL105/'SK-data'!BL83</f>
        <v>5.3306058817930629E-2</v>
      </c>
      <c r="CM15" s="454">
        <f>'SK-data'!BM105/'SK-data'!BM83</f>
        <v>0.17294371085725369</v>
      </c>
      <c r="CN15" s="454">
        <f>'SK-data'!BN105/'SK-data'!BN83</f>
        <v>0.41957530561241629</v>
      </c>
      <c r="CO15" s="454">
        <f>'SK-data'!BO105/'SK-data'!BO83</f>
        <v>9.0357888578771986E-2</v>
      </c>
      <c r="CP15" s="454">
        <f>'SK-data'!BP105/'SK-data'!BP83</f>
        <v>0.26177561063897176</v>
      </c>
      <c r="CQ15" s="454">
        <f>'SK-data'!BQ105/'SK-data'!BQ83</f>
        <v>0.12179512977260776</v>
      </c>
      <c r="CR15" s="454">
        <f>'SK-data'!BR105/'SK-data'!BR83</f>
        <v>0.23265106836783203</v>
      </c>
      <c r="CS15" s="454">
        <f>'SK-data'!BS105/'SK-data'!BS83</f>
        <v>0.43776946665241229</v>
      </c>
      <c r="CT15" s="454">
        <f>'SK-data'!BT105/'SK-data'!BT83</f>
        <v>8.714534623774732E-2</v>
      </c>
      <c r="CU15" s="454">
        <f>'SK-data'!BU105/'SK-data'!BU83</f>
        <v>0.83173156421598071</v>
      </c>
      <c r="CV15" s="454">
        <f>'SK-data'!BV105/'SK-data'!BV83</f>
        <v>1.5031680026780672E-3</v>
      </c>
      <c r="CW15" s="454">
        <f>'SK-data'!BW105/'SK-data'!BW83</f>
        <v>0.40260592447568311</v>
      </c>
      <c r="CX15" s="454">
        <f>'SK-data'!BX105/'SK-data'!BX83</f>
        <v>0.10795012736907329</v>
      </c>
      <c r="CY15" s="454">
        <f>'SK-data'!BY105/'SK-data'!BY83</f>
        <v>0.67489528203871552</v>
      </c>
      <c r="CZ15" s="454">
        <f>'SK-data'!BZ105/'SK-data'!BZ83</f>
        <v>0.29110532232855302</v>
      </c>
      <c r="DA15" s="454">
        <f>'SK-data'!CA105/'SK-data'!CA83</f>
        <v>0.12646577048701418</v>
      </c>
      <c r="DB15" s="454">
        <f>'SK-data'!CB105/'SK-data'!CB83</f>
        <v>0.37063431076238279</v>
      </c>
      <c r="DC15" s="454">
        <f>'SK-data'!CC105/'SK-data'!CC83</f>
        <v>0.66665266091388509</v>
      </c>
      <c r="DD15" s="454">
        <f>'SK-data'!CD105/'SK-data'!CD83</f>
        <v>0.12369780297205417</v>
      </c>
      <c r="DE15" s="454">
        <f>'SK-data'!CE105/'SK-data'!CE83</f>
        <v>8.1673590239904809E-2</v>
      </c>
      <c r="DF15" s="454">
        <f>'SK-data'!CF105/'SK-data'!CF83</f>
        <v>0.66966501503409137</v>
      </c>
      <c r="DG15" s="454">
        <f>'SK-data'!CG105/'SK-data'!CG83</f>
        <v>0.8277153921182705</v>
      </c>
    </row>
    <row r="16" spans="1:111" s="428" customFormat="1" ht="15.75" customHeight="1" thickBot="1" x14ac:dyDescent="0.3">
      <c r="A16" s="640"/>
      <c r="B16" s="669"/>
      <c r="C16" s="418">
        <f>'MD-ratings-year'!C13</f>
        <v>0.15</v>
      </c>
      <c r="D16" s="419" t="str">
        <f>'MD-ratings-year'!D13</f>
        <v>Debt-to-EBITDA Ratio</v>
      </c>
      <c r="E16" s="419" t="s">
        <v>1454</v>
      </c>
      <c r="F16" s="420" t="str">
        <f>'MD-ratings-year'!E13</f>
        <v>Total Debt / Earnings Before Interest Taxes Depreciation &amp; Amortization</v>
      </c>
      <c r="G16" s="422" t="s">
        <v>400</v>
      </c>
      <c r="H16" s="653"/>
      <c r="I16" s="243"/>
      <c r="J16" s="243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577">
        <f>'MD-ratios'!U16</f>
        <v>318.65408977205362</v>
      </c>
      <c r="V16" s="243"/>
      <c r="W16" s="243"/>
      <c r="X16" s="243"/>
      <c r="Y16" s="258">
        <f>'MD-ratings-year'!P13</f>
        <v>210.60483936461708</v>
      </c>
      <c r="Z16" s="568">
        <f>'MD-ratings-year'!Q13</f>
        <v>5.3219685148492397</v>
      </c>
      <c r="AA16" s="568">
        <f>'MD-ratings-year'!R13</f>
        <v>0.8898384879441904</v>
      </c>
      <c r="AB16" s="568">
        <f>'MD-ratings-year'!S13</f>
        <v>0.14878189008775705</v>
      </c>
      <c r="AC16" s="258">
        <f>'MD-ratings-year'!T13</f>
        <v>0</v>
      </c>
      <c r="AD16" s="550"/>
      <c r="AE16" s="243"/>
      <c r="AF16" s="455">
        <f>'SK-data'!F105/('SK-data'!F207 + 'SK-data'!F173 + 'SK-data'!F175 - 'SK-data'!F159)</f>
        <v>2.1320568958565791</v>
      </c>
      <c r="AG16" s="455">
        <f>'SK-data'!G105/('SK-data'!G207 + 'SK-data'!G173 + 'SK-data'!G175 - 'SK-data'!G159)</f>
        <v>0.79973849012456133</v>
      </c>
      <c r="AH16" s="455">
        <f>'SK-data'!H105/('SK-data'!H207 + 'SK-data'!H173 + 'SK-data'!H175 - 'SK-data'!H159)</f>
        <v>6.8815934640699954</v>
      </c>
      <c r="AI16" s="455">
        <f>'SK-data'!I105/('SK-data'!I207 + 'SK-data'!I173 + 'SK-data'!I175 - 'SK-data'!I159)</f>
        <v>5.9434168573625525</v>
      </c>
      <c r="AJ16" s="455">
        <f>'SK-data'!J105/('SK-data'!J207 + 'SK-data'!J173 + 'SK-data'!J175 - 'SK-data'!J159)</f>
        <v>6.4417567048299595</v>
      </c>
      <c r="AK16" s="455">
        <f>'SK-data'!K105/('SK-data'!K207 + 'SK-data'!K173 + 'SK-data'!K175 - 'SK-data'!K159)</f>
        <v>6.6460818534003296</v>
      </c>
      <c r="AL16" s="455">
        <f>'SK-data'!L105/('SK-data'!L207 + 'SK-data'!L173 + 'SK-data'!L175 - 'SK-data'!L159)</f>
        <v>1.0284498732684979</v>
      </c>
      <c r="AM16" s="455">
        <f>'SK-data'!M105/('SK-data'!M207 + 'SK-data'!M173 + 'SK-data'!M175 - 'SK-data'!M159)</f>
        <v>1.9341921740411303</v>
      </c>
      <c r="AN16" s="455">
        <f>'SK-data'!N105/('SK-data'!N207 + 'SK-data'!N173 + 'SK-data'!N175 - 'SK-data'!N159)</f>
        <v>27.193242131759732</v>
      </c>
      <c r="AO16" s="455">
        <f>'SK-data'!O105/('SK-data'!O207 + 'SK-data'!O173 + 'SK-data'!O175 - 'SK-data'!O159)</f>
        <v>18.186020558456178</v>
      </c>
      <c r="AP16" s="455">
        <f>'SK-data'!P105/('SK-data'!P207 + 'SK-data'!P173 + 'SK-data'!P175 - 'SK-data'!P159)</f>
        <v>1.4625857232771444</v>
      </c>
      <c r="AQ16" s="455">
        <f>'SK-data'!Q105/('SK-data'!Q207 + 'SK-data'!Q173 + 'SK-data'!Q175 - 'SK-data'!Q159)</f>
        <v>-0.23514575009081001</v>
      </c>
      <c r="AR16" s="455">
        <f>'SK-data'!R105/('SK-data'!R207 + 'SK-data'!R173 + 'SK-data'!R175 - 'SK-data'!R159)</f>
        <v>2.0234104231397545</v>
      </c>
      <c r="AS16" s="455">
        <f>'SK-data'!S105/('SK-data'!S207 + 'SK-data'!S173 + 'SK-data'!S175 - 'SK-data'!S159)</f>
        <v>7.0755853913516482</v>
      </c>
      <c r="AT16" s="455">
        <f>'SK-data'!T105/('SK-data'!T207 + 'SK-data'!T173 + 'SK-data'!T175 - 'SK-data'!T159)</f>
        <v>4.5350744848331646</v>
      </c>
      <c r="AU16" s="455">
        <f>'SK-data'!U105/('SK-data'!U207 + 'SK-data'!U173 + 'SK-data'!U175 - 'SK-data'!U159)</f>
        <v>3.5051106808048473</v>
      </c>
      <c r="AV16" s="455">
        <f>'SK-data'!V105/('SK-data'!V207 + 'SK-data'!V173 + 'SK-data'!V175 - 'SK-data'!V159)</f>
        <v>1.1675389636532376</v>
      </c>
      <c r="AW16" s="455">
        <f>'SK-data'!W105/('SK-data'!W207 + 'SK-data'!W173 + 'SK-data'!W175 - 'SK-data'!W159)</f>
        <v>-14.316491644501902</v>
      </c>
      <c r="AX16" s="455">
        <f>'SK-data'!X105/('SK-data'!X207 + 'SK-data'!X173 + 'SK-data'!X175 - 'SK-data'!X159)</f>
        <v>8.8279158528397819</v>
      </c>
      <c r="AY16" s="455">
        <f>'SK-data'!Y105/('SK-data'!Y207 + 'SK-data'!Y173 + 'SK-data'!Y175 - 'SK-data'!Y159)</f>
        <v>7.4797630179488115</v>
      </c>
      <c r="AZ16" s="455">
        <f>'SK-data'!Z105/('SK-data'!Z207 + 'SK-data'!Z173 + 'SK-data'!Z175 - 'SK-data'!Z159)</f>
        <v>29.149125169979989</v>
      </c>
      <c r="BA16" s="455">
        <f>'SK-data'!AA105/('SK-data'!AA207 + 'SK-data'!AA173 + 'SK-data'!AA175 - 'SK-data'!AA159)</f>
        <v>1.2931207775308076</v>
      </c>
      <c r="BB16" s="455">
        <f>'SK-data'!AB105/('SK-data'!AB207 + 'SK-data'!AB173 + 'SK-data'!AB175 - 'SK-data'!AB159)</f>
        <v>3.1882070802208968</v>
      </c>
      <c r="BC16" s="455">
        <f>'SK-data'!AC105/('SK-data'!AC207 + 'SK-data'!AC173 + 'SK-data'!AC175 - 'SK-data'!AC159)</f>
        <v>-3.83251432338156</v>
      </c>
      <c r="BD16" s="455">
        <f>'SK-data'!AD105/('SK-data'!AD207 + 'SK-data'!AD173 + 'SK-data'!AD175 - 'SK-data'!AD159)</f>
        <v>28.949620947910251</v>
      </c>
      <c r="BE16" s="455">
        <f>'SK-data'!AE105/('SK-data'!AE207 + 'SK-data'!AE173 + 'SK-data'!AE175 - 'SK-data'!AE159)</f>
        <v>0.53431697756622609</v>
      </c>
      <c r="BF16" s="455">
        <f>'SK-data'!AF105/('SK-data'!AF207 + 'SK-data'!AF173 + 'SK-data'!AF175 - 'SK-data'!AF159)</f>
        <v>12.891343507805979</v>
      </c>
      <c r="BG16" s="455">
        <f>'SK-data'!AG105/('SK-data'!AG207 + 'SK-data'!AG173 + 'SK-data'!AG175 - 'SK-data'!AG159)</f>
        <v>-7.6353687514010309</v>
      </c>
      <c r="BH16" s="455">
        <f>'SK-data'!AH105/('SK-data'!AH207 + 'SK-data'!AH173 + 'SK-data'!AH175 - 'SK-data'!AH159)</f>
        <v>0.60237801398128821</v>
      </c>
      <c r="BI16" s="455">
        <f>'SK-data'!AI105/('SK-data'!AI207 + 'SK-data'!AI173 + 'SK-data'!AI175 - 'SK-data'!AI159)</f>
        <v>1.3162651493000688</v>
      </c>
      <c r="BJ16" s="455">
        <f>'SK-data'!AJ105/('SK-data'!AJ207 + 'SK-data'!AJ173 + 'SK-data'!AJ175 - 'SK-data'!AJ159)</f>
        <v>2.2071842750146686</v>
      </c>
      <c r="BK16" s="455">
        <f>'SK-data'!AK105/('SK-data'!AK207 + 'SK-data'!AK173 + 'SK-data'!AK175 - 'SK-data'!AK159)</f>
        <v>2.519370379219859</v>
      </c>
      <c r="BL16" s="455">
        <f>'SK-data'!AL105/('SK-data'!AL207 + 'SK-data'!AL173 + 'SK-data'!AL175 - 'SK-data'!AL159)</f>
        <v>7.5677025039631758</v>
      </c>
      <c r="BM16" s="455">
        <f>'SK-data'!AM105/('SK-data'!AM207 + 'SK-data'!AM173 + 'SK-data'!AM175 - 'SK-data'!AM159)</f>
        <v>3.9021526900421679</v>
      </c>
      <c r="BN16" s="455">
        <f>'SK-data'!AN105/('SK-data'!AN207 + 'SK-data'!AN173 + 'SK-data'!AN175 - 'SK-data'!AN159)</f>
        <v>5.0446893677688216</v>
      </c>
      <c r="BO16" s="455">
        <f>'SK-data'!AO105/('SK-data'!AO207 + 'SK-data'!AO173 + 'SK-data'!AO175 - 'SK-data'!AO159)</f>
        <v>4.143019883063781</v>
      </c>
      <c r="BP16" s="455">
        <f>'SK-data'!AP105/('SK-data'!AP207 + 'SK-data'!AP173 + 'SK-data'!AP175 - 'SK-data'!AP159)</f>
        <v>2.0406928484633267</v>
      </c>
      <c r="BQ16" s="455">
        <f>'SK-data'!AQ105/('SK-data'!AQ207 + 'SK-data'!AQ173 + 'SK-data'!AQ175 - 'SK-data'!AQ159)</f>
        <v>1.7783965052734514</v>
      </c>
      <c r="BR16" s="455">
        <f>'SK-data'!AR105/('SK-data'!AR207 + 'SK-data'!AR173 + 'SK-data'!AR175 - 'SK-data'!AR159)</f>
        <v>22.906797163524637</v>
      </c>
      <c r="BS16" s="455">
        <f>'SK-data'!AS105/('SK-data'!AS207 + 'SK-data'!AS173 + 'SK-data'!AS175 - 'SK-data'!AS159)</f>
        <v>6.6947366127204582</v>
      </c>
      <c r="BT16" s="455">
        <f>'SK-data'!AT105/('SK-data'!AT207 + 'SK-data'!AT173 + 'SK-data'!AT175 - 'SK-data'!AT159)</f>
        <v>-2.3536879857634676</v>
      </c>
      <c r="BU16" s="455">
        <f>'SK-data'!AU105/('SK-data'!AU207 + 'SK-data'!AU173 + 'SK-data'!AU175 - 'SK-data'!AU159)</f>
        <v>28.926292846052789</v>
      </c>
      <c r="BV16" s="455">
        <f>'SK-data'!AV105/('SK-data'!AV207 + 'SK-data'!AV173 + 'SK-data'!AV175 - 'SK-data'!AV159)</f>
        <v>1.5454489616903171</v>
      </c>
      <c r="BW16" s="455">
        <f>'SK-data'!AW105/('SK-data'!AW207 + 'SK-data'!AW173 + 'SK-data'!AW175 - 'SK-data'!AW159)</f>
        <v>2.7014527127186483</v>
      </c>
      <c r="BX16" s="455">
        <f>'SK-data'!AX105/('SK-data'!AX207 + 'SK-data'!AX173 + 'SK-data'!AX175 - 'SK-data'!AX159)</f>
        <v>2.9062756019390452</v>
      </c>
      <c r="BY16" s="455">
        <f>'SK-data'!AY105/('SK-data'!AY207 + 'SK-data'!AY173 + 'SK-data'!AY175 - 'SK-data'!AY159)</f>
        <v>5.0218651869487951</v>
      </c>
      <c r="BZ16" s="455">
        <f>'SK-data'!AZ105/('SK-data'!AZ207 + 'SK-data'!AZ173 + 'SK-data'!AZ175 - 'SK-data'!AZ159)</f>
        <v>-49.778504672897199</v>
      </c>
      <c r="CA16" s="455">
        <f>'SK-data'!BA105/('SK-data'!BA207 + 'SK-data'!BA173 + 'SK-data'!BA175 - 'SK-data'!BA159)</f>
        <v>5.9107995257399173</v>
      </c>
      <c r="CB16" s="455">
        <f>'SK-data'!BB105/('SK-data'!BB207 + 'SK-data'!BB173 + 'SK-data'!BB175 - 'SK-data'!BB159)</f>
        <v>3.3346643101560636</v>
      </c>
      <c r="CC16" s="455">
        <f>'SK-data'!BC105/('SK-data'!BC207 + 'SK-data'!BC173 + 'SK-data'!BC175 - 'SK-data'!BC159)</f>
        <v>4.3650109123941911</v>
      </c>
      <c r="CD16" s="455">
        <f>'SK-data'!BD105/('SK-data'!BD207 + 'SK-data'!BD173 + 'SK-data'!BD175 - 'SK-data'!BD159)</f>
        <v>2.0105405703076595</v>
      </c>
      <c r="CE16" s="455">
        <f>'SK-data'!BE105/('SK-data'!BE207 + 'SK-data'!BE173 + 'SK-data'!BE175 - 'SK-data'!BE159)</f>
        <v>12.892309651502854</v>
      </c>
      <c r="CF16" s="455">
        <f>'SK-data'!BF105/('SK-data'!BF207 + 'SK-data'!BF173 + 'SK-data'!BF175 - 'SK-data'!BF159)</f>
        <v>54.280771131982206</v>
      </c>
      <c r="CG16" s="455">
        <f>'SK-data'!BG105/('SK-data'!BG207 + 'SK-data'!BG173 + 'SK-data'!BG175 - 'SK-data'!BG159)</f>
        <v>7.0487014295741854</v>
      </c>
      <c r="CH16" s="455">
        <f>'SK-data'!BH105/('SK-data'!BH207 + 'SK-data'!BH173 + 'SK-data'!BH175 - 'SK-data'!BH159)</f>
        <v>0.86926618164957326</v>
      </c>
      <c r="CI16" s="455">
        <f>'SK-data'!BI105/('SK-data'!BI207 + 'SK-data'!BI173 + 'SK-data'!BI175 - 'SK-data'!BI159)</f>
        <v>11.501346797606953</v>
      </c>
      <c r="CJ16" s="455">
        <f>'SK-data'!BJ105/('SK-data'!BJ207 + 'SK-data'!BJ173 + 'SK-data'!BJ175 - 'SK-data'!BJ159)</f>
        <v>1.881689695579674</v>
      </c>
      <c r="CK16" s="455">
        <f>'SK-data'!BK105/('SK-data'!BK207 + 'SK-data'!BK173 + 'SK-data'!BK175 - 'SK-data'!BK159)</f>
        <v>1.6281321642601456</v>
      </c>
      <c r="CL16" s="455">
        <f>'SK-data'!BL105/('SK-data'!BL207 + 'SK-data'!BL173 + 'SK-data'!BL175 - 'SK-data'!BL159)</f>
        <v>2.0414596659589623</v>
      </c>
      <c r="CM16" s="455">
        <f>'SK-data'!BM105/('SK-data'!BM207 + 'SK-data'!BM173 + 'SK-data'!BM175 - 'SK-data'!BM159)</f>
        <v>2.4064612868047983</v>
      </c>
      <c r="CN16" s="455">
        <f>'SK-data'!BN105/('SK-data'!BN207 + 'SK-data'!BN173 + 'SK-data'!BN175 - 'SK-data'!BN159)</f>
        <v>5.8189849748890303</v>
      </c>
      <c r="CO16" s="455">
        <f>'SK-data'!BO105/('SK-data'!BO207 + 'SK-data'!BO173 + 'SK-data'!BO175 - 'SK-data'!BO159)</f>
        <v>1.0129775320717274</v>
      </c>
      <c r="CP16" s="455">
        <f>'SK-data'!BP105/('SK-data'!BP207 + 'SK-data'!BP173 + 'SK-data'!BP175 - 'SK-data'!BP159)</f>
        <v>3.8569607843137255</v>
      </c>
      <c r="CQ16" s="455">
        <f>'SK-data'!BQ105/('SK-data'!BQ207 + 'SK-data'!BQ173 + 'SK-data'!BQ175 - 'SK-data'!BQ159)</f>
        <v>2.0977726976432458</v>
      </c>
      <c r="CR16" s="455">
        <f>'SK-data'!BR105/('SK-data'!BR207 + 'SK-data'!BR173 + 'SK-data'!BR175 - 'SK-data'!BR159)</f>
        <v>2.6970642238625979</v>
      </c>
      <c r="CS16" s="455">
        <f>'SK-data'!BS105/('SK-data'!BS207 + 'SK-data'!BS173 + 'SK-data'!BS175 - 'SK-data'!BS159)</f>
        <v>2.4678669495151806</v>
      </c>
      <c r="CT16" s="455">
        <f>'SK-data'!BT105/('SK-data'!BT207 + 'SK-data'!BT173 + 'SK-data'!BT175 - 'SK-data'!BT159)</f>
        <v>1.2287259235617458</v>
      </c>
      <c r="CU16" s="455">
        <f>'SK-data'!BU105/('SK-data'!BU207 + 'SK-data'!BU173 + 'SK-data'!BU175 - 'SK-data'!BU159)</f>
        <v>10.679884686491398</v>
      </c>
      <c r="CV16" s="455">
        <f>'SK-data'!BV105/('SK-data'!BV207 + 'SK-data'!BV173 + 'SK-data'!BV175 - 'SK-data'!BV159)</f>
        <v>0.74599103916171838</v>
      </c>
      <c r="CW16" s="455">
        <f>'SK-data'!BW105/('SK-data'!BW207 + 'SK-data'!BW173 + 'SK-data'!BW175 - 'SK-data'!BW159)</f>
        <v>16.87331535293638</v>
      </c>
      <c r="CX16" s="455">
        <f>'SK-data'!BX105/('SK-data'!BX207 + 'SK-data'!BX173 + 'SK-data'!BX175 - 'SK-data'!BX159)</f>
        <v>6.0277475765968758</v>
      </c>
      <c r="CY16" s="455">
        <f>'SK-data'!BY105/('SK-data'!BY207 + 'SK-data'!BY173 + 'SK-data'!BY175 - 'SK-data'!BY159)</f>
        <v>4.7723197556639363</v>
      </c>
      <c r="CZ16" s="455">
        <f>'SK-data'!BZ105/('SK-data'!BZ207 + 'SK-data'!BZ173 + 'SK-data'!BZ175 - 'SK-data'!BZ159)</f>
        <v>11.502470312906301</v>
      </c>
      <c r="DA16" s="455">
        <f>'SK-data'!CA105/('SK-data'!CA207 + 'SK-data'!CA173 + 'SK-data'!CA175 - 'SK-data'!CA159)</f>
        <v>1.223926168320391</v>
      </c>
      <c r="DB16" s="455">
        <f>'SK-data'!CB105/('SK-data'!CB207 + 'SK-data'!CB173 + 'SK-data'!CB175 - 'SK-data'!CB159)</f>
        <v>5.0423345863400568</v>
      </c>
      <c r="DC16" s="455">
        <f>'SK-data'!CC105/('SK-data'!CC207 + 'SK-data'!CC173 + 'SK-data'!CC175 - 'SK-data'!CC159)</f>
        <v>10.783413415944869</v>
      </c>
      <c r="DD16" s="455">
        <f>'SK-data'!CD105/('SK-data'!CD207 + 'SK-data'!CD173 + 'SK-data'!CD175 - 'SK-data'!CD159)</f>
        <v>6.5628909952606636</v>
      </c>
      <c r="DE16" s="455">
        <f>'SK-data'!CE105/('SK-data'!CE207 + 'SK-data'!CE173 + 'SK-data'!CE175 - 'SK-data'!CE159)</f>
        <v>2.7032998212478603</v>
      </c>
      <c r="DF16" s="455">
        <f>'SK-data'!CF105/('SK-data'!CF207 + 'SK-data'!CF173 + 'SK-data'!CF175 - 'SK-data'!CF159)</f>
        <v>157.812375249501</v>
      </c>
      <c r="DG16" s="455">
        <f>'SK-data'!CG105/('SK-data'!CG207 + 'SK-data'!CG173 + 'SK-data'!CG175 - 'SK-data'!CG159)</f>
        <v>-109.53348729792148</v>
      </c>
    </row>
    <row r="17" spans="1:111" s="430" customFormat="1" ht="15.75" customHeight="1" thickBot="1" x14ac:dyDescent="0.3">
      <c r="A17" s="641"/>
      <c r="B17" s="670"/>
      <c r="C17" s="647" t="str">
        <f>'MD-ratings-year'!C14:E14</f>
        <v>Leverage total</v>
      </c>
      <c r="D17" s="648"/>
      <c r="E17" s="648"/>
      <c r="F17" s="649"/>
      <c r="G17" s="423"/>
      <c r="H17" s="653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7"/>
      <c r="Z17" s="569"/>
      <c r="AA17" s="569"/>
      <c r="AB17" s="569"/>
      <c r="AC17" s="267"/>
      <c r="AD17" s="552"/>
      <c r="AE17" s="266"/>
    </row>
    <row r="18" spans="1:111" s="428" customFormat="1" ht="15.75" customHeight="1" thickBot="1" x14ac:dyDescent="0.3">
      <c r="A18" s="630">
        <f>'MD-ratings-year'!A15</f>
        <v>0.2</v>
      </c>
      <c r="B18" s="668" t="str">
        <f>'MD-ratings-year'!B15</f>
        <v>Activity</v>
      </c>
      <c r="C18" s="425">
        <f>'MD-ratings-year'!C15</f>
        <v>0.1</v>
      </c>
      <c r="D18" s="426" t="str">
        <f>'MD-ratings-year'!D15</f>
        <v>Working capital turnover ratio</v>
      </c>
      <c r="E18" s="426" t="s">
        <v>1455</v>
      </c>
      <c r="F18" s="427" t="str">
        <f>'MD-ratings-year'!E15</f>
        <v>Net Sales ÷ ((Beginning Working Capital + Ending Working Capital) / 2) Note: Working Capital = Current Assets Minus Current Liabilities)</v>
      </c>
      <c r="G18" s="422" t="s">
        <v>400</v>
      </c>
      <c r="H18" s="65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577">
        <f>'MD-ratios'!U18</f>
        <v>32.927752117774212</v>
      </c>
      <c r="V18" s="243"/>
      <c r="W18" s="243"/>
      <c r="X18" s="243"/>
      <c r="Y18" s="258">
        <f>'MD-ratings-year'!P15</f>
        <v>0</v>
      </c>
      <c r="Z18" s="568">
        <f>'MD-ratings-year'!Q15</f>
        <v>2.061040463386604</v>
      </c>
      <c r="AA18" s="568">
        <f>'MD-ratings-year'!R15</f>
        <v>3.9323917909714576</v>
      </c>
      <c r="AB18" s="568">
        <f>'MD-ratings-year'!S15</f>
        <v>7.5028634674597718</v>
      </c>
      <c r="AC18" s="258">
        <f>'MD-ratings-year'!T15</f>
        <v>39.064232400455559</v>
      </c>
      <c r="AD18" s="550"/>
      <c r="AE18" s="243"/>
      <c r="AF18" s="455">
        <f>'SK-data'!F152/('SK-data'!F35 - 'SK-data'!F126)</f>
        <v>1.2631140643934431</v>
      </c>
      <c r="AG18" s="455">
        <f>'SK-data'!G152/('SK-data'!G35 - 'SK-data'!G126)</f>
        <v>1.7137139181281189</v>
      </c>
      <c r="AH18" s="455">
        <f>'SK-data'!H152/('SK-data'!H35 - 'SK-data'!H126)</f>
        <v>-8.5461422424307472</v>
      </c>
      <c r="AI18" s="455">
        <f>'SK-data'!I152/('SK-data'!I35 - 'SK-data'!I126)</f>
        <v>-2.596662403873006</v>
      </c>
      <c r="AJ18" s="455">
        <f>'SK-data'!J152/('SK-data'!J35 - 'SK-data'!J126)</f>
        <v>-2.4497783055943239</v>
      </c>
      <c r="AK18" s="455">
        <f>'SK-data'!K152/('SK-data'!K35 - 'SK-data'!K126)</f>
        <v>6.5304892812738666</v>
      </c>
      <c r="AL18" s="455">
        <f>'SK-data'!L152/('SK-data'!L35 - 'SK-data'!L126)</f>
        <v>8.6154826603409518</v>
      </c>
      <c r="AM18" s="455">
        <f>'SK-data'!M152/('SK-data'!M35 - 'SK-data'!M126)</f>
        <v>5.3910681242573206</v>
      </c>
      <c r="AN18" s="455">
        <f>'SK-data'!N152/('SK-data'!N35 - 'SK-data'!N126)</f>
        <v>13.173832930701787</v>
      </c>
      <c r="AO18" s="455">
        <f>'SK-data'!O152/('SK-data'!O35 - 'SK-data'!O126)</f>
        <v>40.331310579535185</v>
      </c>
      <c r="AP18" s="455">
        <f>'SK-data'!P152/('SK-data'!P35 - 'SK-data'!P126)</f>
        <v>4.6160754558457811</v>
      </c>
      <c r="AQ18" s="455">
        <f>'SK-data'!Q152/('SK-data'!Q35 - 'SK-data'!Q126)</f>
        <v>0.74926078559676668</v>
      </c>
      <c r="AR18" s="455">
        <f>'SK-data'!R152/('SK-data'!R35 - 'SK-data'!R126)</f>
        <v>19.080403138155742</v>
      </c>
      <c r="AS18" s="455">
        <f>'SK-data'!S152/('SK-data'!S35 - 'SK-data'!S126)</f>
        <v>72.639131653285958</v>
      </c>
      <c r="AT18" s="455">
        <f>'SK-data'!T152/('SK-data'!T35 - 'SK-data'!T126)</f>
        <v>5.5919864655457117</v>
      </c>
      <c r="AU18" s="455">
        <f>'SK-data'!U152/('SK-data'!U35 - 'SK-data'!U126)</f>
        <v>1.5528560170572963</v>
      </c>
      <c r="AV18" s="455">
        <f>'SK-data'!V152/('SK-data'!V35 - 'SK-data'!V126)</f>
        <v>4.3796618938060696</v>
      </c>
      <c r="AW18" s="455">
        <f>'SK-data'!W152/('SK-data'!W35 - 'SK-data'!W126)</f>
        <v>10.078201639627446</v>
      </c>
      <c r="AX18" s="455">
        <f>'SK-data'!X152/('SK-data'!X35 - 'SK-data'!X126)</f>
        <v>1.114040903518575</v>
      </c>
      <c r="AY18" s="455">
        <f>'SK-data'!Y152/('SK-data'!Y35 - 'SK-data'!Y126)</f>
        <v>58.815055290776073</v>
      </c>
      <c r="AZ18" s="455">
        <f>'SK-data'!Z152/('SK-data'!Z35 - 'SK-data'!Z126)</f>
        <v>3.4495437817501466E-2</v>
      </c>
      <c r="BA18" s="455">
        <f>'SK-data'!AA152/('SK-data'!AA35 - 'SK-data'!AA126)</f>
        <v>2.6142128226917225</v>
      </c>
      <c r="BB18" s="455">
        <f>'SK-data'!AB152/('SK-data'!AB35 - 'SK-data'!AB126)</f>
        <v>3.4389207861128579</v>
      </c>
      <c r="BC18" s="455">
        <f>'SK-data'!AC152/('SK-data'!AC35 - 'SK-data'!AC126)</f>
        <v>52.497602567498134</v>
      </c>
      <c r="BD18" s="455">
        <f>'SK-data'!AD152/('SK-data'!AD35 - 'SK-data'!AD126)</f>
        <v>-15.644737028697662</v>
      </c>
      <c r="BE18" s="455">
        <f>'SK-data'!AE152/('SK-data'!AE35 - 'SK-data'!AE126)</f>
        <v>0.48135481090595988</v>
      </c>
      <c r="BF18" s="455">
        <f>'SK-data'!AF152/('SK-data'!AF35 - 'SK-data'!AF126)</f>
        <v>2.9777236497252053</v>
      </c>
      <c r="BG18" s="455">
        <f>'SK-data'!AG152/('SK-data'!AG35 - 'SK-data'!AG126)</f>
        <v>-3.3538796084481568</v>
      </c>
      <c r="BH18" s="455">
        <f>'SK-data'!AH152/('SK-data'!AH35 - 'SK-data'!AH126)</f>
        <v>1.9226846575945913</v>
      </c>
      <c r="BI18" s="455">
        <f>'SK-data'!AI152/('SK-data'!AI35 - 'SK-data'!AI126)</f>
        <v>2.4466648675598166</v>
      </c>
      <c r="BJ18" s="455">
        <f>'SK-data'!AJ152/('SK-data'!AJ35 - 'SK-data'!AJ126)</f>
        <v>-4.4523414615220469</v>
      </c>
      <c r="BK18" s="455">
        <f>'SK-data'!AK152/('SK-data'!AK35 - 'SK-data'!AK126)</f>
        <v>2.2189820653987775</v>
      </c>
      <c r="BL18" s="455">
        <f>'SK-data'!AL152/('SK-data'!AL35 - 'SK-data'!AL126)</f>
        <v>17.984417115739745</v>
      </c>
      <c r="BM18" s="455">
        <f>'SK-data'!AM152/('SK-data'!AM35 - 'SK-data'!AM126)</f>
        <v>1.9653868984741987</v>
      </c>
      <c r="BN18" s="455">
        <f>'SK-data'!AN152/('SK-data'!AN35 - 'SK-data'!AN126)</f>
        <v>-2.9245187108938162</v>
      </c>
      <c r="BO18" s="455">
        <f>'SK-data'!AO152/('SK-data'!AO35 - 'SK-data'!AO126)</f>
        <v>1.6834835744974888</v>
      </c>
      <c r="BP18" s="455">
        <f>'SK-data'!AP152/('SK-data'!AP35 - 'SK-data'!AP126)</f>
        <v>4.454145962247698</v>
      </c>
      <c r="BQ18" s="455">
        <f>'SK-data'!AQ152/('SK-data'!AQ35 - 'SK-data'!AQ126)</f>
        <v>10.034250099443696</v>
      </c>
      <c r="BR18" s="455">
        <f>'SK-data'!AR152/('SK-data'!AR35 - 'SK-data'!AR126)</f>
        <v>-51.083039450624128</v>
      </c>
      <c r="BS18" s="455">
        <f>'SK-data'!AS152/('SK-data'!AS35 - 'SK-data'!AS126)</f>
        <v>18.031291242551415</v>
      </c>
      <c r="BT18" s="455">
        <f>'SK-data'!AT152/('SK-data'!AT35 - 'SK-data'!AT126)</f>
        <v>1.7804316498798352</v>
      </c>
      <c r="BU18" s="455">
        <f>'SK-data'!AU152/('SK-data'!AU35 - 'SK-data'!AU126)</f>
        <v>-9.5117449232748328</v>
      </c>
      <c r="BV18" s="455">
        <f>'SK-data'!AV152/('SK-data'!AV35 - 'SK-data'!AV126)</f>
        <v>4.3715221984867911</v>
      </c>
      <c r="BW18" s="455">
        <f>'SK-data'!AW152/('SK-data'!AW35 - 'SK-data'!AW126)</f>
        <v>17.000433867218362</v>
      </c>
      <c r="BX18" s="455">
        <f>'SK-data'!AX152/('SK-data'!AX35 - 'SK-data'!AX126)</f>
        <v>6.402698105936107</v>
      </c>
      <c r="BY18" s="455">
        <f>'SK-data'!AY152/('SK-data'!AY35 - 'SK-data'!AY126)</f>
        <v>53.959924769210893</v>
      </c>
      <c r="BZ18" s="455">
        <f>'SK-data'!AZ152/('SK-data'!AZ35 - 'SK-data'!AZ126)</f>
        <v>1.1337433390811167</v>
      </c>
      <c r="CA18" s="455">
        <f>'SK-data'!BA152/('SK-data'!BA35 - 'SK-data'!BA126)</f>
        <v>0.82482684959956765</v>
      </c>
      <c r="CB18" s="455">
        <f>'SK-data'!BB152/('SK-data'!BB35 - 'SK-data'!BB126)</f>
        <v>8.8847932139077095</v>
      </c>
      <c r="CC18" s="455">
        <f>'SK-data'!BC152/('SK-data'!BC35 - 'SK-data'!BC126)</f>
        <v>3.4018226978468835</v>
      </c>
      <c r="CD18" s="455">
        <f>'SK-data'!BD152/('SK-data'!BD35 - 'SK-data'!BD126)</f>
        <v>9.9375241198409086</v>
      </c>
      <c r="CE18" s="455">
        <f>'SK-data'!BE152/('SK-data'!BE35 - 'SK-data'!BE126)</f>
        <v>0.2059541323161696</v>
      </c>
      <c r="CF18" s="455">
        <f>'SK-data'!BF152/('SK-data'!BF35 - 'SK-data'!BF126)</f>
        <v>10.706846538286793</v>
      </c>
      <c r="CG18" s="455">
        <f>'SK-data'!BG152/('SK-data'!BG35 - 'SK-data'!BG126)</f>
        <v>1.8846553979947736</v>
      </c>
      <c r="CH18" s="455">
        <f>'SK-data'!BH152/('SK-data'!BH35 - 'SK-data'!BH126)</f>
        <v>2.4158811659314781</v>
      </c>
      <c r="CI18" s="455">
        <f>'SK-data'!BI152/('SK-data'!BI35 - 'SK-data'!BI126)</f>
        <v>2.1848162910170448</v>
      </c>
      <c r="CJ18" s="455">
        <f>'SK-data'!BJ152/('SK-data'!BJ35 - 'SK-data'!BJ126)</f>
        <v>-448.89709821192264</v>
      </c>
      <c r="CK18" s="455">
        <f>'SK-data'!BK152/('SK-data'!BK35 - 'SK-data'!BK126)</f>
        <v>1.6370306474642837</v>
      </c>
      <c r="CL18" s="455">
        <f>'SK-data'!BL152/('SK-data'!BL35 - 'SK-data'!BL126)</f>
        <v>1.0775222524672183</v>
      </c>
      <c r="CM18" s="455">
        <f>'SK-data'!BM152/('SK-data'!BM35 - 'SK-data'!BM126)</f>
        <v>-296.38662033014771</v>
      </c>
      <c r="CN18" s="455">
        <f>'SK-data'!BN152/('SK-data'!BN35 - 'SK-data'!BN126)</f>
        <v>5.173229239654531</v>
      </c>
      <c r="CO18" s="455">
        <f>'SK-data'!BO152/('SK-data'!BO35 - 'SK-data'!BO126)</f>
        <v>1.4153013317075458</v>
      </c>
      <c r="CP18" s="455">
        <f>'SK-data'!BP152/('SK-data'!BP35 - 'SK-data'!BP126)</f>
        <v>2.0616525262569332</v>
      </c>
      <c r="CQ18" s="455">
        <f>'SK-data'!BQ152/('SK-data'!BQ35 - 'SK-data'!BQ126)</f>
        <v>3.6607815064166065</v>
      </c>
      <c r="CR18" s="455">
        <f>'SK-data'!BR152/('SK-data'!BR35 - 'SK-data'!BR126)</f>
        <v>3.0458405655056864</v>
      </c>
      <c r="CS18" s="455">
        <f>'SK-data'!BS152/('SK-data'!BS35 - 'SK-data'!BS126)</f>
        <v>11.334328038317139</v>
      </c>
      <c r="CT18" s="455">
        <f>'SK-data'!BT152/('SK-data'!BT35 - 'SK-data'!BT126)</f>
        <v>4.319175632280845</v>
      </c>
      <c r="CU18" s="455">
        <f>'SK-data'!BU152/('SK-data'!BU35 - 'SK-data'!BU126)</f>
        <v>11.393460430705547</v>
      </c>
      <c r="CV18" s="455">
        <f>'SK-data'!BV152/('SK-data'!BV35 - 'SK-data'!BV126)</f>
        <v>0.84917279046384431</v>
      </c>
      <c r="CW18" s="455">
        <f>'SK-data'!BW152/('SK-data'!BW35 - 'SK-data'!BW126)</f>
        <v>4.0741285916889121</v>
      </c>
      <c r="CX18" s="455">
        <f>'SK-data'!BX152/('SK-data'!BX35 - 'SK-data'!BX126)</f>
        <v>36.87200353722816</v>
      </c>
      <c r="CY18" s="455">
        <f>'SK-data'!BY152/('SK-data'!BY35 - 'SK-data'!BY126)</f>
        <v>50.331443115532792</v>
      </c>
      <c r="CZ18" s="455">
        <f>'SK-data'!BZ152/('SK-data'!BZ35 - 'SK-data'!BZ126)</f>
        <v>-0.28021178472284408</v>
      </c>
      <c r="DA18" s="455">
        <f>'SK-data'!CA152/('SK-data'!CA35 - 'SK-data'!CA126)</f>
        <v>2.5119325388331446</v>
      </c>
      <c r="DB18" s="455">
        <f>'SK-data'!CB152/('SK-data'!CB35 - 'SK-data'!CB126)</f>
        <v>4.4456487897765475</v>
      </c>
      <c r="DC18" s="455">
        <f>'SK-data'!CC152/('SK-data'!CC35 - 'SK-data'!CC126)</f>
        <v>6.3430602873648345</v>
      </c>
      <c r="DD18" s="455">
        <f>'SK-data'!CD152/('SK-data'!CD35 - 'SK-data'!CD126)</f>
        <v>2.9705192617245686</v>
      </c>
      <c r="DE18" s="455">
        <f>'SK-data'!CE152/('SK-data'!CE35 - 'SK-data'!CE126)</f>
        <v>2.3347273831894544</v>
      </c>
      <c r="DF18" s="455">
        <f>'SK-data'!CF152/('SK-data'!CF35 - 'SK-data'!CF126)</f>
        <v>-12.019226469930695</v>
      </c>
      <c r="DG18" s="455">
        <f>'SK-data'!CG152/('SK-data'!CG35 - 'SK-data'!CG126)</f>
        <v>-24.598007937125516</v>
      </c>
    </row>
    <row r="19" spans="1:111" ht="15.75" customHeight="1" thickBot="1" x14ac:dyDescent="0.3">
      <c r="A19" s="631"/>
      <c r="B19" s="669"/>
      <c r="C19" s="418">
        <f>'MD-ratings-year'!C16</f>
        <v>0.1</v>
      </c>
      <c r="D19" s="419" t="str">
        <f>'MD-ratings-year'!D16</f>
        <v>Accounts receivable turnover ratio</v>
      </c>
      <c r="E19" s="419" t="s">
        <v>1456</v>
      </c>
      <c r="F19" s="420" t="str">
        <f>'MD-ratings-year'!E16</f>
        <v>Net Sales ÷ ((Beginning Accounts Receivable + Ending Accounts Receivable) / 2)</v>
      </c>
      <c r="G19" s="422" t="s">
        <v>400</v>
      </c>
      <c r="H19" s="653"/>
      <c r="I19" s="224"/>
      <c r="U19" s="570">
        <f>'MD-ratios'!U19</f>
        <v>52.761201295400774</v>
      </c>
      <c r="X19" s="224"/>
      <c r="Y19" s="226">
        <f>'MD-ratings-year'!P16</f>
        <v>0</v>
      </c>
      <c r="Z19" s="566">
        <f>'MD-ratings-year'!Q16</f>
        <v>4.2912925109646984</v>
      </c>
      <c r="AA19" s="566">
        <f>'MD-ratings-year'!R16</f>
        <v>11.160496174367005</v>
      </c>
      <c r="AB19" s="566">
        <f>'MD-ratings-year'!S16</f>
        <v>29.025445023802337</v>
      </c>
      <c r="AC19" s="226">
        <f>'MD-ratings-year'!T16</f>
        <v>124.24324157322488</v>
      </c>
      <c r="AF19" s="456">
        <f>'SK-data'!F152/'SK-data'!F55</f>
        <v>15.511623267813921</v>
      </c>
      <c r="AG19" s="456">
        <f>'SK-data'!G152/'SK-data'!G55</f>
        <v>35.574628108018125</v>
      </c>
      <c r="AH19" s="456">
        <f>'SK-data'!H152/'SK-data'!H55</f>
        <v>3.7401385152221729</v>
      </c>
      <c r="AI19" s="456">
        <f>'SK-data'!I152/'SK-data'!I55</f>
        <v>5.4256142141093395</v>
      </c>
      <c r="AJ19" s="456">
        <f>'SK-data'!J152/'SK-data'!J55</f>
        <v>3.0428426002548239</v>
      </c>
      <c r="AK19" s="456">
        <f>'SK-data'!K152/'SK-data'!K55</f>
        <v>56.299220875898456</v>
      </c>
      <c r="AL19" s="456">
        <f>'SK-data'!L152/'SK-data'!L55</f>
        <v>6.1989268353685789</v>
      </c>
      <c r="AM19" s="456">
        <f>'SK-data'!M152/'SK-data'!M55</f>
        <v>5.1148079319823703</v>
      </c>
      <c r="AN19" s="456">
        <f>'SK-data'!N152/'SK-data'!N55</f>
        <v>4.6465829250822148</v>
      </c>
      <c r="AO19" s="456">
        <f>'SK-data'!O152/'SK-data'!O55</f>
        <v>9.5145540982182766</v>
      </c>
      <c r="AP19" s="456">
        <f>'SK-data'!P152/'SK-data'!P55</f>
        <v>5.2857023922065514</v>
      </c>
      <c r="AQ19" s="456">
        <f>'SK-data'!Q152/'SK-data'!Q55</f>
        <v>3.2830469318649325</v>
      </c>
      <c r="AR19" s="456">
        <f>'SK-data'!R152/'SK-data'!R55</f>
        <v>4.8597285324955317</v>
      </c>
      <c r="AS19" s="456">
        <f>'SK-data'!S152/'SK-data'!S55</f>
        <v>7.8678154051916369</v>
      </c>
      <c r="AT19" s="456">
        <f>'SK-data'!T152/'SK-data'!T55</f>
        <v>2.9953221656902729</v>
      </c>
      <c r="AU19" s="456">
        <f>'SK-data'!U152/'SK-data'!U55</f>
        <v>1.6731982336321101</v>
      </c>
      <c r="AV19" s="456">
        <f>'SK-data'!V152/'SK-data'!V55</f>
        <v>6.5617533157432346</v>
      </c>
      <c r="AW19" s="456">
        <f>'SK-data'!W152/'SK-data'!W55</f>
        <v>10.663622064672779</v>
      </c>
      <c r="AX19" s="456">
        <f>'SK-data'!X152/'SK-data'!X55</f>
        <v>1.7547768483429045</v>
      </c>
      <c r="AY19" s="456">
        <f>'SK-data'!Y152/'SK-data'!Y55</f>
        <v>6.4796891207583798</v>
      </c>
      <c r="AZ19" s="456">
        <f>'SK-data'!Z152/'SK-data'!Z55</f>
        <v>4.0436021483414686E-2</v>
      </c>
      <c r="BA19" s="456">
        <f>'SK-data'!AA152/'SK-data'!AA55</f>
        <v>8.2110464916840602</v>
      </c>
      <c r="BB19" s="456">
        <f>'SK-data'!AB152/'SK-data'!AB55</f>
        <v>10.080674850854372</v>
      </c>
      <c r="BC19" s="456">
        <f>'SK-data'!AC152/'SK-data'!AC55</f>
        <v>6.7793023803519645</v>
      </c>
      <c r="BD19" s="456">
        <f>'SK-data'!AD152/'SK-data'!AD55</f>
        <v>31.569578073829131</v>
      </c>
      <c r="BE19" s="456">
        <f>'SK-data'!AE152/'SK-data'!AE55</f>
        <v>6.0006635850732906</v>
      </c>
      <c r="BF19" s="456">
        <f>'SK-data'!AF152/'SK-data'!AF55</f>
        <v>7.7538529738895781</v>
      </c>
      <c r="BG19" s="456">
        <f>'SK-data'!AG152/'SK-data'!AG55</f>
        <v>3.4868605720369743</v>
      </c>
      <c r="BH19" s="456">
        <f>'SK-data'!AH152/'SK-data'!AH55</f>
        <v>4.5587246083938116</v>
      </c>
      <c r="BI19" s="456">
        <f>'SK-data'!AI152/'SK-data'!AI55</f>
        <v>6.1162518580630412</v>
      </c>
      <c r="BJ19" s="456">
        <f>'SK-data'!AJ152/'SK-data'!AJ55</f>
        <v>25.621807931679271</v>
      </c>
      <c r="BK19" s="456">
        <f>'SK-data'!AK152/'SK-data'!AK55</f>
        <v>5.2084159841579662</v>
      </c>
      <c r="BL19" s="456">
        <f>'SK-data'!AL152/'SK-data'!AL55</f>
        <v>7.7061711375442945</v>
      </c>
      <c r="BM19" s="456">
        <f>'SK-data'!AM152/'SK-data'!AM55</f>
        <v>7.180568019834225</v>
      </c>
      <c r="BN19" s="456">
        <f>'SK-data'!AN152/'SK-data'!AN55</f>
        <v>4.9978677364838182</v>
      </c>
      <c r="BO19" s="456">
        <f>'SK-data'!AO152/'SK-data'!AO55</f>
        <v>4.9912665400714884</v>
      </c>
      <c r="BP19" s="456">
        <f>'SK-data'!AP152/'SK-data'!AP55</f>
        <v>2.7063948821474626</v>
      </c>
      <c r="BQ19" s="456">
        <f>'SK-data'!AQ152/'SK-data'!AQ55</f>
        <v>6.6741048660858828</v>
      </c>
      <c r="BR19" s="456">
        <f>'SK-data'!AR152/'SK-data'!AR55</f>
        <v>5.1496221155687092</v>
      </c>
      <c r="BS19" s="456">
        <f>'SK-data'!AS152/'SK-data'!AS55</f>
        <v>5.5307066790508204</v>
      </c>
      <c r="BT19" s="456">
        <f>'SK-data'!AT152/'SK-data'!AT55</f>
        <v>7.3897025944880621</v>
      </c>
      <c r="BU19" s="456">
        <f>'SK-data'!AU152/'SK-data'!AU55</f>
        <v>6.3238291967824214</v>
      </c>
      <c r="BV19" s="456">
        <f>'SK-data'!AV152/'SK-data'!AV55</f>
        <v>39.014664257822815</v>
      </c>
      <c r="BW19" s="456">
        <f>'SK-data'!AW152/'SK-data'!AW55</f>
        <v>38.962230281715939</v>
      </c>
      <c r="BX19" s="456">
        <f>'SK-data'!AX152/'SK-data'!AX55</f>
        <v>5.9894518590625934</v>
      </c>
      <c r="BY19" s="456">
        <f>'SK-data'!AY152/'SK-data'!AY55</f>
        <v>4.498002182918345</v>
      </c>
      <c r="BZ19" s="456">
        <f>'SK-data'!AZ152/'SK-data'!AZ55</f>
        <v>25.84283751288217</v>
      </c>
      <c r="CA19" s="456">
        <f>'SK-data'!BA152/'SK-data'!BA55</f>
        <v>29.850152223954854</v>
      </c>
      <c r="CB19" s="456">
        <f>'SK-data'!BB152/'SK-data'!BB55</f>
        <v>4.325200504181625</v>
      </c>
      <c r="CC19" s="456">
        <f>'SK-data'!BC152/'SK-data'!BC55</f>
        <v>7.3940955910993074</v>
      </c>
      <c r="CD19" s="456">
        <f>'SK-data'!BD152/'SK-data'!BD55</f>
        <v>16.165275027740144</v>
      </c>
      <c r="CE19" s="456">
        <f>'SK-data'!BE152/'SK-data'!BE55</f>
        <v>1.9641928432889457</v>
      </c>
      <c r="CF19" s="456">
        <f>'SK-data'!BF152/'SK-data'!BF55</f>
        <v>5.0822840458534477</v>
      </c>
      <c r="CG19" s="456">
        <f>'SK-data'!BG152/'SK-data'!BG55</f>
        <v>10.004698966601767</v>
      </c>
      <c r="CH19" s="456">
        <f>'SK-data'!BH152/'SK-data'!BH55</f>
        <v>3.4570098767930388</v>
      </c>
      <c r="CI19" s="456">
        <f>'SK-data'!BI152/'SK-data'!BI55</f>
        <v>1.9564668546886377</v>
      </c>
      <c r="CJ19" s="456">
        <f>'SK-data'!BJ152/'SK-data'!BJ55</f>
        <v>9.9770988971686858</v>
      </c>
      <c r="CK19" s="456">
        <f>'SK-data'!BK152/'SK-data'!BK55</f>
        <v>20.498350816098299</v>
      </c>
      <c r="CL19" s="456">
        <f>'SK-data'!BL152/'SK-data'!BL55</f>
        <v>21.299923738969387</v>
      </c>
      <c r="CM19" s="456">
        <f>'SK-data'!BM152/'SK-data'!BM55</f>
        <v>7.5133742250217486</v>
      </c>
      <c r="CN19" s="456">
        <f>'SK-data'!BN152/'SK-data'!BN55</f>
        <v>5.1927818679738653</v>
      </c>
      <c r="CO19" s="456">
        <f>'SK-data'!BO152/'SK-data'!BO55</f>
        <v>13.16664804892023</v>
      </c>
      <c r="CP19" s="456">
        <f>'SK-data'!BP152/'SK-data'!BP55</f>
        <v>6.7564683281612412</v>
      </c>
      <c r="CQ19" s="456">
        <f>'SK-data'!BQ152/'SK-data'!BQ55</f>
        <v>3.0990596414833709</v>
      </c>
      <c r="CR19" s="456">
        <f>'SK-data'!BR152/'SK-data'!BR55</f>
        <v>14.758957188037272</v>
      </c>
      <c r="CS19" s="456">
        <f>'SK-data'!BS152/'SK-data'!BS55</f>
        <v>85.896115816905152</v>
      </c>
      <c r="CT19" s="456">
        <f>'SK-data'!BT152/'SK-data'!BT55</f>
        <v>14.043699706236552</v>
      </c>
      <c r="CU19" s="456">
        <f>'SK-data'!BU152/'SK-data'!BU55</f>
        <v>7.1718800651794226</v>
      </c>
      <c r="CV19" s="456">
        <f>'SK-data'!BV152/'SK-data'!BV55</f>
        <v>4.5920425052213956</v>
      </c>
      <c r="CW19" s="456">
        <f>'SK-data'!BW152/'SK-data'!BW55</f>
        <v>6.626363069692931</v>
      </c>
      <c r="CX19" s="456">
        <f>'SK-data'!BX152/'SK-data'!BX55</f>
        <v>9.5881770578983705</v>
      </c>
      <c r="CY19" s="456">
        <f>'SK-data'!BY152/'SK-data'!BY55</f>
        <v>5.2994081895552849</v>
      </c>
      <c r="CZ19" s="456">
        <f>'SK-data'!BZ152/'SK-data'!BZ55</f>
        <v>11.155525846702318</v>
      </c>
      <c r="DA19" s="456">
        <f>'SK-data'!CA152/'SK-data'!CA55</f>
        <v>6.5524677625354615</v>
      </c>
      <c r="DB19" s="456">
        <f>'SK-data'!CB152/'SK-data'!CB55</f>
        <v>5.1399647559253339</v>
      </c>
      <c r="DC19" s="456">
        <f>'SK-data'!CC152/'SK-data'!CC55</f>
        <v>1.9865466691408424</v>
      </c>
      <c r="DD19" s="456">
        <f>'SK-data'!CD152/'SK-data'!CD55</f>
        <v>21.642482230727172</v>
      </c>
      <c r="DE19" s="456">
        <f>'SK-data'!CE152/'SK-data'!CE55</f>
        <v>2.6370005106600281</v>
      </c>
      <c r="DF19" s="456">
        <f>'SK-data'!CF152/'SK-data'!CF55</f>
        <v>6.3923237895938358</v>
      </c>
      <c r="DG19" s="456">
        <f>'SK-data'!CG152/'SK-data'!CG55</f>
        <v>6.653105465872498</v>
      </c>
    </row>
    <row r="20" spans="1:111" s="428" customFormat="1" ht="15.75" customHeight="1" thickBot="1" x14ac:dyDescent="0.3">
      <c r="A20" s="632"/>
      <c r="B20" s="670"/>
      <c r="C20" s="650" t="str">
        <f>'MD-ratings-year'!C17:E17</f>
        <v>Activity total</v>
      </c>
      <c r="D20" s="651"/>
      <c r="E20" s="651"/>
      <c r="F20" s="652"/>
      <c r="G20" s="424"/>
      <c r="H20" s="653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0"/>
      <c r="T20" s="270"/>
      <c r="U20" s="270"/>
      <c r="V20" s="270"/>
      <c r="W20" s="270"/>
      <c r="X20" s="270"/>
      <c r="Y20" s="271"/>
      <c r="Z20" s="575"/>
      <c r="AA20" s="575"/>
      <c r="AB20" s="575"/>
      <c r="AC20" s="271"/>
      <c r="AD20" s="553"/>
      <c r="AE20" s="270"/>
    </row>
    <row r="21" spans="1:111" s="433" customFormat="1" ht="15.75" customHeight="1" thickBot="1" x14ac:dyDescent="0.3">
      <c r="A21" s="431">
        <f>'MD-ratings-year'!A18</f>
        <v>1</v>
      </c>
      <c r="B21" s="655" t="str">
        <f>'MD-ratings-year'!B18:E18</f>
        <v>Total</v>
      </c>
      <c r="C21" s="656"/>
      <c r="D21" s="656"/>
      <c r="E21" s="656"/>
      <c r="F21" s="657"/>
      <c r="G21" s="432"/>
      <c r="H21" s="654"/>
      <c r="I21" s="432"/>
      <c r="J21" s="432"/>
      <c r="K21" s="432"/>
      <c r="L21" s="432"/>
      <c r="M21" s="432"/>
      <c r="N21" s="432"/>
      <c r="O21" s="432"/>
      <c r="P21" s="432"/>
      <c r="Q21" s="432"/>
      <c r="R21" s="432"/>
      <c r="S21" s="432"/>
      <c r="T21" s="432"/>
      <c r="U21" s="432"/>
      <c r="V21" s="432"/>
      <c r="W21" s="432"/>
      <c r="X21" s="432"/>
      <c r="Y21" s="432"/>
      <c r="Z21" s="432"/>
      <c r="AA21" s="432"/>
      <c r="AB21" s="432"/>
      <c r="AC21" s="432"/>
      <c r="AD21" s="554"/>
      <c r="AE21" s="432"/>
    </row>
    <row r="23" spans="1:111" ht="15.75" thickBot="1" x14ac:dyDescent="0.3">
      <c r="AF23" s="556">
        <f>IF($F5="const",1,IF($F5="full",'SK-data'!F365/1000,IF(LEFT($F5,3)="pow",(('SK-data'!F365)^(VALUE(MID($F5,6,10))))/1000,"n/a")))</f>
        <v>0.1030311211338422</v>
      </c>
      <c r="AG23" s="556">
        <f>IF($F5="const",1,IF($F5="full",'SK-data'!G365/1000,IF(LEFT($F5,3)="pow",(('SK-data'!G365)^(VALUE(MID($F5,6,10))))/1000,"n/a")))</f>
        <v>0.17955545504744611</v>
      </c>
      <c r="AH23" s="556">
        <f>IF($F5="const",1,IF($F5="full",'SK-data'!H365/1000,IF(LEFT($F5,3)="pow",(('SK-data'!H365)^(VALUE(MID($F5,6,10))))/1000,"n/a")))</f>
        <v>0.28085665486099287</v>
      </c>
      <c r="AI23" s="556">
        <f>IF($F5="const",1,IF($F5="full",'SK-data'!I365/1000,IF(LEFT($F5,3)="pow",(('SK-data'!I365)^(VALUE(MID($F5,6,10))))/1000,"n/a")))</f>
        <v>0.27350736231329359</v>
      </c>
      <c r="AJ23" s="556">
        <f>IF($F5="const",1,IF($F5="full",'SK-data'!J365/1000,IF(LEFT($F5,3)="pow",(('SK-data'!J365)^(VALUE(MID($F5,6,10))))/1000,"n/a")))</f>
        <v>0.26141895142091892</v>
      </c>
      <c r="AK23" s="556">
        <f>IF($F5="const",1,IF($F5="full",'SK-data'!K365/1000,IF(LEFT($F5,3)="pow",(('SK-data'!K365)^(VALUE(MID($F5,6,10))))/1000,"n/a")))</f>
        <v>0.22822116344951318</v>
      </c>
      <c r="AL23" s="556">
        <f>IF($F5="const",1,IF($F5="full",'SK-data'!L365/1000,IF(LEFT($F5,3)="pow",(('SK-data'!L365)^(VALUE(MID($F5,6,10))))/1000,"n/a")))</f>
        <v>0.1790749207886736</v>
      </c>
      <c r="AM23" s="556">
        <f>IF($F5="const",1,IF($F5="full",'SK-data'!M365/1000,IF(LEFT($F5,3)="pow",(('SK-data'!M365)^(VALUE(MID($F5,6,10))))/1000,"n/a")))</f>
        <v>0.54404143941646732</v>
      </c>
      <c r="AN23" s="556">
        <f>IF($F5="const",1,IF($F5="full",'SK-data'!N365/1000,IF(LEFT($F5,3)="pow",(('SK-data'!N365)^(VALUE(MID($F5,6,10))))/1000,"n/a")))</f>
        <v>0.61503073508566086</v>
      </c>
      <c r="AO23" s="556">
        <f>IF($F5="const",1,IF($F5="full",'SK-data'!O365/1000,IF(LEFT($F5,3)="pow",(('SK-data'!O365)^(VALUE(MID($F5,6,10))))/1000,"n/a")))</f>
        <v>0.46796366437416415</v>
      </c>
      <c r="AP23" s="556">
        <f>IF($F5="const",1,IF($F5="full",'SK-data'!P365/1000,IF(LEFT($F5,3)="pow",(('SK-data'!P365)^(VALUE(MID($F5,6,10))))/1000,"n/a")))</f>
        <v>0.28128415457044614</v>
      </c>
      <c r="AQ23" s="556">
        <f>IF($F5="const",1,IF($F5="full",'SK-data'!Q365/1000,IF(LEFT($F5,3)="pow",(('SK-data'!Q365)^(VALUE(MID($F5,6,10))))/1000,"n/a")))</f>
        <v>7.7324596406322638E-2</v>
      </c>
      <c r="AR23" s="556">
        <f>IF($F5="const",1,IF($F5="full",'SK-data'!R365/1000,IF(LEFT($F5,3)="pow",(('SK-data'!R365)^(VALUE(MID($F5,6,10))))/1000,"n/a")))</f>
        <v>0.28528170857411039</v>
      </c>
      <c r="AS23" s="556">
        <f>IF($F5="const",1,IF($F5="full",'SK-data'!S365/1000,IF(LEFT($F5,3)="pow",(('SK-data'!S365)^(VALUE(MID($F5,6,10))))/1000,"n/a")))</f>
        <v>0.61830755062428866</v>
      </c>
      <c r="AT23" s="556">
        <f>IF($F5="const",1,IF($F5="full",'SK-data'!T365/1000,IF(LEFT($F5,3)="pow",(('SK-data'!T365)^(VALUE(MID($F5,6,10))))/1000,"n/a")))</f>
        <v>0.234919233865967</v>
      </c>
      <c r="AU23" s="556">
        <f>IF($F5="const",1,IF($F5="full",'SK-data'!U365/1000,IF(LEFT($F5,3)="pow",(('SK-data'!U365)^(VALUE(MID($F5,6,10))))/1000,"n/a")))</f>
        <v>0.91280999394894036</v>
      </c>
      <c r="AV23" s="556">
        <f>IF($F5="const",1,IF($F5="full",'SK-data'!V365/1000,IF(LEFT($F5,3)="pow",(('SK-data'!V365)^(VALUE(MID($F5,6,10))))/1000,"n/a")))</f>
        <v>0.28131730613091888</v>
      </c>
      <c r="AW23" s="556">
        <f>IF($F5="const",1,IF($F5="full",'SK-data'!W365/1000,IF(LEFT($F5,3)="pow",(('SK-data'!W365)^(VALUE(MID($F5,6,10))))/1000,"n/a")))</f>
        <v>0.17419585525027639</v>
      </c>
      <c r="AX23" s="556">
        <f>IF($F5="const",1,IF($F5="full",'SK-data'!X365/1000,IF(LEFT($F5,3)="pow",(('SK-data'!X365)^(VALUE(MID($F5,6,10))))/1000,"n/a")))</f>
        <v>9.2307086734135485E-2</v>
      </c>
      <c r="AY23" s="556">
        <f>IF($F5="const",1,IF($F5="full",'SK-data'!Y365/1000,IF(LEFT($F5,3)="pow",(('SK-data'!Y365)^(VALUE(MID($F5,6,10))))/1000,"n/a")))</f>
        <v>0.6595416106328863</v>
      </c>
      <c r="AZ23" s="556">
        <f>IF($F5="const",1,IF($F5="full",'SK-data'!Z365/1000,IF(LEFT($F5,3)="pow",(('SK-data'!Z365)^(VALUE(MID($F5,6,10))))/1000,"n/a")))</f>
        <v>0.32138592285956896</v>
      </c>
      <c r="BA23" s="556">
        <f>IF($F5="const",1,IF($F5="full",'SK-data'!AA365/1000,IF(LEFT($F5,3)="pow",(('SK-data'!AA365)^(VALUE(MID($F5,6,10))))/1000,"n/a")))</f>
        <v>0.18219972189031455</v>
      </c>
      <c r="BB23" s="556">
        <f>IF($F5="const",1,IF($F5="full",'SK-data'!AB365/1000,IF(LEFT($F5,3)="pow",(('SK-data'!AB365)^(VALUE(MID($F5,6,10))))/1000,"n/a")))</f>
        <v>0.60253978042142065</v>
      </c>
      <c r="BC23" s="556">
        <f>IF($F5="const",1,IF($F5="full",'SK-data'!AC365/1000,IF(LEFT($F5,3)="pow",(('SK-data'!AC365)^(VALUE(MID($F5,6,10))))/1000,"n/a")))</f>
        <v>0.17021181522581946</v>
      </c>
      <c r="BD23" s="556">
        <f>IF($F5="const",1,IF($F5="full",'SK-data'!AD365/1000,IF(LEFT($F5,3)="pow",(('SK-data'!AD365)^(VALUE(MID($F5,6,10))))/1000,"n/a")))</f>
        <v>0.24198928563434785</v>
      </c>
      <c r="BE23" s="556">
        <f>IF($F5="const",1,IF($F5="full",'SK-data'!AE365/1000,IF(LEFT($F5,3)="pow",(('SK-data'!AE365)^(VALUE(MID($F5,6,10))))/1000,"n/a")))</f>
        <v>0.20263625980216912</v>
      </c>
      <c r="BF23" s="556">
        <f>IF($F5="const",1,IF($F5="full",'SK-data'!AF365/1000,IF(LEFT($F5,3)="pow",(('SK-data'!AF365)^(VALUE(MID($F5,6,10))))/1000,"n/a")))</f>
        <v>0.27554058455008973</v>
      </c>
      <c r="BG23" s="556">
        <f>IF($F5="const",1,IF($F5="full",'SK-data'!AG365/1000,IF(LEFT($F5,3)="pow",(('SK-data'!AG365)^(VALUE(MID($F5,6,10))))/1000,"n/a")))</f>
        <v>6.4235031832743636E-2</v>
      </c>
      <c r="BH23" s="556">
        <f>IF($F5="const",1,IF($F5="full",'SK-data'!AH365/1000,IF(LEFT($F5,3)="pow",(('SK-data'!AH365)^(VALUE(MID($F5,6,10))))/1000,"n/a")))</f>
        <v>0.11347942225753076</v>
      </c>
      <c r="BI23" s="556">
        <f>IF($F5="const",1,IF($F5="full",'SK-data'!AI365/1000,IF(LEFT($F5,3)="pow",(('SK-data'!AI365)^(VALUE(MID($F5,6,10))))/1000,"n/a")))</f>
        <v>0.11549313255395804</v>
      </c>
      <c r="BJ23" s="556">
        <f>IF($F5="const",1,IF($F5="full",'SK-data'!AJ365/1000,IF(LEFT($F5,3)="pow",(('SK-data'!AJ365)^(VALUE(MID($F5,6,10))))/1000,"n/a")))</f>
        <v>8.8824320669861567E-2</v>
      </c>
      <c r="BK23" s="556">
        <f>IF($F5="const",1,IF($F5="full",'SK-data'!AK365/1000,IF(LEFT($F5,3)="pow",(('SK-data'!AK365)^(VALUE(MID($F5,6,10))))/1000,"n/a")))</f>
        <v>0.40268939394782627</v>
      </c>
      <c r="BL23" s="556">
        <f>IF($F5="const",1,IF($F5="full",'SK-data'!AL365/1000,IF(LEFT($F5,3)="pow",(('SK-data'!AL365)^(VALUE(MID($F5,6,10))))/1000,"n/a")))</f>
        <v>0.4863901776133443</v>
      </c>
      <c r="BM23" s="556">
        <f>IF($F5="const",1,IF($F5="full",'SK-data'!AM365/1000,IF(LEFT($F5,3)="pow",(('SK-data'!AM365)^(VALUE(MID($F5,6,10))))/1000,"n/a")))</f>
        <v>0.28366164024983825</v>
      </c>
      <c r="BN23" s="556">
        <f>IF($F5="const",1,IF($F5="full",'SK-data'!AN365/1000,IF(LEFT($F5,3)="pow",(('SK-data'!AN365)^(VALUE(MID($F5,6,10))))/1000,"n/a")))</f>
        <v>0.69405263174078136</v>
      </c>
      <c r="BO23" s="556">
        <f>IF($F5="const",1,IF($F5="full",'SK-data'!AO365/1000,IF(LEFT($F5,3)="pow",(('SK-data'!AO365)^(VALUE(MID($F5,6,10))))/1000,"n/a")))</f>
        <v>0.43377135860391741</v>
      </c>
      <c r="BP23" s="556">
        <f>IF($F5="const",1,IF($F5="full",'SK-data'!AP365/1000,IF(LEFT($F5,3)="pow",(('SK-data'!AP365)^(VALUE(MID($F5,6,10))))/1000,"n/a")))</f>
        <v>0.32333389220794256</v>
      </c>
      <c r="BQ23" s="556">
        <f>IF($F5="const",1,IF($F5="full",'SK-data'!AQ365/1000,IF(LEFT($F5,3)="pow",(('SK-data'!AQ365)^(VALUE(MID($F5,6,10))))/1000,"n/a")))</f>
        <v>0.34425043753404072</v>
      </c>
      <c r="BR23" s="556">
        <f>IF($F5="const",1,IF($F5="full",'SK-data'!AR365/1000,IF(LEFT($F5,3)="pow",(('SK-data'!AR365)^(VALUE(MID($F5,6,10))))/1000,"n/a")))</f>
        <v>0.24697485913768177</v>
      </c>
      <c r="BS23" s="556">
        <f>IF($F5="const",1,IF($F5="full",'SK-data'!AS365/1000,IF(LEFT($F5,3)="pow",(('SK-data'!AS365)^(VALUE(MID($F5,6,10))))/1000,"n/a")))</f>
        <v>0.27423073460891634</v>
      </c>
      <c r="BT23" s="556">
        <f>IF($F5="const",1,IF($F5="full",'SK-data'!AT365/1000,IF(LEFT($F5,3)="pow",(('SK-data'!AT365)^(VALUE(MID($F5,6,10))))/1000,"n/a")))</f>
        <v>0.2514302345901433</v>
      </c>
      <c r="BU23" s="556">
        <f>IF($F5="const",1,IF($F5="full",'SK-data'!AU365/1000,IF(LEFT($F5,3)="pow",(('SK-data'!AU365)^(VALUE(MID($F5,6,10))))/1000,"n/a")))</f>
        <v>0.26049817701765554</v>
      </c>
      <c r="BV23" s="556">
        <f>IF($F5="const",1,IF($F5="full",'SK-data'!AV365/1000,IF(LEFT($F5,3)="pow",(('SK-data'!AV365)^(VALUE(MID($F5,6,10))))/1000,"n/a")))</f>
        <v>0.31649414431927531</v>
      </c>
      <c r="BW23" s="556">
        <f>IF($F5="const",1,IF($F5="full",'SK-data'!AW365/1000,IF(LEFT($F5,3)="pow",(('SK-data'!AW365)^(VALUE(MID($F5,6,10))))/1000,"n/a")))</f>
        <v>0.15981554087882638</v>
      </c>
      <c r="BX23" s="556">
        <f>IF($F5="const",1,IF($F5="full",'SK-data'!AX365/1000,IF(LEFT($F5,3)="pow",(('SK-data'!AX365)^(VALUE(MID($F5,6,10))))/1000,"n/a")))</f>
        <v>0.50170881356489117</v>
      </c>
      <c r="BY23" s="556">
        <f>IF($F5="const",1,IF($F5="full",'SK-data'!AY365/1000,IF(LEFT($F5,3)="pow",(('SK-data'!AY365)^(VALUE(MID($F5,6,10))))/1000,"n/a")))</f>
        <v>0.37573504302186977</v>
      </c>
      <c r="BZ23" s="556">
        <f>IF($F5="const",1,IF($F5="full",'SK-data'!AZ365/1000,IF(LEFT($F5,3)="pow",(('SK-data'!AZ365)^(VALUE(MID($F5,6,10))))/1000,"n/a")))</f>
        <v>0.12207105913054041</v>
      </c>
      <c r="CA23" s="556">
        <f>IF($F5="const",1,IF($F5="full",'SK-data'!BA365/1000,IF(LEFT($F5,3)="pow",(('SK-data'!BA365)^(VALUE(MID($F5,6,10))))/1000,"n/a")))</f>
        <v>0.26403193527536722</v>
      </c>
      <c r="CB23" s="556">
        <f>IF($F5="const",1,IF($F5="full",'SK-data'!BB365/1000,IF(LEFT($F5,3)="pow",(('SK-data'!BB365)^(VALUE(MID($F5,6,10))))/1000,"n/a")))</f>
        <v>0.32095543729551929</v>
      </c>
      <c r="CC23" s="556">
        <f>IF($F5="const",1,IF($F5="full",'SK-data'!BC365/1000,IF(LEFT($F5,3)="pow",(('SK-data'!BC365)^(VALUE(MID($F5,6,10))))/1000,"n/a")))</f>
        <v>0.30462476830860002</v>
      </c>
      <c r="CD23" s="556">
        <f>IF($F5="const",1,IF($F5="full",'SK-data'!BD365/1000,IF(LEFT($F5,3)="pow",(('SK-data'!BD365)^(VALUE(MID($F5,6,10))))/1000,"n/a")))</f>
        <v>0.71658230987744598</v>
      </c>
      <c r="CE23" s="556">
        <f>IF($F5="const",1,IF($F5="full",'SK-data'!BE365/1000,IF(LEFT($F5,3)="pow",(('SK-data'!BE365)^(VALUE(MID($F5,6,10))))/1000,"n/a")))</f>
        <v>0.21913042226423463</v>
      </c>
      <c r="CF23" s="556">
        <f>IF($F5="const",1,IF($F5="full",'SK-data'!BF365/1000,IF(LEFT($F5,3)="pow",(('SK-data'!BF365)^(VALUE(MID($F5,6,10))))/1000,"n/a")))</f>
        <v>0.67865281578802705</v>
      </c>
      <c r="CG23" s="556">
        <f>IF($F5="const",1,IF($F5="full",'SK-data'!BG365/1000,IF(LEFT($F5,3)="pow",(('SK-data'!BG365)^(VALUE(MID($F5,6,10))))/1000,"n/a")))</f>
        <v>1.285844315454999</v>
      </c>
      <c r="CH23" s="556">
        <f>IF($F5="const",1,IF($F5="full",'SK-data'!BH365/1000,IF(LEFT($F5,3)="pow",(('SK-data'!BH365)^(VALUE(MID($F5,6,10))))/1000,"n/a")))</f>
        <v>1.0857557813503307</v>
      </c>
      <c r="CI23" s="556">
        <f>IF($F5="const",1,IF($F5="full",'SK-data'!BI365/1000,IF(LEFT($F5,3)="pow",(('SK-data'!BI365)^(VALUE(MID($F5,6,10))))/1000,"n/a")))</f>
        <v>0.42572072166760955</v>
      </c>
      <c r="CJ23" s="556">
        <f>IF($F5="const",1,IF($F5="full",'SK-data'!BJ365/1000,IF(LEFT($F5,3)="pow",(('SK-data'!BJ365)^(VALUE(MID($F5,6,10))))/1000,"n/a")))</f>
        <v>0.34760038236443458</v>
      </c>
      <c r="CK23" s="556">
        <f>IF($F5="const",1,IF($F5="full",'SK-data'!BK365/1000,IF(LEFT($F5,3)="pow",(('SK-data'!BK365)^(VALUE(MID($F5,6,10))))/1000,"n/a")))</f>
        <v>0.14269535547374335</v>
      </c>
      <c r="CL23" s="556">
        <f>IF($F5="const",1,IF($F5="full",'SK-data'!BL365/1000,IF(LEFT($F5,3)="pow",(('SK-data'!BL365)^(VALUE(MID($F5,6,10))))/1000,"n/a")))</f>
        <v>0.15817708179708506</v>
      </c>
      <c r="CM23" s="556">
        <f>IF($F5="const",1,IF($F5="full",'SK-data'!BM365/1000,IF(LEFT($F5,3)="pow",(('SK-data'!BM365)^(VALUE(MID($F5,6,10))))/1000,"n/a")))</f>
        <v>0.86442236892877289</v>
      </c>
      <c r="CN23" s="556">
        <f>IF($F5="const",1,IF($F5="full",'SK-data'!BN365/1000,IF(LEFT($F5,3)="pow",(('SK-data'!BN365)^(VALUE(MID($F5,6,10))))/1000,"n/a")))</f>
        <v>0.35644610581927033</v>
      </c>
      <c r="CO23" s="556">
        <f>IF($F5="const",1,IF($F5="full",'SK-data'!BO365/1000,IF(LEFT($F5,3)="pow",(('SK-data'!BO365)^(VALUE(MID($F5,6,10))))/1000,"n/a")))</f>
        <v>0.15614535971714702</v>
      </c>
      <c r="CP23" s="556">
        <f>IF($F5="const",1,IF($F5="full",'SK-data'!BP365/1000,IF(LEFT($F5,3)="pow",(('SK-data'!BP365)^(VALUE(MID($F5,6,10))))/1000,"n/a")))</f>
        <v>0.17983560512821842</v>
      </c>
      <c r="CQ23" s="556">
        <f>IF($F5="const",1,IF($F5="full",'SK-data'!BQ365/1000,IF(LEFT($F5,3)="pow",(('SK-data'!BQ365)^(VALUE(MID($F5,6,10))))/1000,"n/a")))</f>
        <v>0.12229137620822859</v>
      </c>
      <c r="CR23" s="556">
        <f>IF($F5="const",1,IF($F5="full",'SK-data'!BR365/1000,IF(LEFT($F5,3)="pow",(('SK-data'!BR365)^(VALUE(MID($F5,6,10))))/1000,"n/a")))</f>
        <v>0.14128499124934518</v>
      </c>
      <c r="CS23" s="556">
        <f>IF($F5="const",1,IF($F5="full",'SK-data'!BS365/1000,IF(LEFT($F5,3)="pow",(('SK-data'!BS365)^(VALUE(MID($F5,6,10))))/1000,"n/a")))</f>
        <v>0.75563025401145956</v>
      </c>
      <c r="CT23" s="556">
        <f>IF($F5="const",1,IF($F5="full",'SK-data'!BT365/1000,IF(LEFT($F5,3)="pow",(('SK-data'!BT365)^(VALUE(MID($F5,6,10))))/1000,"n/a")))</f>
        <v>0.37964375672502121</v>
      </c>
      <c r="CU23" s="556">
        <f>IF($F5="const",1,IF($F5="full",'SK-data'!BU365/1000,IF(LEFT($F5,3)="pow",(('SK-data'!BU365)^(VALUE(MID($F5,6,10))))/1000,"n/a")))</f>
        <v>0.41523992520316477</v>
      </c>
      <c r="CV23" s="556">
        <f>IF($F5="const",1,IF($F5="full",'SK-data'!BV365/1000,IF(LEFT($F5,3)="pow",(('SK-data'!BV365)^(VALUE(MID($F5,6,10))))/1000,"n/a")))</f>
        <v>0.14000704579337231</v>
      </c>
      <c r="CW23" s="556">
        <f>IF($F5="const",1,IF($F5="full",'SK-data'!BW365/1000,IF(LEFT($F5,3)="pow",(('SK-data'!BW365)^(VALUE(MID($F5,6,10))))/1000,"n/a")))</f>
        <v>0.44887687660550246</v>
      </c>
      <c r="CX23" s="556">
        <f>IF($F5="const",1,IF($F5="full",'SK-data'!BX365/1000,IF(LEFT($F5,3)="pow",(('SK-data'!BX365)^(VALUE(MID($F5,6,10))))/1000,"n/a")))</f>
        <v>0.25824971827987214</v>
      </c>
      <c r="CY23" s="556">
        <f>IF($F5="const",1,IF($F5="full",'SK-data'!BY365/1000,IF(LEFT($F5,3)="pow",(('SK-data'!BY365)^(VALUE(MID($F5,6,10))))/1000,"n/a")))</f>
        <v>0.24416948774401523</v>
      </c>
      <c r="CZ23" s="556">
        <f>IF($F5="const",1,IF($F5="full",'SK-data'!BZ365/1000,IF(LEFT($F5,3)="pow",(('SK-data'!BZ365)^(VALUE(MID($F5,6,10))))/1000,"n/a")))</f>
        <v>0.2877092433872292</v>
      </c>
      <c r="DA23" s="556">
        <f>IF($F5="const",1,IF($F5="full",'SK-data'!CA365/1000,IF(LEFT($F5,3)="pow",(('SK-data'!CA365)^(VALUE(MID($F5,6,10))))/1000,"n/a")))</f>
        <v>0.2711072378579007</v>
      </c>
      <c r="DB23" s="556">
        <f>IF($F5="const",1,IF($F5="full",'SK-data'!CB365/1000,IF(LEFT($F5,3)="pow",(('SK-data'!CB365)^(VALUE(MID($F5,6,10))))/1000,"n/a")))</f>
        <v>0.3834954311374591</v>
      </c>
      <c r="DC23" s="556">
        <f>IF($F5="const",1,IF($F5="full",'SK-data'!CC365/1000,IF(LEFT($F5,3)="pow",(('SK-data'!CC365)^(VALUE(MID($F5,6,10))))/1000,"n/a")))</f>
        <v>0.33519285855667819</v>
      </c>
      <c r="DD23" s="556">
        <f>IF($F5="const",1,IF($F5="full",'SK-data'!CD365/1000,IF(LEFT($F5,3)="pow",(('SK-data'!CD365)^(VALUE(MID($F5,6,10))))/1000,"n/a")))</f>
        <v>8.8921090431947028E-2</v>
      </c>
      <c r="DE23" s="556">
        <f>IF($F5="const",1,IF($F5="full",'SK-data'!CE365/1000,IF(LEFT($F5,3)="pow",(('SK-data'!CE365)^(VALUE(MID($F5,6,10))))/1000,"n/a")))</f>
        <v>0.54619513707752709</v>
      </c>
      <c r="DF23" s="556">
        <f>IF($F5="const",1,IF($F5="full",'SK-data'!CF365/1000,IF(LEFT($F5,3)="pow",(('SK-data'!CF365)^(VALUE(MID($F5,6,10))))/1000,"n/a")))</f>
        <v>0.64262823206537845</v>
      </c>
      <c r="DG23" s="556">
        <f>IF($F5="const",1,IF($F5="full",'SK-data'!CG365/1000,IF(LEFT($F5,3)="pow",(('SK-data'!CG365)^(VALUE(MID($F5,6,10))))/1000,"n/a")))</f>
        <v>0.44918922216454349</v>
      </c>
    </row>
    <row r="24" spans="1:111" s="429" customFormat="1" ht="15.75" customHeight="1" thickBot="1" x14ac:dyDescent="0.3">
      <c r="A24" s="639">
        <f>'MD-ratings-year'!A21</f>
        <v>0.25</v>
      </c>
      <c r="B24" s="633" t="str">
        <f>'MD-ratings-year'!B21</f>
        <v>Liquidity</v>
      </c>
      <c r="C24" s="231">
        <f>'MD-ratings-year'!C21</f>
        <v>8.3333333333333329E-2</v>
      </c>
      <c r="D24" s="434" t="str">
        <f>'MD-ratings-year'!D21</f>
        <v>Current Ratio</v>
      </c>
      <c r="E24" s="419" t="s">
        <v>1447</v>
      </c>
      <c r="F24" s="437" t="str">
        <f>'MD-ratings-year'!E21</f>
        <v>Current Assets ÷ Current Liabilities</v>
      </c>
      <c r="G24" s="439" t="s">
        <v>400</v>
      </c>
      <c r="H24" s="653">
        <v>2016</v>
      </c>
      <c r="J24" s="259"/>
      <c r="K24" s="259"/>
      <c r="L24" s="259"/>
      <c r="M24" s="259"/>
      <c r="N24" s="259"/>
      <c r="O24" s="259"/>
      <c r="P24" s="259"/>
      <c r="Q24" s="259"/>
      <c r="R24" s="259"/>
      <c r="S24" s="259"/>
      <c r="T24" s="259"/>
      <c r="U24" s="579">
        <f>'MD-ratios'!U24</f>
        <v>25.428188289080342</v>
      </c>
      <c r="V24" s="259"/>
      <c r="W24" s="259"/>
      <c r="Y24" s="260">
        <f>'MD-ratings-year'!P21</f>
        <v>0</v>
      </c>
      <c r="Z24" s="567">
        <f>'MD-ratings-year'!Q21</f>
        <v>0.92385991622305896</v>
      </c>
      <c r="AA24" s="567">
        <f>'MD-ratings-year'!R21</f>
        <v>1.9229713965396571</v>
      </c>
      <c r="AB24" s="567">
        <f>'MD-ratings-year'!S21</f>
        <v>4.0025754196882692</v>
      </c>
      <c r="AC24" s="260">
        <f>'MD-ratings-year'!T21</f>
        <v>11.100561961639293</v>
      </c>
      <c r="AD24" s="551"/>
      <c r="AE24" s="259"/>
      <c r="AF24" s="454">
        <f>('SK-data'!F286 + 'SK-data'!F281 + 'SK-data'!F268 + 'SK-data'!F249)/'SK-data'!F339</f>
        <v>11.079598488062638</v>
      </c>
      <c r="AG24" s="454">
        <f>('SK-data'!G286 + 'SK-data'!G281 + 'SK-data'!G268 + 'SK-data'!G249)/'SK-data'!G339</f>
        <v>7.5706130567432872</v>
      </c>
      <c r="AH24" s="454">
        <f>('SK-data'!H286 + 'SK-data'!H281 + 'SK-data'!H268 + 'SK-data'!H249)/'SK-data'!H339</f>
        <v>1.5893397495375605</v>
      </c>
      <c r="AI24" s="454">
        <f>('SK-data'!I286 + 'SK-data'!I281 + 'SK-data'!I268 + 'SK-data'!I249)/'SK-data'!I339</f>
        <v>1.1693444652749621</v>
      </c>
      <c r="AJ24" s="454">
        <f>('SK-data'!J286 + 'SK-data'!J281 + 'SK-data'!J268 + 'SK-data'!J249)/'SK-data'!J339</f>
        <v>0.64121537497416947</v>
      </c>
      <c r="AK24" s="454">
        <f>('SK-data'!K286 + 'SK-data'!K281 + 'SK-data'!K268 + 'SK-data'!K249)/'SK-data'!K339</f>
        <v>2.071271643886043</v>
      </c>
      <c r="AL24" s="454">
        <f>('SK-data'!L286 + 'SK-data'!L281 + 'SK-data'!L268 + 'SK-data'!L249)/'SK-data'!L339</f>
        <v>3.2563392978602015</v>
      </c>
      <c r="AM24" s="454">
        <f>('SK-data'!M286 + 'SK-data'!M281 + 'SK-data'!M268 + 'SK-data'!M249)/'SK-data'!M339</f>
        <v>1.7917419040230795</v>
      </c>
      <c r="AN24" s="454">
        <f>('SK-data'!N286 + 'SK-data'!N281 + 'SK-data'!N268 + 'SK-data'!N249)/'SK-data'!N339</f>
        <v>1.8321308138696248</v>
      </c>
      <c r="AO24" s="454">
        <f>('SK-data'!O286 + 'SK-data'!O281 + 'SK-data'!O268 + 'SK-data'!O249)/'SK-data'!O339</f>
        <v>1.1793946793761099</v>
      </c>
      <c r="AP24" s="454">
        <f>('SK-data'!P286 + 'SK-data'!P281 + 'SK-data'!P268 + 'SK-data'!P249)/'SK-data'!P339</f>
        <v>2.4629725486596645</v>
      </c>
      <c r="AQ24" s="454">
        <f>('SK-data'!Q286 + 'SK-data'!Q281 + 'SK-data'!Q268 + 'SK-data'!Q249)/'SK-data'!Q339</f>
        <v>16.54524661526543</v>
      </c>
      <c r="AR24" s="454">
        <f>('SK-data'!R286 + 'SK-data'!R281 + 'SK-data'!R268 + 'SK-data'!R249)/'SK-data'!R339</f>
        <v>1.1227596303525036</v>
      </c>
      <c r="AS24" s="454">
        <f>('SK-data'!S286 + 'SK-data'!S281 + 'SK-data'!S268 + 'SK-data'!S249)/'SK-data'!S339</f>
        <v>1.2471046231092098</v>
      </c>
      <c r="AT24" s="454">
        <f>('SK-data'!T286 + 'SK-data'!T281 + 'SK-data'!T268 + 'SK-data'!T249)/'SK-data'!T339</f>
        <v>1.4126102554067779</v>
      </c>
      <c r="AU24" s="454">
        <f>('SK-data'!U286 + 'SK-data'!U281 + 'SK-data'!U268 + 'SK-data'!U249)/'SK-data'!U339</f>
        <v>9.6144394239833559</v>
      </c>
      <c r="AV24" s="454">
        <f>('SK-data'!V286 + 'SK-data'!V281 + 'SK-data'!V268 + 'SK-data'!V249)/'SK-data'!V339</f>
        <v>2.3080349791889674</v>
      </c>
      <c r="AW24" s="454">
        <f>('SK-data'!W286 + 'SK-data'!W281 + 'SK-data'!W268 + 'SK-data'!W249)/'SK-data'!W339</f>
        <v>1.2441941535556627</v>
      </c>
      <c r="AX24" s="454">
        <f>('SK-data'!X286 + 'SK-data'!X281 + 'SK-data'!X268 + 'SK-data'!X249)/'SK-data'!X339</f>
        <v>1.7544998169997634</v>
      </c>
      <c r="AY24" s="454">
        <f>('SK-data'!Y286 + 'SK-data'!Y281 + 'SK-data'!Y268 + 'SK-data'!Y249)/'SK-data'!Y339</f>
        <v>1.0815229851915362</v>
      </c>
      <c r="AZ24" s="454">
        <f>('SK-data'!Z286 + 'SK-data'!Z281 + 'SK-data'!Z268 + 'SK-data'!Z249)/'SK-data'!Z339</f>
        <v>74.818641703220507</v>
      </c>
      <c r="BA24" s="454">
        <f>('SK-data'!AA286 + 'SK-data'!AA281 + 'SK-data'!AA268 + 'SK-data'!AA249)/'SK-data'!AA339</f>
        <v>6.0551212931558229</v>
      </c>
      <c r="BB24" s="454">
        <f>('SK-data'!AB286 + 'SK-data'!AB281 + 'SK-data'!AB268 + 'SK-data'!AB249)/'SK-data'!AB339</f>
        <v>2.7054808514041375</v>
      </c>
      <c r="BC24" s="454">
        <f>('SK-data'!AC286 + 'SK-data'!AC281 + 'SK-data'!AC268 + 'SK-data'!AC249)/'SK-data'!AC339</f>
        <v>1.0179980948319955</v>
      </c>
      <c r="BD24" s="454">
        <f>('SK-data'!AD286 + 'SK-data'!AD281 + 'SK-data'!AD268 + 'SK-data'!AD249)/'SK-data'!AD339</f>
        <v>1.2851846151363195</v>
      </c>
      <c r="BE24" s="454">
        <f>('SK-data'!AE286 + 'SK-data'!AE281 + 'SK-data'!AE268 + 'SK-data'!AE249)/'SK-data'!AE339</f>
        <v>19.316081742723817</v>
      </c>
      <c r="BF24" s="454">
        <f>('SK-data'!AF286 + 'SK-data'!AF281 + 'SK-data'!AF268 + 'SK-data'!AF249)/'SK-data'!AF339</f>
        <v>3.0418120727728479</v>
      </c>
      <c r="BG24" s="454">
        <f>('SK-data'!AG286 + 'SK-data'!AG281 + 'SK-data'!AG268 + 'SK-data'!AG249)/'SK-data'!AG339</f>
        <v>0.24518551255459053</v>
      </c>
      <c r="BH24" s="454">
        <f>('SK-data'!AH286 + 'SK-data'!AH281 + 'SK-data'!AH268 + 'SK-data'!AH249)/'SK-data'!AH339</f>
        <v>3.1307412427766286</v>
      </c>
      <c r="BI24" s="454">
        <f>('SK-data'!AI286 + 'SK-data'!AI281 + 'SK-data'!AI268 + 'SK-data'!AI249)/'SK-data'!AI339</f>
        <v>3.0002135487958999</v>
      </c>
      <c r="BJ24" s="454">
        <f>('SK-data'!AJ286 + 'SK-data'!AJ281 + 'SK-data'!AJ268 + 'SK-data'!AJ249)/'SK-data'!AJ339</f>
        <v>8.1494960386994358E-2</v>
      </c>
      <c r="BK24" s="454">
        <f>('SK-data'!AK286 + 'SK-data'!AK281 + 'SK-data'!AK268 + 'SK-data'!AK249)/'SK-data'!AK339</f>
        <v>5.4911249720238118</v>
      </c>
      <c r="BL24" s="454">
        <f>('SK-data'!AL286 + 'SK-data'!AL281 + 'SK-data'!AL268 + 'SK-data'!AL249)/'SK-data'!AL339</f>
        <v>1.7374330424283839</v>
      </c>
      <c r="BM24" s="454">
        <f>('SK-data'!AM286 + 'SK-data'!AM281 + 'SK-data'!AM268 + 'SK-data'!AM249)/'SK-data'!AM339</f>
        <v>6.4971112376311249</v>
      </c>
      <c r="BN24" s="454">
        <f>('SK-data'!AN286 + 'SK-data'!AN281 + 'SK-data'!AN268 + 'SK-data'!AN249)/'SK-data'!AN339</f>
        <v>3.4491916859122402</v>
      </c>
      <c r="BO24" s="454">
        <f>('SK-data'!AO286 + 'SK-data'!AO281 + 'SK-data'!AO268 + 'SK-data'!AO249)/'SK-data'!AO339</f>
        <v>5.5061071849917242</v>
      </c>
      <c r="BP24" s="454">
        <f>('SK-data'!AP286 + 'SK-data'!AP281 + 'SK-data'!AP268 + 'SK-data'!AP249)/'SK-data'!AP339</f>
        <v>2.65402819569554</v>
      </c>
      <c r="BQ24" s="454">
        <f>('SK-data'!AQ286 + 'SK-data'!AQ281 + 'SK-data'!AQ268 + 'SK-data'!AQ249)/'SK-data'!AQ339</f>
        <v>1.8133881895525057</v>
      </c>
      <c r="BR24" s="454">
        <f>('SK-data'!AR286 + 'SK-data'!AR281 + 'SK-data'!AR268 + 'SK-data'!AR249)/'SK-data'!AR339</f>
        <v>0.73473311303636335</v>
      </c>
      <c r="BS24" s="454">
        <f>('SK-data'!AS286 + 'SK-data'!AS281 + 'SK-data'!AS268 + 'SK-data'!AS249)/'SK-data'!AS339</f>
        <v>1.3211539426242829</v>
      </c>
      <c r="BT24" s="454">
        <f>('SK-data'!AT286 + 'SK-data'!AT281 + 'SK-data'!AT268 + 'SK-data'!AT249)/'SK-data'!AT339</f>
        <v>0.7808837751283928</v>
      </c>
      <c r="BU24" s="454">
        <f>('SK-data'!AU286 + 'SK-data'!AU281 + 'SK-data'!AU268 + 'SK-data'!AU249)/'SK-data'!AU339</f>
        <v>0.85648055442719806</v>
      </c>
      <c r="BV24" s="454">
        <f>('SK-data'!AV286 + 'SK-data'!AV281 + 'SK-data'!AV268 + 'SK-data'!AV249)/'SK-data'!AV339</f>
        <v>10.390875788882314</v>
      </c>
      <c r="BW24" s="454">
        <f>('SK-data'!AW286 + 'SK-data'!AW281 + 'SK-data'!AW268 + 'SK-data'!AW249)/'SK-data'!AW339</f>
        <v>2.0376925208852992</v>
      </c>
      <c r="BX24" s="454">
        <f>('SK-data'!AX286 + 'SK-data'!AX281 + 'SK-data'!AX268 + 'SK-data'!AX249)/'SK-data'!AX339</f>
        <v>1.8521338253782005</v>
      </c>
      <c r="BY24" s="454">
        <f>('SK-data'!AY286 + 'SK-data'!AY281 + 'SK-data'!AY268 + 'SK-data'!AY249)/'SK-data'!AY339</f>
        <v>0.57776707958892903</v>
      </c>
      <c r="BZ24" s="454">
        <f>('SK-data'!AZ286 + 'SK-data'!AZ281 + 'SK-data'!AZ268 + 'SK-data'!AZ249)/'SK-data'!AZ339</f>
        <v>8.268648704728653</v>
      </c>
      <c r="CA24" s="454">
        <f>('SK-data'!BA286 + 'SK-data'!BA281 + 'SK-data'!BA268 + 'SK-data'!BA249)/'SK-data'!BA339</f>
        <v>15.245526200259494</v>
      </c>
      <c r="CB24" s="454">
        <f>('SK-data'!BB286 + 'SK-data'!BB281 + 'SK-data'!BB268 + 'SK-data'!BB249)/'SK-data'!BB339</f>
        <v>0.86560625102494237</v>
      </c>
      <c r="CC24" s="454">
        <f>('SK-data'!BC286 + 'SK-data'!BC281 + 'SK-data'!BC268 + 'SK-data'!BC249)/'SK-data'!BC339</f>
        <v>0.58545046801579692</v>
      </c>
      <c r="CD24" s="454">
        <f>('SK-data'!BD286 + 'SK-data'!BD281 + 'SK-data'!BD268 + 'SK-data'!BD249)/'SK-data'!BD339</f>
        <v>1.5172969591179404</v>
      </c>
      <c r="CE24" s="454">
        <f>('SK-data'!BE286 + 'SK-data'!BE281 + 'SK-data'!BE268 + 'SK-data'!BE249)/'SK-data'!BE339</f>
        <v>40.443231638711815</v>
      </c>
      <c r="CF24" s="454">
        <f>('SK-data'!BF286 + 'SK-data'!BF281 + 'SK-data'!BF268 + 'SK-data'!BF249)/'SK-data'!BF339</f>
        <v>1.1941872118661054</v>
      </c>
      <c r="CG24" s="454">
        <f>('SK-data'!BG286 + 'SK-data'!BG281 + 'SK-data'!BG268 + 'SK-data'!BG249)/'SK-data'!BG339</f>
        <v>1.1754610850833851</v>
      </c>
      <c r="CH24" s="454">
        <f>('SK-data'!BH286 + 'SK-data'!BH281 + 'SK-data'!BH268 + 'SK-data'!BH249)/'SK-data'!BH339</f>
        <v>2.8639393345100346</v>
      </c>
      <c r="CI24" s="454">
        <f>('SK-data'!BI286 + 'SK-data'!BI281 + 'SK-data'!BI268 + 'SK-data'!BI249)/'SK-data'!BI339</f>
        <v>2.5772341479804015</v>
      </c>
      <c r="CJ24" s="454">
        <f>('SK-data'!BJ286 + 'SK-data'!BJ281 + 'SK-data'!BJ268 + 'SK-data'!BJ249)/'SK-data'!BJ339</f>
        <v>1.4492430947370025</v>
      </c>
      <c r="CK24" s="454">
        <f>('SK-data'!BK286 + 'SK-data'!BK281 + 'SK-data'!BK268 + 'SK-data'!BK249)/'SK-data'!BK339</f>
        <v>9.9812940555618379</v>
      </c>
      <c r="CL24" s="454">
        <f>('SK-data'!BL286 + 'SK-data'!BL281 + 'SK-data'!BL268 + 'SK-data'!BL249)/'SK-data'!BL339</f>
        <v>7.3779277816346411</v>
      </c>
      <c r="CM24" s="454">
        <f>('SK-data'!BM286 + 'SK-data'!BM281 + 'SK-data'!BM268 + 'SK-data'!BM249)/'SK-data'!BM339</f>
        <v>1.0616823927720016</v>
      </c>
      <c r="CN24" s="454">
        <f>('SK-data'!BN286 + 'SK-data'!BN281 + 'SK-data'!BN268 + 'SK-data'!BN249)/'SK-data'!BN339</f>
        <v>2.4066483621547006</v>
      </c>
      <c r="CO24" s="454">
        <f>('SK-data'!BO286 + 'SK-data'!BO281 + 'SK-data'!BO268 + 'SK-data'!BO249)/'SK-data'!BO339</f>
        <v>8.8928605182545457</v>
      </c>
      <c r="CP24" s="454">
        <f>('SK-data'!BP286 + 'SK-data'!BP281 + 'SK-data'!BP268 + 'SK-data'!BP249)/'SK-data'!BP339</f>
        <v>3.6855082010205304</v>
      </c>
      <c r="CQ24" s="454">
        <f>('SK-data'!BQ286 + 'SK-data'!BQ281 + 'SK-data'!BQ268 + 'SK-data'!BQ249)/'SK-data'!BQ339</f>
        <v>5.0550306487665075</v>
      </c>
      <c r="CR24" s="454">
        <f>('SK-data'!BR286 + 'SK-data'!BR281 + 'SK-data'!BR268 + 'SK-data'!BR249)/'SK-data'!BR339</f>
        <v>4.5441683391984444</v>
      </c>
      <c r="CS24" s="454">
        <f>('SK-data'!BS286 + 'SK-data'!BS281 + 'SK-data'!BS268 + 'SK-data'!BS249)/'SK-data'!BS339</f>
        <v>3.8355137417823961</v>
      </c>
      <c r="CT24" s="454">
        <f>('SK-data'!BT286 + 'SK-data'!BT281 + 'SK-data'!BT268 + 'SK-data'!BT249)/'SK-data'!BT339</f>
        <v>4.2282370611836688</v>
      </c>
      <c r="CU24" s="454">
        <f>('SK-data'!BU286 + 'SK-data'!BU281 + 'SK-data'!BU268 + 'SK-data'!BU249)/'SK-data'!BU339</f>
        <v>1.3584008931756211</v>
      </c>
      <c r="CV24" s="454">
        <f>('SK-data'!BV286 + 'SK-data'!BV281 + 'SK-data'!BV268 + 'SK-data'!BV249)/'SK-data'!BV339</f>
        <v>5.76372538961584</v>
      </c>
      <c r="CW24" s="454">
        <f>('SK-data'!BW286 + 'SK-data'!BW281 + 'SK-data'!BW268 + 'SK-data'!BW249)/'SK-data'!BW339</f>
        <v>13.923141044090027</v>
      </c>
      <c r="CX24" s="454">
        <f>('SK-data'!BX286 + 'SK-data'!BX281 + 'SK-data'!BX268 + 'SK-data'!BX249)/'SK-data'!BX339</f>
        <v>1.0957665895163087</v>
      </c>
      <c r="CY24" s="454">
        <f>('SK-data'!BY286 + 'SK-data'!BY281 + 'SK-data'!BY268 + 'SK-data'!BY249)/'SK-data'!BY339</f>
        <v>0.94357434211403601</v>
      </c>
      <c r="CZ24" s="454">
        <f>('SK-data'!BZ286 + 'SK-data'!BZ281 + 'SK-data'!BZ268 + 'SK-data'!BZ249)/'SK-data'!BZ339</f>
        <v>9.0838295488000612E-2</v>
      </c>
      <c r="DA24" s="454">
        <f>('SK-data'!CA286 + 'SK-data'!CA281 + 'SK-data'!CA268 + 'SK-data'!CA249)/'SK-data'!CA339</f>
        <v>6.1662543610018226</v>
      </c>
      <c r="DB24" s="454">
        <f>('SK-data'!CB286 + 'SK-data'!CB281 + 'SK-data'!CB268 + 'SK-data'!CB249)/'SK-data'!CB339</f>
        <v>2.9168577074703537</v>
      </c>
      <c r="DC24" s="454">
        <f>('SK-data'!CC286 + 'SK-data'!CC281 + 'SK-data'!CC268 + 'SK-data'!CC249)/'SK-data'!CC339</f>
        <v>1.0365825069742363</v>
      </c>
      <c r="DD24" s="454">
        <f>('SK-data'!CD286 + 'SK-data'!CD281 + 'SK-data'!CD268 + 'SK-data'!CD249)/'SK-data'!CD339</f>
        <v>1.3897332815190782</v>
      </c>
      <c r="DE24" s="454">
        <f>('SK-data'!CE286 + 'SK-data'!CE281 + 'SK-data'!CE268 + 'SK-data'!CE249)/'SK-data'!CE339</f>
        <v>1.2047840616264354</v>
      </c>
      <c r="DF24" s="454">
        <f>('SK-data'!CF286 + 'SK-data'!CF281 + 'SK-data'!CF268 + 'SK-data'!CF249)/'SK-data'!CF339</f>
        <v>0.74435822205160551</v>
      </c>
      <c r="DG24" s="454">
        <f>('SK-data'!CG286 + 'SK-data'!CG281 + 'SK-data'!CG268 + 'SK-data'!CG249)/'SK-data'!CG339</f>
        <v>1.1047380864526533</v>
      </c>
    </row>
    <row r="25" spans="1:111" s="428" customFormat="1" ht="15.75" customHeight="1" thickBot="1" x14ac:dyDescent="0.3">
      <c r="A25" s="640"/>
      <c r="B25" s="634"/>
      <c r="C25" s="231">
        <f>'MD-ratings-year'!C22</f>
        <v>8.3333333333333329E-2</v>
      </c>
      <c r="D25" s="434" t="str">
        <f>'MD-ratings-year'!D22</f>
        <v>Quick Asset Ratio</v>
      </c>
      <c r="E25" s="419" t="s">
        <v>1448</v>
      </c>
      <c r="F25" s="437" t="str">
        <f>'MD-ratings-year'!E22</f>
        <v>Cash + Marketable Securities + Accounts Receivable) ÷ Current Liabilities</v>
      </c>
      <c r="G25" s="440" t="s">
        <v>400</v>
      </c>
      <c r="H25" s="65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580">
        <f>'MD-ratios'!U25</f>
        <v>25.288244529129319</v>
      </c>
      <c r="V25" s="243"/>
      <c r="W25" s="243"/>
      <c r="Y25" s="258">
        <f>'MD-ratings-year'!P22</f>
        <v>0</v>
      </c>
      <c r="Z25" s="568">
        <f>'MD-ratings-year'!Q22</f>
        <v>0.51052771991818313</v>
      </c>
      <c r="AA25" s="568">
        <f>'MD-ratings-year'!R22</f>
        <v>1.2132572801322747</v>
      </c>
      <c r="AB25" s="568">
        <f>'MD-ratings-year'!S22</f>
        <v>2.8832777738882931</v>
      </c>
      <c r="AC25" s="258">
        <f>'MD-ratings-year'!T22</f>
        <v>10.352387055368238</v>
      </c>
      <c r="AD25" s="550"/>
      <c r="AE25" s="243"/>
      <c r="AF25" s="455">
        <f>('SK-data'!F286 + 'SK-data'!F281 + 'SK-data'!F268)/'SK-data'!F339</f>
        <v>11.079598488062638</v>
      </c>
      <c r="AG25" s="455">
        <f>('SK-data'!G286 + 'SK-data'!G281 + 'SK-data'!G268)/'SK-data'!G339</f>
        <v>7.4001584474398374</v>
      </c>
      <c r="AH25" s="455">
        <f>('SK-data'!H286 + 'SK-data'!H281 + 'SK-data'!H268)/'SK-data'!H339</f>
        <v>1.5708031745905597</v>
      </c>
      <c r="AI25" s="455">
        <f>('SK-data'!I286 + 'SK-data'!I281 + 'SK-data'!I268)/'SK-data'!I339</f>
        <v>1.116554616239964</v>
      </c>
      <c r="AJ25" s="455">
        <f>('SK-data'!J286 + 'SK-data'!J281 + 'SK-data'!J268)/'SK-data'!J339</f>
        <v>0.59882313868808457</v>
      </c>
      <c r="AK25" s="455">
        <f>('SK-data'!K286 + 'SK-data'!K281 + 'SK-data'!K268)/'SK-data'!K339</f>
        <v>1.467099917088392</v>
      </c>
      <c r="AL25" s="455">
        <f>('SK-data'!L286 + 'SK-data'!L281 + 'SK-data'!L268)/'SK-data'!L339</f>
        <v>3.1425314147765686</v>
      </c>
      <c r="AM25" s="455">
        <f>('SK-data'!M286 + 'SK-data'!M281 + 'SK-data'!M268)/'SK-data'!M339</f>
        <v>1.723205898263992</v>
      </c>
      <c r="AN25" s="455">
        <f>('SK-data'!N286 + 'SK-data'!N281 + 'SK-data'!N268)/'SK-data'!N339</f>
        <v>1.7530867745581886</v>
      </c>
      <c r="AO25" s="455">
        <f>('SK-data'!O286 + 'SK-data'!O281 + 'SK-data'!O268)/'SK-data'!O339</f>
        <v>1.1786380469984674</v>
      </c>
      <c r="AP25" s="455">
        <f>('SK-data'!P286 + 'SK-data'!P281 + 'SK-data'!P268)/'SK-data'!P339</f>
        <v>2.4186358751161996</v>
      </c>
      <c r="AQ25" s="455">
        <f>('SK-data'!Q286 + 'SK-data'!Q281 + 'SK-data'!Q268)/'SK-data'!Q339</f>
        <v>16.54524661526543</v>
      </c>
      <c r="AR25" s="455">
        <f>('SK-data'!R286 + 'SK-data'!R281 + 'SK-data'!R268)/'SK-data'!R339</f>
        <v>1.0962353015043633</v>
      </c>
      <c r="AS25" s="455">
        <f>('SK-data'!S286 + 'SK-data'!S281 + 'SK-data'!S268)/'SK-data'!S339</f>
        <v>1.1649798830050389</v>
      </c>
      <c r="AT25" s="455">
        <f>('SK-data'!T286 + 'SK-data'!T281 + 'SK-data'!T268)/'SK-data'!T339</f>
        <v>1.3853205862894735</v>
      </c>
      <c r="AU25" s="455">
        <f>('SK-data'!U286 + 'SK-data'!U281 + 'SK-data'!U268)/'SK-data'!U339</f>
        <v>9.1787374443324765</v>
      </c>
      <c r="AV25" s="455">
        <f>('SK-data'!V286 + 'SK-data'!V281 + 'SK-data'!V268)/'SK-data'!V339</f>
        <v>2.303308141619782</v>
      </c>
      <c r="AW25" s="455">
        <f>('SK-data'!W286 + 'SK-data'!W281 + 'SK-data'!W268)/'SK-data'!W339</f>
        <v>1.1082877077925353</v>
      </c>
      <c r="AX25" s="455">
        <f>('SK-data'!X286 + 'SK-data'!X281 + 'SK-data'!X268)/'SK-data'!X339</f>
        <v>1.6849826199853428</v>
      </c>
      <c r="AY25" s="455">
        <f>('SK-data'!Y286 + 'SK-data'!Y281 + 'SK-data'!Y268)/'SK-data'!Y339</f>
        <v>1.077792761997123</v>
      </c>
      <c r="AZ25" s="455">
        <f>('SK-data'!Z286 + 'SK-data'!Z281 + 'SK-data'!Z268)/'SK-data'!Z339</f>
        <v>74.730741725248762</v>
      </c>
      <c r="BA25" s="455">
        <f>('SK-data'!AA286 + 'SK-data'!AA281 + 'SK-data'!AA268)/'SK-data'!AA339</f>
        <v>4.0539014250929251</v>
      </c>
      <c r="BB25" s="455">
        <f>('SK-data'!AB286 + 'SK-data'!AB281 + 'SK-data'!AB268)/'SK-data'!AB339</f>
        <v>2.0839045200838422</v>
      </c>
      <c r="BC25" s="455">
        <f>('SK-data'!AC286 + 'SK-data'!AC281 + 'SK-data'!AC268)/'SK-data'!AC339</f>
        <v>0.97081422191378264</v>
      </c>
      <c r="BD25" s="455">
        <f>('SK-data'!AD286 + 'SK-data'!AD281 + 'SK-data'!AD268)/'SK-data'!AD339</f>
        <v>0.92168967557381865</v>
      </c>
      <c r="BE25" s="455">
        <f>('SK-data'!AE286 + 'SK-data'!AE281 + 'SK-data'!AE268)/'SK-data'!AE339</f>
        <v>19.0875737782867</v>
      </c>
      <c r="BF25" s="455">
        <f>('SK-data'!AF286 + 'SK-data'!AF281 + 'SK-data'!AF268)/'SK-data'!AF339</f>
        <v>2.9030554812072347</v>
      </c>
      <c r="BG25" s="455">
        <f>('SK-data'!AG286 + 'SK-data'!AG281 + 'SK-data'!AG268)/'SK-data'!AG339</f>
        <v>0.20796580757299565</v>
      </c>
      <c r="BH25" s="455">
        <f>('SK-data'!AH286 + 'SK-data'!AH281 + 'SK-data'!AH268)/'SK-data'!AH339</f>
        <v>2.7826686642410405</v>
      </c>
      <c r="BI25" s="455">
        <f>('SK-data'!AI286 + 'SK-data'!AI281 + 'SK-data'!AI268)/'SK-data'!AI339</f>
        <v>2.9394396619627585</v>
      </c>
      <c r="BJ25" s="455">
        <f>('SK-data'!AJ286 + 'SK-data'!AJ281 + 'SK-data'!AJ268)/'SK-data'!AJ339</f>
        <v>4.5169310029803358E-2</v>
      </c>
      <c r="BK25" s="455">
        <f>('SK-data'!AK286 + 'SK-data'!AK281 + 'SK-data'!AK268)/'SK-data'!AK339</f>
        <v>5.1881525193738485</v>
      </c>
      <c r="BL25" s="455">
        <f>('SK-data'!AL286 + 'SK-data'!AL281 + 'SK-data'!AL268)/'SK-data'!AL339</f>
        <v>1.7338684000088036</v>
      </c>
      <c r="BM25" s="455">
        <f>('SK-data'!AM286 + 'SK-data'!AM281 + 'SK-data'!AM268)/'SK-data'!AM339</f>
        <v>2.820515170133532</v>
      </c>
      <c r="BN25" s="455">
        <f>('SK-data'!AN286 + 'SK-data'!AN281 + 'SK-data'!AN268)/'SK-data'!AN339</f>
        <v>3.4200612582510277</v>
      </c>
      <c r="BO25" s="455">
        <f>('SK-data'!AO286 + 'SK-data'!AO281 + 'SK-data'!AO268)/'SK-data'!AO339</f>
        <v>4.788671017847256</v>
      </c>
      <c r="BP25" s="455">
        <f>('SK-data'!AP286 + 'SK-data'!AP281 + 'SK-data'!AP268)/'SK-data'!AP339</f>
        <v>2.4836909221086336</v>
      </c>
      <c r="BQ25" s="455">
        <f>('SK-data'!AQ286 + 'SK-data'!AQ281 + 'SK-data'!AQ268)/'SK-data'!AQ339</f>
        <v>1.4872202276594764</v>
      </c>
      <c r="BR25" s="455">
        <f>('SK-data'!AR286 + 'SK-data'!AR281 + 'SK-data'!AR268)/'SK-data'!AR339</f>
        <v>0.61728102695519904</v>
      </c>
      <c r="BS25" s="455">
        <f>('SK-data'!AS286 + 'SK-data'!AS281 + 'SK-data'!AS268)/'SK-data'!AS339</f>
        <v>1.2080315069904557</v>
      </c>
      <c r="BT25" s="455">
        <f>('SK-data'!AT286 + 'SK-data'!AT281 + 'SK-data'!AT268)/'SK-data'!AT339</f>
        <v>0.54611336530857524</v>
      </c>
      <c r="BU25" s="455">
        <f>('SK-data'!AU286 + 'SK-data'!AU281 + 'SK-data'!AU268)/'SK-data'!AU339</f>
        <v>0.71972280819620726</v>
      </c>
      <c r="BV25" s="455">
        <f>('SK-data'!AV286 + 'SK-data'!AV281 + 'SK-data'!AV268)/'SK-data'!AV339</f>
        <v>9.8196317436342575</v>
      </c>
      <c r="BW25" s="455">
        <f>('SK-data'!AW286 + 'SK-data'!AW281 + 'SK-data'!AW268)/'SK-data'!AW339</f>
        <v>1.5801318006449256</v>
      </c>
      <c r="BX25" s="455">
        <f>('SK-data'!AX286 + 'SK-data'!AX281 + 'SK-data'!AX268)/'SK-data'!AX339</f>
        <v>1.8503383907125335</v>
      </c>
      <c r="BY25" s="455">
        <f>('SK-data'!AY286 + 'SK-data'!AY281 + 'SK-data'!AY268)/'SK-data'!AY339</f>
        <v>0.57776707958892903</v>
      </c>
      <c r="BZ25" s="455">
        <f>('SK-data'!AZ286 + 'SK-data'!AZ281 + 'SK-data'!AZ268)/'SK-data'!AZ339</f>
        <v>8.1643639119314724</v>
      </c>
      <c r="CA25" s="455">
        <f>('SK-data'!BA286 + 'SK-data'!BA281 + 'SK-data'!BA268)/'SK-data'!BA339</f>
        <v>15.245526200259494</v>
      </c>
      <c r="CB25" s="455">
        <f>('SK-data'!BB286 + 'SK-data'!BB281 + 'SK-data'!BB268)/'SK-data'!BB339</f>
        <v>0.8556553598526897</v>
      </c>
      <c r="CC25" s="455">
        <f>('SK-data'!BC286 + 'SK-data'!BC281 + 'SK-data'!BC268)/'SK-data'!BC339</f>
        <v>0.56556932627800538</v>
      </c>
      <c r="CD25" s="455">
        <f>('SK-data'!BD286 + 'SK-data'!BD281 + 'SK-data'!BD268)/'SK-data'!BD339</f>
        <v>1.4940433741915089</v>
      </c>
      <c r="CE25" s="455">
        <f>('SK-data'!BE286 + 'SK-data'!BE281 + 'SK-data'!BE268)/'SK-data'!BE339</f>
        <v>40.443231638711815</v>
      </c>
      <c r="CF25" s="455">
        <f>('SK-data'!BF286 + 'SK-data'!BF281 + 'SK-data'!BF268)/'SK-data'!BF339</f>
        <v>1.1692590365470703</v>
      </c>
      <c r="CG25" s="455">
        <f>('SK-data'!BG286 + 'SK-data'!BG281 + 'SK-data'!BG268)/'SK-data'!BG339</f>
        <v>0.60017469456810091</v>
      </c>
      <c r="CH25" s="455">
        <f>('SK-data'!BH286 + 'SK-data'!BH281 + 'SK-data'!BH268)/'SK-data'!BH339</f>
        <v>2.5193750408576845</v>
      </c>
      <c r="CI25" s="455">
        <f>('SK-data'!BI286 + 'SK-data'!BI281 + 'SK-data'!BI268)/'SK-data'!BI339</f>
        <v>2.389511772545144</v>
      </c>
      <c r="CJ25" s="455">
        <f>('SK-data'!BJ286 + 'SK-data'!BJ281 + 'SK-data'!BJ268)/'SK-data'!BJ339</f>
        <v>1.3588577245816578</v>
      </c>
      <c r="CK25" s="455">
        <f>('SK-data'!BK286 + 'SK-data'!BK281 + 'SK-data'!BK268)/'SK-data'!BK339</f>
        <v>9.8136991594104561</v>
      </c>
      <c r="CL25" s="455">
        <f>('SK-data'!BL286 + 'SK-data'!BL281 + 'SK-data'!BL268)/'SK-data'!BL339</f>
        <v>7.3540302901189136</v>
      </c>
      <c r="CM25" s="455">
        <f>('SK-data'!BM286 + 'SK-data'!BM281 + 'SK-data'!BM268)/'SK-data'!BM339</f>
        <v>1.0616823927720016</v>
      </c>
      <c r="CN25" s="455">
        <f>('SK-data'!BN286 + 'SK-data'!BN281 + 'SK-data'!BN268)/'SK-data'!BN339</f>
        <v>2.2561727091810586</v>
      </c>
      <c r="CO25" s="455">
        <f>('SK-data'!BO286 + 'SK-data'!BO281 + 'SK-data'!BO268)/'SK-data'!BO339</f>
        <v>8.8790035191496219</v>
      </c>
      <c r="CP25" s="455">
        <f>('SK-data'!BP286 + 'SK-data'!BP281 + 'SK-data'!BP268)/'SK-data'!BP339</f>
        <v>3.6832893002062166</v>
      </c>
      <c r="CQ25" s="455">
        <f>('SK-data'!BQ286 + 'SK-data'!BQ281 + 'SK-data'!BQ268)/'SK-data'!BQ339</f>
        <v>4.667765999753164</v>
      </c>
      <c r="CR25" s="455">
        <f>('SK-data'!BR286 + 'SK-data'!BR281 + 'SK-data'!BR268)/'SK-data'!BR339</f>
        <v>4.4280511329715262</v>
      </c>
      <c r="CS25" s="455">
        <f>('SK-data'!BS286 + 'SK-data'!BS281 + 'SK-data'!BS268)/'SK-data'!BS339</f>
        <v>3.7145545192938765</v>
      </c>
      <c r="CT25" s="455">
        <f>('SK-data'!BT286 + 'SK-data'!BT281 + 'SK-data'!BT268)/'SK-data'!BT339</f>
        <v>4.058691876377809</v>
      </c>
      <c r="CU25" s="455">
        <f>('SK-data'!BU286 + 'SK-data'!BU281 + 'SK-data'!BU268)/'SK-data'!BU339</f>
        <v>1.3022844617393183</v>
      </c>
      <c r="CV25" s="455">
        <f>('SK-data'!BV286 + 'SK-data'!BV281 + 'SK-data'!BV268)/'SK-data'!BV339</f>
        <v>5.76372538961584</v>
      </c>
      <c r="CW25" s="455">
        <f>('SK-data'!BW286 + 'SK-data'!BW281 + 'SK-data'!BW268)/'SK-data'!BW339</f>
        <v>13.85700062011469</v>
      </c>
      <c r="CX25" s="455">
        <f>('SK-data'!BX286 + 'SK-data'!BX281 + 'SK-data'!BX268)/'SK-data'!BX339</f>
        <v>0.79176310461402077</v>
      </c>
      <c r="CY25" s="455">
        <f>('SK-data'!BY286 + 'SK-data'!BY281 + 'SK-data'!BY268)/'SK-data'!BY339</f>
        <v>0.80300091713622357</v>
      </c>
      <c r="CZ25" s="455">
        <f>('SK-data'!BZ286 + 'SK-data'!BZ281 + 'SK-data'!BZ268)/'SK-data'!BZ339</f>
        <v>9.0838295488000612E-2</v>
      </c>
      <c r="DA25" s="455">
        <f>('SK-data'!CA286 + 'SK-data'!CA281 + 'SK-data'!CA268)/'SK-data'!CA339</f>
        <v>5.8823760382106443</v>
      </c>
      <c r="DB25" s="455">
        <f>('SK-data'!CB286 + 'SK-data'!CB281 + 'SK-data'!CB268)/'SK-data'!CB339</f>
        <v>2.7430613009745568</v>
      </c>
      <c r="DC25" s="455">
        <f>('SK-data'!CC286 + 'SK-data'!CC281 + 'SK-data'!CC268)/'SK-data'!CC339</f>
        <v>1.0360081580983191</v>
      </c>
      <c r="DD25" s="455">
        <f>('SK-data'!CD286 + 'SK-data'!CD281 + 'SK-data'!CD268)/'SK-data'!CD339</f>
        <v>1.3590136091324598</v>
      </c>
      <c r="DE25" s="455">
        <f>('SK-data'!CE286 + 'SK-data'!CE281 + 'SK-data'!CE268)/'SK-data'!CE339</f>
        <v>1.1275233785272667</v>
      </c>
      <c r="DF25" s="455">
        <f>('SK-data'!CF286 + 'SK-data'!CF281 + 'SK-data'!CF268)/'SK-data'!CF339</f>
        <v>0.65541967150182345</v>
      </c>
      <c r="DG25" s="455">
        <f>('SK-data'!CG286 + 'SK-data'!CG281 + 'SK-data'!CG268)/'SK-data'!CG339</f>
        <v>0.96684569445013868</v>
      </c>
    </row>
    <row r="26" spans="1:111" s="428" customFormat="1" ht="15.75" customHeight="1" thickBot="1" x14ac:dyDescent="0.3">
      <c r="A26" s="640"/>
      <c r="B26" s="634"/>
      <c r="C26" s="235">
        <f>'MD-ratings-year'!C23</f>
        <v>8.3333333333333329E-2</v>
      </c>
      <c r="D26" s="434" t="str">
        <f>'MD-ratings-year'!D23</f>
        <v>Cash Position Ratio</v>
      </c>
      <c r="E26" s="443" t="s">
        <v>1449</v>
      </c>
      <c r="F26" s="437" t="str">
        <f>'MD-ratings-year'!E23</f>
        <v>Cash ÷ Current Liabilities</v>
      </c>
      <c r="G26" s="440" t="s">
        <v>400</v>
      </c>
      <c r="H26" s="65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580">
        <f>'MD-ratios'!U26</f>
        <v>61.244236598546493</v>
      </c>
      <c r="V26" s="243"/>
      <c r="W26" s="243"/>
      <c r="Y26" s="258">
        <f>'MD-ratings-year'!P23</f>
        <v>0</v>
      </c>
      <c r="Z26" s="568">
        <f>'MD-ratings-year'!Q23</f>
        <v>0.15270896624519492</v>
      </c>
      <c r="AA26" s="568">
        <f>'MD-ratings-year'!R23</f>
        <v>0.5450961190967416</v>
      </c>
      <c r="AB26" s="568">
        <f>'MD-ratings-year'!S23</f>
        <v>1.9457258231795442</v>
      </c>
      <c r="AC26" s="258">
        <f>'MD-ratings-year'!T23</f>
        <v>9.0372450797684873</v>
      </c>
      <c r="AD26" s="550"/>
      <c r="AE26" s="243"/>
      <c r="AF26" s="455">
        <f>'SK-data'!F286/'SK-data'!F339</f>
        <v>10.176389478150192</v>
      </c>
      <c r="AG26" s="455">
        <f>'SK-data'!G286/'SK-data'!G339</f>
        <v>6.2277691312173298</v>
      </c>
      <c r="AH26" s="455">
        <f>'SK-data'!H286/'SK-data'!H339</f>
        <v>0.97901140253800345</v>
      </c>
      <c r="AI26" s="455">
        <f>'SK-data'!I286/'SK-data'!I339</f>
        <v>1.0065268787081185</v>
      </c>
      <c r="AJ26" s="455">
        <f>'SK-data'!J286/'SK-data'!J339</f>
        <v>0.1790934763549544</v>
      </c>
      <c r="AK26" s="455">
        <f>'SK-data'!K286/'SK-data'!K339</f>
        <v>1.3062163064082761</v>
      </c>
      <c r="AL26" s="455">
        <f>'SK-data'!L286/'SK-data'!L339</f>
        <v>1.6464368161486875</v>
      </c>
      <c r="AM26" s="455">
        <f>'SK-data'!M286/'SK-data'!M339</f>
        <v>0.12641635650030306</v>
      </c>
      <c r="AN26" s="455">
        <f>'SK-data'!N286/'SK-data'!N339</f>
        <v>6.0316469626715326E-3</v>
      </c>
      <c r="AO26" s="455">
        <f>'SK-data'!O286/'SK-data'!O339</f>
        <v>0.46501640909246339</v>
      </c>
      <c r="AP26" s="455">
        <f>'SK-data'!P286/'SK-data'!P339</f>
        <v>0.9310037066406821</v>
      </c>
      <c r="AQ26" s="455">
        <f>'SK-data'!Q286/'SK-data'!Q339</f>
        <v>13.716475449145976</v>
      </c>
      <c r="AR26" s="455">
        <f>'SK-data'!R286/'SK-data'!R339</f>
        <v>0.13321750902181545</v>
      </c>
      <c r="AS26" s="455">
        <f>'SK-data'!S286/'SK-data'!S339</f>
        <v>0.12476433866102679</v>
      </c>
      <c r="AT26" s="455">
        <f>'SK-data'!T286/'SK-data'!T339</f>
        <v>0.77555512071487809</v>
      </c>
      <c r="AU26" s="455">
        <f>'SK-data'!U286/'SK-data'!U339</f>
        <v>1.6947144296720085</v>
      </c>
      <c r="AV26" s="455">
        <f>'SK-data'!V286/'SK-data'!V339</f>
        <v>1.4322736875752964</v>
      </c>
      <c r="AW26" s="455">
        <f>'SK-data'!W286/'SK-data'!W339</f>
        <v>0.65481358873204176</v>
      </c>
      <c r="AX26" s="455">
        <f>'SK-data'!X286/'SK-data'!X339</f>
        <v>1.0311355085990079</v>
      </c>
      <c r="AY26" s="455">
        <f>'SK-data'!Y286/'SK-data'!Y339</f>
        <v>7.5662027600781528E-2</v>
      </c>
      <c r="AZ26" s="455">
        <f>'SK-data'!Z286/'SK-data'!Z339</f>
        <v>12.477871281600324</v>
      </c>
      <c r="BA26" s="455">
        <f>'SK-data'!AA286/'SK-data'!AA339</f>
        <v>1.2458081984701419</v>
      </c>
      <c r="BB26" s="455">
        <f>'SK-data'!AB286/'SK-data'!AB339</f>
        <v>0.59326609311160972</v>
      </c>
      <c r="BC26" s="455">
        <f>'SK-data'!AC286/'SK-data'!AC339</f>
        <v>0.12404681792884954</v>
      </c>
      <c r="BD26" s="455">
        <f>'SK-data'!AD286/'SK-data'!AD339</f>
        <v>0.60149472935880388</v>
      </c>
      <c r="BE26" s="455">
        <f>'SK-data'!AE286/'SK-data'!AE339</f>
        <v>17.76721263651639</v>
      </c>
      <c r="BF26" s="455">
        <f>'SK-data'!AF286/'SK-data'!AF339</f>
        <v>1.7869367794527138</v>
      </c>
      <c r="BG26" s="455">
        <f>'SK-data'!AG286/'SK-data'!AG339</f>
        <v>0.13910370545037115</v>
      </c>
      <c r="BH26" s="455">
        <f>'SK-data'!AH286/'SK-data'!AH339</f>
        <v>1.0326650971439442</v>
      </c>
      <c r="BI26" s="455">
        <f>'SK-data'!AI286/'SK-data'!AI339</f>
        <v>2.4299192365455506</v>
      </c>
      <c r="BJ26" s="455">
        <f>'SK-data'!AJ286/'SK-data'!AJ339</f>
        <v>1.7934432612960717E-2</v>
      </c>
      <c r="BK26" s="455">
        <f>'SK-data'!AK286/'SK-data'!AK339</f>
        <v>2.9614138692786365</v>
      </c>
      <c r="BL26" s="455">
        <f>'SK-data'!AL286/'SK-data'!AL339</f>
        <v>0.16034602562073638</v>
      </c>
      <c r="BM26" s="455">
        <f>'SK-data'!AM286/'SK-data'!AM339</f>
        <v>1.9787932093804408</v>
      </c>
      <c r="BN26" s="455">
        <f>'SK-data'!AN286/'SK-data'!AN339</f>
        <v>0.25676051954858892</v>
      </c>
      <c r="BO26" s="455">
        <f>'SK-data'!AO286/'SK-data'!AO339</f>
        <v>2.7205052495340349</v>
      </c>
      <c r="BP26" s="455">
        <f>'SK-data'!AP286/'SK-data'!AP339</f>
        <v>0.54943814312161843</v>
      </c>
      <c r="BQ26" s="455">
        <f>'SK-data'!AQ286/'SK-data'!AQ339</f>
        <v>0.4015943563608293</v>
      </c>
      <c r="BR26" s="455">
        <f>'SK-data'!AR286/'SK-data'!AR339</f>
        <v>2.5326160575117138E-3</v>
      </c>
      <c r="BS26" s="455">
        <f>'SK-data'!AS286/'SK-data'!AS339</f>
        <v>1.9128643431332586E-3</v>
      </c>
      <c r="BT26" s="455">
        <f>'SK-data'!AT286/'SK-data'!AT339</f>
        <v>0.16091879338840298</v>
      </c>
      <c r="BU26" s="455">
        <f>'SK-data'!AU286/'SK-data'!AU339</f>
        <v>5.807885352702759E-3</v>
      </c>
      <c r="BV26" s="455">
        <f>'SK-data'!AV286/'SK-data'!AV339</f>
        <v>8.5487857947075518</v>
      </c>
      <c r="BW26" s="455">
        <f>'SK-data'!AW286/'SK-data'!AW339</f>
        <v>0.95992970045707904</v>
      </c>
      <c r="BX26" s="455">
        <f>'SK-data'!AX286/'SK-data'!AX339</f>
        <v>0.45737942640336499</v>
      </c>
      <c r="BY26" s="455">
        <f>'SK-data'!AY286/'SK-data'!AY339</f>
        <v>3.1975008896300103E-2</v>
      </c>
      <c r="BZ26" s="455">
        <f>'SK-data'!AZ286/'SK-data'!AZ339</f>
        <v>7.9832063547911281</v>
      </c>
      <c r="CA26" s="455">
        <f>'SK-data'!BA286/'SK-data'!BA339</f>
        <v>0.6672815905741819</v>
      </c>
      <c r="CB26" s="455">
        <f>'SK-data'!BB286/'SK-data'!BB339</f>
        <v>0.36420946541867644</v>
      </c>
      <c r="CC26" s="455">
        <f>'SK-data'!BC286/'SK-data'!BC339</f>
        <v>2.0296350991144855E-2</v>
      </c>
      <c r="CD26" s="455">
        <f>'SK-data'!BD286/'SK-data'!BD339</f>
        <v>0.89644694263476465</v>
      </c>
      <c r="CE26" s="455">
        <f>'SK-data'!BE286/'SK-data'!BE339</f>
        <v>40.234128688991397</v>
      </c>
      <c r="CF26" s="455">
        <f>'SK-data'!BF286/'SK-data'!BF339</f>
        <v>0.74328188681766549</v>
      </c>
      <c r="CG26" s="455">
        <f>'SK-data'!BG286/'SK-data'!BG339</f>
        <v>5.0436169230096084E-2</v>
      </c>
      <c r="CH26" s="455">
        <f>'SK-data'!BH286/'SK-data'!BH339</f>
        <v>1.288341504870236</v>
      </c>
      <c r="CI26" s="455">
        <f>'SK-data'!BI286/'SK-data'!BI339</f>
        <v>1.0383438253189361</v>
      </c>
      <c r="CJ26" s="455">
        <f>'SK-data'!BJ286/'SK-data'!BJ339</f>
        <v>0.63762357899440736</v>
      </c>
      <c r="CK26" s="455">
        <f>'SK-data'!BK286/'SK-data'!BK339</f>
        <v>9.0602359681857596</v>
      </c>
      <c r="CL26" s="455">
        <f>'SK-data'!BL286/'SK-data'!BL339</f>
        <v>7.1554119080748819</v>
      </c>
      <c r="CM26" s="455">
        <f>'SK-data'!BM286/'SK-data'!BM339</f>
        <v>0.21346435082236512</v>
      </c>
      <c r="CN26" s="455">
        <f>'SK-data'!BN286/'SK-data'!BN339</f>
        <v>1.1386915226284895</v>
      </c>
      <c r="CO26" s="455">
        <f>'SK-data'!BO286/'SK-data'!BO339</f>
        <v>7.9969673047094343</v>
      </c>
      <c r="CP26" s="455">
        <f>'SK-data'!BP286/'SK-data'!BP339</f>
        <v>2.7789735073896771</v>
      </c>
      <c r="CQ26" s="455">
        <f>'SK-data'!BQ286/'SK-data'!BQ339</f>
        <v>0.76831726615745377</v>
      </c>
      <c r="CR26" s="455">
        <f>'SK-data'!BR286/'SK-data'!BR339</f>
        <v>3.8393199470789945</v>
      </c>
      <c r="CS26" s="455">
        <f>'SK-data'!BS286/'SK-data'!BS339</f>
        <v>3.3650335374945151</v>
      </c>
      <c r="CT26" s="455">
        <f>'SK-data'!BT286/'SK-data'!BT339</f>
        <v>2.7440890710812691</v>
      </c>
      <c r="CU26" s="455">
        <f>'SK-data'!BU286/'SK-data'!BU339</f>
        <v>9.7095626704585616E-3</v>
      </c>
      <c r="CV26" s="455">
        <f>'SK-data'!BV286/'SK-data'!BV339</f>
        <v>5.0548418686637877</v>
      </c>
      <c r="CW26" s="455">
        <f>'SK-data'!BW286/'SK-data'!BW339</f>
        <v>4.3723276257067418</v>
      </c>
      <c r="CX26" s="455">
        <f>'SK-data'!BX286/'SK-data'!BX339</f>
        <v>2.7508862686205397E-2</v>
      </c>
      <c r="CY26" s="455">
        <f>'SK-data'!BY286/'SK-data'!BY339</f>
        <v>2.8555088179906863E-2</v>
      </c>
      <c r="CZ26" s="455">
        <f>'SK-data'!BZ286/'SK-data'!BZ339</f>
        <v>7.7048728833679969E-2</v>
      </c>
      <c r="DA26" s="455">
        <f>'SK-data'!CA286/'SK-data'!CA339</f>
        <v>3.8251821485691999</v>
      </c>
      <c r="DB26" s="455">
        <f>'SK-data'!CB286/'SK-data'!CB339</f>
        <v>1.6977963991488874</v>
      </c>
      <c r="DC26" s="455">
        <f>'SK-data'!CC286/'SK-data'!CC339</f>
        <v>0.90642801884802027</v>
      </c>
      <c r="DD26" s="455">
        <f>'SK-data'!CD286/'SK-data'!CD339</f>
        <v>1.2805978628592394</v>
      </c>
      <c r="DE26" s="455">
        <f>'SK-data'!CE286/'SK-data'!CE339</f>
        <v>0.71760013840452364</v>
      </c>
      <c r="DF26" s="455">
        <f>'SK-data'!CF286/'SK-data'!CF339</f>
        <v>1.7137843099618855E-3</v>
      </c>
      <c r="DG26" s="455">
        <f>'SK-data'!CG286/'SK-data'!CG339</f>
        <v>1.283260218933213E-2</v>
      </c>
    </row>
    <row r="27" spans="1:111" s="430" customFormat="1" ht="15.75" customHeight="1" thickBot="1" x14ac:dyDescent="0.3">
      <c r="A27" s="641"/>
      <c r="B27" s="635"/>
      <c r="C27" s="677" t="str">
        <f>'MD-ratings-year'!C24:E24</f>
        <v>Liquidity total</v>
      </c>
      <c r="D27" s="678"/>
      <c r="E27" s="678"/>
      <c r="F27" s="678"/>
      <c r="G27" s="441" t="s">
        <v>400</v>
      </c>
      <c r="H27" s="653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V27" s="266"/>
      <c r="W27" s="266"/>
      <c r="Y27" s="267"/>
      <c r="Z27" s="267"/>
      <c r="AA27" s="267"/>
      <c r="AB27" s="267"/>
      <c r="AC27" s="267"/>
      <c r="AD27" s="552"/>
      <c r="AE27" s="266"/>
    </row>
    <row r="28" spans="1:111" s="428" customFormat="1" ht="15.75" customHeight="1" thickBot="1" x14ac:dyDescent="0.3">
      <c r="A28" s="639">
        <f>'MD-ratings-year'!A25</f>
        <v>0.25</v>
      </c>
      <c r="B28" s="633" t="str">
        <f>'MD-ratings-year'!B25</f>
        <v>Profitability</v>
      </c>
      <c r="C28" s="435">
        <f>'MD-ratings-year'!C25</f>
        <v>0.1</v>
      </c>
      <c r="D28" s="436" t="str">
        <f>'MD-ratings-year'!D25</f>
        <v>ROA - Return on Assets</v>
      </c>
      <c r="E28" s="426" t="s">
        <v>1450</v>
      </c>
      <c r="F28" s="438" t="str">
        <f>'MD-ratings-year'!E25</f>
        <v>Net Profit ÷ Total Assets</v>
      </c>
      <c r="G28" s="440" t="s">
        <v>400</v>
      </c>
      <c r="H28" s="653"/>
      <c r="J28" s="243"/>
      <c r="K28" s="243"/>
      <c r="L28" s="243"/>
      <c r="M28" s="243"/>
      <c r="N28" s="243"/>
      <c r="O28" s="243"/>
      <c r="P28" s="243"/>
      <c r="Q28" s="243"/>
      <c r="R28" s="243"/>
      <c r="S28" s="243"/>
      <c r="T28" s="243"/>
      <c r="U28" s="580">
        <f>'MD-ratios'!U28</f>
        <v>22.538100602969134</v>
      </c>
      <c r="V28" s="243"/>
      <c r="W28" s="243"/>
      <c r="Y28" s="258">
        <f>'MD-ratings-year'!P25</f>
        <v>-0.13301091048016497</v>
      </c>
      <c r="Z28" s="568">
        <f>'MD-ratings-year'!Q25</f>
        <v>-6.6505455240082487E-2</v>
      </c>
      <c r="AA28" s="258">
        <f>'MD-ratings-year'!R25</f>
        <v>0</v>
      </c>
      <c r="AB28" s="568">
        <f>'MD-ratings-year'!S25</f>
        <v>6.6505455240082487E-2</v>
      </c>
      <c r="AC28" s="258">
        <f>'MD-ratings-year'!T25</f>
        <v>0.13301091048016497</v>
      </c>
      <c r="AD28" s="550"/>
      <c r="AE28" s="243"/>
      <c r="AF28" s="455">
        <f>'SK-data'!F425/'SK-data'!F216</f>
        <v>1.3591590662186404E-3</v>
      </c>
      <c r="AG28" s="455">
        <f>'SK-data'!G425/'SK-data'!G216</f>
        <v>3.8529088853944075E-3</v>
      </c>
      <c r="AH28" s="455">
        <f>'SK-data'!H425/'SK-data'!H216</f>
        <v>1.7175764085973898E-2</v>
      </c>
      <c r="AI28" s="455">
        <f>'SK-data'!I425/'SK-data'!I216</f>
        <v>4.7019760492720448E-2</v>
      </c>
      <c r="AJ28" s="455">
        <f>'SK-data'!J425/'SK-data'!J216</f>
        <v>2.3835558069446504E-2</v>
      </c>
      <c r="AK28" s="455">
        <f>'SK-data'!K425/'SK-data'!K216</f>
        <v>-8.3471505549921471E-3</v>
      </c>
      <c r="AL28" s="455">
        <f>'SK-data'!L425/'SK-data'!L216</f>
        <v>4.131008359875777E-2</v>
      </c>
      <c r="AM28" s="455">
        <f>'SK-data'!M425/'SK-data'!M216</f>
        <v>0.11890774892873326</v>
      </c>
      <c r="AN28" s="455">
        <f>'SK-data'!N425/'SK-data'!N216</f>
        <v>7.2049872270430124E-2</v>
      </c>
      <c r="AO28" s="455">
        <f>'SK-data'!O425/'SK-data'!O216</f>
        <v>7.6421069277078937E-2</v>
      </c>
      <c r="AP28" s="455">
        <f>'SK-data'!P425/'SK-data'!P216</f>
        <v>0.14978223757976528</v>
      </c>
      <c r="AQ28" s="455">
        <f>'SK-data'!Q425/'SK-data'!Q216</f>
        <v>-4.3545992216441974E-2</v>
      </c>
      <c r="AR28" s="455">
        <f>'SK-data'!R425/'SK-data'!R216</f>
        <v>6.7325793032974826E-2</v>
      </c>
      <c r="AS28" s="455">
        <f>'SK-data'!S425/'SK-data'!S216</f>
        <v>0.20570200140321107</v>
      </c>
      <c r="AT28" s="455">
        <f>'SK-data'!T425/'SK-data'!T216</f>
        <v>7.3153987805953408E-3</v>
      </c>
      <c r="AU28" s="455">
        <f>'SK-data'!U425/'SK-data'!U216</f>
        <v>7.7526844281157581E-2</v>
      </c>
      <c r="AV28" s="455">
        <f>'SK-data'!V425/'SK-data'!V216</f>
        <v>0.25199796776081068</v>
      </c>
      <c r="AW28" s="455">
        <f>'SK-data'!W425/'SK-data'!W216</f>
        <v>-6.247638927456777E-3</v>
      </c>
      <c r="AX28" s="455">
        <f>'SK-data'!X425/'SK-data'!X216</f>
        <v>-0.14143713683949652</v>
      </c>
      <c r="AY28" s="455">
        <f>'SK-data'!Y425/'SK-data'!Y216</f>
        <v>7.7540170131900871E-2</v>
      </c>
      <c r="AZ28" s="455">
        <f>'SK-data'!Z425/'SK-data'!Z216</f>
        <v>8.5624741214301373E-3</v>
      </c>
      <c r="BA28" s="455">
        <f>'SK-data'!AA425/'SK-data'!AA216</f>
        <v>3.2391406111851417E-3</v>
      </c>
      <c r="BB28" s="455">
        <f>'SK-data'!AB425/'SK-data'!AB216</f>
        <v>8.0644990240745958E-3</v>
      </c>
      <c r="BC28" s="455">
        <f>'SK-data'!AC425/'SK-data'!AC216</f>
        <v>-7.0800399744419887E-2</v>
      </c>
      <c r="BD28" s="455">
        <f>'SK-data'!AD425/'SK-data'!AD216</f>
        <v>-1.8199028844968476E-2</v>
      </c>
      <c r="BE28" s="455">
        <f>'SK-data'!AE425/'SK-data'!AE216</f>
        <v>2.7242318505573425E-2</v>
      </c>
      <c r="BF28" s="455">
        <f>'SK-data'!AF425/'SK-data'!AF216</f>
        <v>-2.0242603749448737E-2</v>
      </c>
      <c r="BG28" s="455">
        <f>'SK-data'!AG425/'SK-data'!AG216</f>
        <v>-3.0383311816958018E-2</v>
      </c>
      <c r="BH28" s="455">
        <f>'SK-data'!AH425/'SK-data'!AH216</f>
        <v>-2.005963303566187E-2</v>
      </c>
      <c r="BI28" s="455">
        <f>'SK-data'!AI425/'SK-data'!AI216</f>
        <v>-2.8180700359516513E-2</v>
      </c>
      <c r="BJ28" s="455">
        <f>'SK-data'!AJ425/'SK-data'!AJ216</f>
        <v>-2.0657479742298732E-2</v>
      </c>
      <c r="BK28" s="455">
        <f>'SK-data'!AK425/'SK-data'!AK216</f>
        <v>1.2062282857077217E-2</v>
      </c>
      <c r="BL28" s="455">
        <f>'SK-data'!AL425/'SK-data'!AL216</f>
        <v>7.0917342806044226E-2</v>
      </c>
      <c r="BM28" s="455">
        <f>'SK-data'!AM425/'SK-data'!AM216</f>
        <v>4.6978605466334263E-2</v>
      </c>
      <c r="BN28" s="455">
        <f>'SK-data'!AN425/'SK-data'!AN216</f>
        <v>3.2429654835543858E-3</v>
      </c>
      <c r="BO28" s="455">
        <f>'SK-data'!AO425/'SK-data'!AO216</f>
        <v>7.1169241709759072E-4</v>
      </c>
      <c r="BP28" s="455">
        <f>'SK-data'!AP425/'SK-data'!AP216</f>
        <v>0.14926701091189221</v>
      </c>
      <c r="BQ28" s="455">
        <f>'SK-data'!AQ425/'SK-data'!AQ216</f>
        <v>5.5770895814300824E-3</v>
      </c>
      <c r="BR28" s="455">
        <f>'SK-data'!AR425/'SK-data'!AR216</f>
        <v>0.11050739000841324</v>
      </c>
      <c r="BS28" s="455">
        <f>'SK-data'!AS425/'SK-data'!AS216</f>
        <v>6.6004610950517684E-2</v>
      </c>
      <c r="BT28" s="455">
        <f>'SK-data'!AT425/'SK-data'!AT216</f>
        <v>-8.325197185479874E-2</v>
      </c>
      <c r="BU28" s="455">
        <f>'SK-data'!AU425/'SK-data'!AU216</f>
        <v>5.2476878186240679E-3</v>
      </c>
      <c r="BV28" s="455">
        <f>'SK-data'!AV425/'SK-data'!AV216</f>
        <v>7.0186604827987666E-3</v>
      </c>
      <c r="BW28" s="455">
        <f>'SK-data'!AW425/'SK-data'!AW216</f>
        <v>2.3673195450084211E-2</v>
      </c>
      <c r="BX28" s="455">
        <f>'SK-data'!AX425/'SK-data'!AX216</f>
        <v>0.19486573921254999</v>
      </c>
      <c r="BY28" s="455">
        <f>'SK-data'!AY425/'SK-data'!AY216</f>
        <v>0.12458791751701036</v>
      </c>
      <c r="BZ28" s="455">
        <f>'SK-data'!AZ425/'SK-data'!AZ216</f>
        <v>2.998030987169345E-3</v>
      </c>
      <c r="CA28" s="455">
        <f>'SK-data'!BA425/'SK-data'!BA216</f>
        <v>1.0194709364582399E-2</v>
      </c>
      <c r="CB28" s="455">
        <f>'SK-data'!BB425/'SK-data'!BB216</f>
        <v>5.8073280470671292E-2</v>
      </c>
      <c r="CC28" s="455">
        <f>'SK-data'!BC425/'SK-data'!BC216</f>
        <v>2.5641897782889077E-2</v>
      </c>
      <c r="CD28" s="455">
        <f>'SK-data'!BD425/'SK-data'!BD216</f>
        <v>6.3534913664186218E-2</v>
      </c>
      <c r="CE28" s="455">
        <f>'SK-data'!BE425/'SK-data'!BE216</f>
        <v>4.6063712484386593E-2</v>
      </c>
      <c r="CF28" s="455">
        <f>'SK-data'!BF425/'SK-data'!BF216</f>
        <v>5.2180847772631753E-3</v>
      </c>
      <c r="CG28" s="455">
        <f>'SK-data'!BG425/'SK-data'!BG216</f>
        <v>1.2051878850984519E-2</v>
      </c>
      <c r="CH28" s="455">
        <f>'SK-data'!BH425/'SK-data'!BH216</f>
        <v>0.14180224212128945</v>
      </c>
      <c r="CI28" s="455">
        <f>'SK-data'!BI425/'SK-data'!BI216</f>
        <v>-5.6237328621082661E-3</v>
      </c>
      <c r="CJ28" s="455">
        <f>'SK-data'!BJ425/'SK-data'!BJ216</f>
        <v>8.530906014570637E-2</v>
      </c>
      <c r="CK28" s="455">
        <f>'SK-data'!BK425/'SK-data'!BK216</f>
        <v>-2.4228507361019867E-2</v>
      </c>
      <c r="CL28" s="455">
        <f>'SK-data'!BL425/'SK-data'!BL216</f>
        <v>6.7306710314812383E-3</v>
      </c>
      <c r="CM28" s="455">
        <f>'SK-data'!BM425/'SK-data'!BM216</f>
        <v>7.9640235623207045E-2</v>
      </c>
      <c r="CN28" s="455">
        <f>'SK-data'!BN425/'SK-data'!BN216</f>
        <v>1.4913272411698637E-2</v>
      </c>
      <c r="CO28" s="455">
        <f>'SK-data'!BO425/'SK-data'!BO216</f>
        <v>4.7395377006157265E-2</v>
      </c>
      <c r="CP28" s="455">
        <f>'SK-data'!BP425/'SK-data'!BP216</f>
        <v>2.9137910099747609E-2</v>
      </c>
      <c r="CQ28" s="455">
        <f>'SK-data'!BQ425/'SK-data'!BQ216</f>
        <v>1.8853263206680324E-2</v>
      </c>
      <c r="CR28" s="455">
        <f>'SK-data'!BR425/'SK-data'!BR216</f>
        <v>4.6664902789501639E-2</v>
      </c>
      <c r="CS28" s="455">
        <f>'SK-data'!BS425/'SK-data'!BS216</f>
        <v>0.15518626686424625</v>
      </c>
      <c r="CT28" s="455">
        <f>'SK-data'!BT425/'SK-data'!BT216</f>
        <v>1.3337546674068178E-2</v>
      </c>
      <c r="CU28" s="455">
        <f>'SK-data'!BU425/'SK-data'!BU216</f>
        <v>5.5689638664956055E-2</v>
      </c>
      <c r="CV28" s="455">
        <f>'SK-data'!BV425/'SK-data'!BV216</f>
        <v>-3.4835063440906708E-3</v>
      </c>
      <c r="CW28" s="455">
        <f>'SK-data'!BW425/'SK-data'!BW216</f>
        <v>9.0423528495985137E-4</v>
      </c>
      <c r="CX28" s="455">
        <f>'SK-data'!BX425/'SK-data'!BX216</f>
        <v>1.4636340026406099E-3</v>
      </c>
      <c r="CY28" s="455">
        <f>'SK-data'!BY425/'SK-data'!BY216</f>
        <v>2.4640835857746811E-2</v>
      </c>
      <c r="CZ28" s="455">
        <f>'SK-data'!BZ425/'SK-data'!BZ216</f>
        <v>4.5158126240449972E-2</v>
      </c>
      <c r="DA28" s="455">
        <f>'SK-data'!CA425/'SK-data'!CA216</f>
        <v>3.597244768151478E-2</v>
      </c>
      <c r="DB28" s="455">
        <f>'SK-data'!CB425/'SK-data'!CB216</f>
        <v>5.3649606482568758E-2</v>
      </c>
      <c r="DC28" s="455">
        <f>'SK-data'!CC425/'SK-data'!CC216</f>
        <v>4.8169675456101284E-2</v>
      </c>
      <c r="DD28" s="455">
        <f>'SK-data'!CD425/'SK-data'!CD216</f>
        <v>-3.0622998047361391E-2</v>
      </c>
      <c r="DE28" s="455">
        <f>'SK-data'!CE425/'SK-data'!CE216</f>
        <v>2.3242646345774248E-3</v>
      </c>
      <c r="DF28" s="455">
        <f>'SK-data'!CF425/'SK-data'!CF216</f>
        <v>3.5937591304855955E-4</v>
      </c>
      <c r="DG28" s="455">
        <f>'SK-data'!CG425/'SK-data'!CG216</f>
        <v>-5.0811634996513607E-3</v>
      </c>
    </row>
    <row r="29" spans="1:111" ht="15.75" customHeight="1" thickBot="1" x14ac:dyDescent="0.3">
      <c r="A29" s="640"/>
      <c r="B29" s="634"/>
      <c r="C29" s="231">
        <f>'MD-ratings-year'!C26</f>
        <v>0.05</v>
      </c>
      <c r="D29" s="434" t="str">
        <f>'MD-ratings-year'!D26</f>
        <v>ROE - Return on Equity</v>
      </c>
      <c r="E29" s="419" t="s">
        <v>1451</v>
      </c>
      <c r="F29" s="437" t="str">
        <f>'MD-ratings-year'!E26</f>
        <v>Net Profit ÷ Equity</v>
      </c>
      <c r="G29" s="440" t="s">
        <v>400</v>
      </c>
      <c r="H29" s="653"/>
      <c r="U29" s="531">
        <f>'MD-ratios'!U29</f>
        <v>24.69552907735908</v>
      </c>
      <c r="Y29" s="226">
        <f>'MD-ratings-year'!P26</f>
        <v>-0.29167209641131941</v>
      </c>
      <c r="Z29" s="566">
        <f>'MD-ratings-year'!Q26</f>
        <v>-0.14583604820565971</v>
      </c>
      <c r="AA29" s="226">
        <f>'MD-ratings-year'!R26</f>
        <v>0</v>
      </c>
      <c r="AB29" s="566">
        <f>'MD-ratings-year'!S26</f>
        <v>0.14583604820565971</v>
      </c>
      <c r="AC29" s="226">
        <f>'MD-ratings-year'!T26</f>
        <v>0.29167209641131941</v>
      </c>
      <c r="AF29" s="456">
        <f>'SK-data'!F425/'SK-data'!F297</f>
        <v>1.509170302614288E-3</v>
      </c>
      <c r="AG29" s="456">
        <f>'SK-data'!G425/'SK-data'!G297</f>
        <v>3.9715656832525819E-3</v>
      </c>
      <c r="AH29" s="456">
        <f>'SK-data'!H425/'SK-data'!H297</f>
        <v>2.9238419693615184E-2</v>
      </c>
      <c r="AI29" s="456">
        <f>'SK-data'!I425/'SK-data'!I297</f>
        <v>0.11909162006895045</v>
      </c>
      <c r="AJ29" s="456">
        <f>'SK-data'!J425/'SK-data'!J297</f>
        <v>3.6115229828644853E-2</v>
      </c>
      <c r="AK29" s="456">
        <f>'SK-data'!K425/'SK-data'!K297</f>
        <v>-9.1711762808222175E-3</v>
      </c>
      <c r="AL29" s="456">
        <f>'SK-data'!L425/'SK-data'!L297</f>
        <v>5.0402890495665535E-2</v>
      </c>
      <c r="AM29" s="456">
        <f>'SK-data'!M425/'SK-data'!M297</f>
        <v>0.20808346456297921</v>
      </c>
      <c r="AN29" s="456">
        <f>'SK-data'!N425/'SK-data'!N297</f>
        <v>0.16424387027491272</v>
      </c>
      <c r="AO29" s="456">
        <f>'SK-data'!O425/'SK-data'!O297</f>
        <v>0.48455259470982537</v>
      </c>
      <c r="AP29" s="456">
        <f>'SK-data'!P425/'SK-data'!P297</f>
        <v>0.23004688631793455</v>
      </c>
      <c r="AQ29" s="456">
        <f>'SK-data'!Q425/'SK-data'!Q297</f>
        <v>-4.3681386130855329E-2</v>
      </c>
      <c r="AR29" s="456">
        <f>'SK-data'!R425/'SK-data'!R297</f>
        <v>0.14233741503287764</v>
      </c>
      <c r="AS29" s="456">
        <f>'SK-data'!S425/'SK-data'!S297</f>
        <v>0.80389042433594848</v>
      </c>
      <c r="AT29" s="456">
        <f>'SK-data'!T425/'SK-data'!T297</f>
        <v>1.4888453045236781E-2</v>
      </c>
      <c r="AU29" s="456">
        <f>'SK-data'!U425/'SK-data'!U297</f>
        <v>0.14845287191864726</v>
      </c>
      <c r="AV29" s="456">
        <f>'SK-data'!V425/'SK-data'!V297</f>
        <v>0.4416138591965677</v>
      </c>
      <c r="AW29" s="456">
        <f>'SK-data'!W425/'SK-data'!W297</f>
        <v>-6.6439282887793983E-3</v>
      </c>
      <c r="AX29" s="456">
        <f>'SK-data'!X425/'SK-data'!X297</f>
        <v>-0.15895119016989279</v>
      </c>
      <c r="AY29" s="456">
        <f>'SK-data'!Y425/'SK-data'!Y297</f>
        <v>0.92922978737047268</v>
      </c>
      <c r="AZ29" s="456">
        <f>'SK-data'!Z425/'SK-data'!Z297</f>
        <v>5.657193284136932E-2</v>
      </c>
      <c r="BA29" s="456">
        <f>'SK-data'!AA425/'SK-data'!AA297</f>
        <v>3.3264283280316398E-3</v>
      </c>
      <c r="BB29" s="456">
        <f>'SK-data'!AB425/'SK-data'!AB297</f>
        <v>9.580036018748803E-3</v>
      </c>
      <c r="BC29" s="456">
        <f>'SK-data'!AC425/'SK-data'!AC297</f>
        <v>-9.2938069327235778E-2</v>
      </c>
      <c r="BD29" s="456">
        <f>'SK-data'!AD425/'SK-data'!AD297</f>
        <v>-2.083321351528921E-2</v>
      </c>
      <c r="BE29" s="456">
        <f>'SK-data'!AE425/'SK-data'!AE297</f>
        <v>2.8464499761272764E-2</v>
      </c>
      <c r="BF29" s="456">
        <f>'SK-data'!AF425/'SK-data'!AF297</f>
        <v>-2.6745551732613324E-2</v>
      </c>
      <c r="BG29" s="456">
        <f>'SK-data'!AG425/'SK-data'!AG297</f>
        <v>-3.4316152576352128E-2</v>
      </c>
      <c r="BH29" s="456">
        <f>'SK-data'!AH425/'SK-data'!AH297</f>
        <v>-2.3917890054159997E-2</v>
      </c>
      <c r="BI29" s="456">
        <f>'SK-data'!AI425/'SK-data'!AI297</f>
        <v>-5.1194748279444521E-2</v>
      </c>
      <c r="BJ29" s="456">
        <f>'SK-data'!AJ425/'SK-data'!AJ297</f>
        <v>-0.16933838423112671</v>
      </c>
      <c r="BK29" s="456">
        <f>'SK-data'!AK425/'SK-data'!AK297</f>
        <v>1.7176359320148573E-2</v>
      </c>
      <c r="BL29" s="456">
        <f>'SK-data'!AL425/'SK-data'!AL297</f>
        <v>0.49587515269946375</v>
      </c>
      <c r="BM29" s="456">
        <f>'SK-data'!AM425/'SK-data'!AM297</f>
        <v>6.8702705482787535E-2</v>
      </c>
      <c r="BN29" s="456">
        <f>'SK-data'!AN425/'SK-data'!AN297</f>
        <v>7.5336046601950039E-3</v>
      </c>
      <c r="BO29" s="456">
        <f>'SK-data'!AO425/'SK-data'!AO297</f>
        <v>8.0570932069011221E-4</v>
      </c>
      <c r="BP29" s="456">
        <f>'SK-data'!AP425/'SK-data'!AP297</f>
        <v>0.30167835678683025</v>
      </c>
      <c r="BQ29" s="456">
        <f>'SK-data'!AQ425/'SK-data'!AQ297</f>
        <v>9.0323109499018724E-3</v>
      </c>
      <c r="BR29" s="456">
        <f>'SK-data'!AR425/'SK-data'!AR297</f>
        <v>0.23967433941084268</v>
      </c>
      <c r="BS29" s="456">
        <f>'SK-data'!AS425/'SK-data'!AS297</f>
        <v>0.58848335140246189</v>
      </c>
      <c r="BT29" s="456">
        <f>'SK-data'!AT425/'SK-data'!AT297</f>
        <v>-9.1373826313126835E-2</v>
      </c>
      <c r="BU29" s="456">
        <f>'SK-data'!AU425/'SK-data'!AU297</f>
        <v>0.30349621472814864</v>
      </c>
      <c r="BV29" s="456">
        <f>'SK-data'!AV425/'SK-data'!AV297</f>
        <v>7.7064605253151994E-3</v>
      </c>
      <c r="BW29" s="456">
        <f>'SK-data'!AW425/'SK-data'!AW297</f>
        <v>3.2939881496053772E-2</v>
      </c>
      <c r="BX29" s="456">
        <f>'SK-data'!AX425/'SK-data'!AX297</f>
        <v>0.35396614871175747</v>
      </c>
      <c r="BY29" s="456">
        <f>'SK-data'!AY425/'SK-data'!AY297</f>
        <v>1.1859177334245694</v>
      </c>
      <c r="BZ29" s="456">
        <f>'SK-data'!AZ425/'SK-data'!AZ297</f>
        <v>3.383898749817905E-3</v>
      </c>
      <c r="CA29" s="456">
        <f>'SK-data'!BA425/'SK-data'!BA297</f>
        <v>1.4720085817567983E-2</v>
      </c>
      <c r="CB29" s="456">
        <f>'SK-data'!BB425/'SK-data'!BB297</f>
        <v>0.10275530030224668</v>
      </c>
      <c r="CC29" s="456">
        <f>'SK-data'!BC425/'SK-data'!BC297</f>
        <v>6.974939601449491E-2</v>
      </c>
      <c r="CD29" s="456">
        <f>'SK-data'!BD425/'SK-data'!BD297</f>
        <v>9.2357703846676353E-2</v>
      </c>
      <c r="CE29" s="456">
        <f>'SK-data'!BE425/'SK-data'!BE297</f>
        <v>0.1094774037204507</v>
      </c>
      <c r="CF29" s="456">
        <f>'SK-data'!BF425/'SK-data'!BF297</f>
        <v>9.8101306724915661E-3</v>
      </c>
      <c r="CG29" s="456">
        <f>'SK-data'!BG425/'SK-data'!BG297</f>
        <v>2.9051234187151772E-2</v>
      </c>
      <c r="CH29" s="456">
        <f>'SK-data'!BH425/'SK-data'!BH297</f>
        <v>0.16906188871081587</v>
      </c>
      <c r="CI29" s="456">
        <f>'SK-data'!BI425/'SK-data'!BI297</f>
        <v>-8.497331519394323E-3</v>
      </c>
      <c r="CJ29" s="456">
        <f>'SK-data'!BJ425/'SK-data'!BJ297</f>
        <v>0.1336353521857426</v>
      </c>
      <c r="CK29" s="456">
        <f>'SK-data'!BK425/'SK-data'!BK297</f>
        <v>-2.6669123837061916E-2</v>
      </c>
      <c r="CL29" s="456">
        <f>'SK-data'!BL425/'SK-data'!BL297</f>
        <v>7.1375484558874472E-3</v>
      </c>
      <c r="CM29" s="456">
        <f>'SK-data'!BM425/'SK-data'!BM297</f>
        <v>9.1272432004904674E-2</v>
      </c>
      <c r="CN29" s="456">
        <f>'SK-data'!BN425/'SK-data'!BN297</f>
        <v>2.5070796659324632E-2</v>
      </c>
      <c r="CO29" s="456">
        <f>'SK-data'!BO425/'SK-data'!BO297</f>
        <v>5.2266484647959882E-2</v>
      </c>
      <c r="CP29" s="456">
        <f>'SK-data'!BP425/'SK-data'!BP297</f>
        <v>4.1471875973657743E-2</v>
      </c>
      <c r="CQ29" s="456">
        <f>'SK-data'!BQ425/'SK-data'!BQ297</f>
        <v>2.0050675375360094E-2</v>
      </c>
      <c r="CR29" s="456">
        <f>'SK-data'!BR425/'SK-data'!BR297</f>
        <v>5.8654555144686975E-2</v>
      </c>
      <c r="CS29" s="456">
        <f>'SK-data'!BS425/'SK-data'!BS297</f>
        <v>0.58043541377709018</v>
      </c>
      <c r="CT29" s="456">
        <f>'SK-data'!BT425/'SK-data'!BT297</f>
        <v>1.463462161855723E-2</v>
      </c>
      <c r="CU29" s="456">
        <f>'SK-data'!BU425/'SK-data'!BU297</f>
        <v>0.316918581520714</v>
      </c>
      <c r="CV29" s="456">
        <f>'SK-data'!BV425/'SK-data'!BV297</f>
        <v>-3.4886827489232814E-3</v>
      </c>
      <c r="CW29" s="456">
        <f>'SK-data'!BW425/'SK-data'!BW297</f>
        <v>2.6855928734572099E-3</v>
      </c>
      <c r="CX29" s="456">
        <f>'SK-data'!BX425/'SK-data'!BX297</f>
        <v>1.8708503377069911E-3</v>
      </c>
      <c r="CY29" s="456">
        <f>'SK-data'!BY425/'SK-data'!BY297</f>
        <v>8.1670679307445079E-2</v>
      </c>
      <c r="CZ29" s="456">
        <f>'SK-data'!BZ425/'SK-data'!BZ297</f>
        <v>6.6847406869640177E-2</v>
      </c>
      <c r="DA29" s="456">
        <f>'SK-data'!CA425/'SK-data'!CA297</f>
        <v>4.3327229933454697E-2</v>
      </c>
      <c r="DB29" s="456">
        <f>'SK-data'!CB425/'SK-data'!CB297</f>
        <v>8.1060011573757057E-2</v>
      </c>
      <c r="DC29" s="456">
        <f>'SK-data'!CC425/'SK-data'!CC297</f>
        <v>0.151954706383233</v>
      </c>
      <c r="DD29" s="456">
        <f>'SK-data'!CD425/'SK-data'!CD297</f>
        <v>-4.9935272379192423E-2</v>
      </c>
      <c r="DE29" s="456">
        <f>'SK-data'!CE425/'SK-data'!CE297</f>
        <v>4.8692893983183581E-3</v>
      </c>
      <c r="DF29" s="456">
        <f>'SK-data'!CF425/'SK-data'!CF297</f>
        <v>1.0757578407878396E-3</v>
      </c>
      <c r="DG29" s="456">
        <f>'SK-data'!CG425/'SK-data'!CG297</f>
        <v>-3.5905691804832496E-2</v>
      </c>
    </row>
    <row r="30" spans="1:111" ht="15.75" customHeight="1" thickBot="1" x14ac:dyDescent="0.3">
      <c r="A30" s="640"/>
      <c r="B30" s="634"/>
      <c r="C30" s="235">
        <f>'MD-ratings-year'!C27</f>
        <v>0.1</v>
      </c>
      <c r="D30" s="434" t="str">
        <f>'MD-ratings-year'!D27</f>
        <v>ROS – Return on Sales</v>
      </c>
      <c r="E30" s="443" t="s">
        <v>1452</v>
      </c>
      <c r="F30" s="437" t="str">
        <f>'MD-ratings-year'!E27</f>
        <v>Net Profit ÷ Sales</v>
      </c>
      <c r="G30" s="440" t="s">
        <v>400</v>
      </c>
      <c r="H30" s="653"/>
      <c r="U30" s="531">
        <f>'MD-ratios'!U30</f>
        <v>21.021038348759404</v>
      </c>
      <c r="Y30" s="226">
        <f>'MD-ratings-year'!P27</f>
        <v>-0.16357423620862643</v>
      </c>
      <c r="Z30" s="566">
        <f>'MD-ratings-year'!Q27</f>
        <v>-8.1787118104313217E-2</v>
      </c>
      <c r="AA30" s="226">
        <f>'MD-ratings-year'!R27</f>
        <v>0</v>
      </c>
      <c r="AB30" s="566">
        <f>'MD-ratings-year'!S27</f>
        <v>8.1787118104313217E-2</v>
      </c>
      <c r="AC30" s="226">
        <f>'MD-ratings-year'!T27</f>
        <v>0.16357423620862643</v>
      </c>
      <c r="AF30" s="456">
        <f>'SK-data'!F425/'SK-data'!F365</f>
        <v>3.1479346421841529E-3</v>
      </c>
      <c r="AG30" s="456">
        <f>'SK-data'!G425/'SK-data'!G365</f>
        <v>1.7237039917346507E-2</v>
      </c>
      <c r="AH30" s="456">
        <f>'SK-data'!H425/'SK-data'!H365</f>
        <v>1.9300523320861965E-2</v>
      </c>
      <c r="AI30" s="456">
        <f>'SK-data'!I425/'SK-data'!I365</f>
        <v>5.5029732539110164E-2</v>
      </c>
      <c r="AJ30" s="456">
        <f>'SK-data'!J425/'SK-data'!J365</f>
        <v>4.8056730141413949E-2</v>
      </c>
      <c r="AK30" s="456">
        <f>'SK-data'!K425/'SK-data'!K365</f>
        <v>-1.1864572178005177E-2</v>
      </c>
      <c r="AL30" s="456">
        <f>'SK-data'!L425/'SK-data'!L365</f>
        <v>5.1559624304739655E-2</v>
      </c>
      <c r="AM30" s="456">
        <f>'SK-data'!M425/'SK-data'!M365</f>
        <v>4.8943414050461216E-2</v>
      </c>
      <c r="AN30" s="456">
        <f>'SK-data'!N425/'SK-data'!N365</f>
        <v>1.5581793784339175E-2</v>
      </c>
      <c r="AO30" s="456">
        <f>'SK-data'!O425/'SK-data'!O365</f>
        <v>1.446783694058998E-2</v>
      </c>
      <c r="AP30" s="456">
        <f>'SK-data'!P425/'SK-data'!P365</f>
        <v>8.0568806410302896E-2</v>
      </c>
      <c r="AQ30" s="456">
        <f>'SK-data'!Q425/'SK-data'!Q365</f>
        <v>-2.445144991640297</v>
      </c>
      <c r="AR30" s="456">
        <f>'SK-data'!R425/'SK-data'!R365</f>
        <v>5.1123100156807808E-2</v>
      </c>
      <c r="AS30" s="456">
        <f>'SK-data'!S425/'SK-data'!S365</f>
        <v>4.6261602435350824E-2</v>
      </c>
      <c r="AT30" s="456">
        <f>'SK-data'!T425/'SK-data'!T365</f>
        <v>2.5000634414450117E-2</v>
      </c>
      <c r="AU30" s="456">
        <f>'SK-data'!U425/'SK-data'!U365</f>
        <v>0.50937891555097436</v>
      </c>
      <c r="AV30" s="456">
        <f>'SK-data'!V425/'SK-data'!V365</f>
        <v>0.11014479330830811</v>
      </c>
      <c r="AW30" s="456">
        <f>'SK-data'!W425/'SK-data'!W365</f>
        <v>-2.3052394902301682E-2</v>
      </c>
      <c r="AX30" s="456">
        <f>'SK-data'!X425/'SK-data'!X365</f>
        <v>-8.7325597057466684</v>
      </c>
      <c r="AY30" s="456">
        <f>'SK-data'!Y425/'SK-data'!Y365</f>
        <v>1.5052067427114211E-2</v>
      </c>
      <c r="AZ30" s="456">
        <f>'SK-data'!Z425/'SK-data'!Z365</f>
        <v>0.38867790077152559</v>
      </c>
      <c r="BA30" s="456">
        <f>'SK-data'!AA425/'SK-data'!AA365</f>
        <v>1.4560890900617025E-2</v>
      </c>
      <c r="BB30" s="456">
        <f>'SK-data'!AB425/'SK-data'!AB365</f>
        <v>3.3284111540002069E-2</v>
      </c>
      <c r="BC30" s="456">
        <f>'SK-data'!AC425/'SK-data'!AC365</f>
        <v>-5.1234663256449646E-2</v>
      </c>
      <c r="BD30" s="456">
        <f>'SK-data'!AD425/'SK-data'!AD365</f>
        <v>-4.4222505103614543E-2</v>
      </c>
      <c r="BE30" s="456">
        <f>'SK-data'!AE425/'SK-data'!AE365</f>
        <v>0.1776836053626438</v>
      </c>
      <c r="BF30" s="456">
        <f>'SK-data'!AF425/'SK-data'!AF365</f>
        <v>-0.30100639030934534</v>
      </c>
      <c r="BG30" s="456">
        <f>'SK-data'!AG425/'SK-data'!AG365</f>
        <v>-2.5336168061393116</v>
      </c>
      <c r="BH30" s="456">
        <f>'SK-data'!AH425/'SK-data'!AH365</f>
        <v>-0.35587647405398121</v>
      </c>
      <c r="BI30" s="456">
        <f>'SK-data'!AI425/'SK-data'!AI365</f>
        <v>-5.8600002856130227E-2</v>
      </c>
      <c r="BJ30" s="456">
        <f>'SK-data'!AJ425/'SK-data'!AJ365</f>
        <v>-0.19575863426996112</v>
      </c>
      <c r="BK30" s="456">
        <f>'SK-data'!AK425/'SK-data'!AK365</f>
        <v>1.8106903863618296E-2</v>
      </c>
      <c r="BL30" s="456">
        <f>'SK-data'!AL425/'SK-data'!AL365</f>
        <v>1.180696053863311E-2</v>
      </c>
      <c r="BM30" s="456">
        <f>'SK-data'!AM425/'SK-data'!AM365</f>
        <v>5.9460503600538991E-2</v>
      </c>
      <c r="BN30" s="456">
        <f>'SK-data'!AN425/'SK-data'!AN365</f>
        <v>8.4414574472539763E-2</v>
      </c>
      <c r="BO30" s="456">
        <f>'SK-data'!AO425/'SK-data'!AO365</f>
        <v>9.6872216827431591E-4</v>
      </c>
      <c r="BP30" s="456">
        <f>'SK-data'!AP425/'SK-data'!AP365</f>
        <v>5.4821243916858817E-2</v>
      </c>
      <c r="BQ30" s="456">
        <f>'SK-data'!AQ425/'SK-data'!AQ365</f>
        <v>6.4604321205700256E-3</v>
      </c>
      <c r="BR30" s="456">
        <f>'SK-data'!AR425/'SK-data'!AR365</f>
        <v>8.0955223579411997E-2</v>
      </c>
      <c r="BS30" s="456">
        <f>'SK-data'!AS425/'SK-data'!AS365</f>
        <v>1.5028863391262155E-2</v>
      </c>
      <c r="BT30" s="456">
        <f>'SK-data'!AT425/'SK-data'!AT365</f>
        <v>-0.45713816760889503</v>
      </c>
      <c r="BU30" s="456">
        <f>'SK-data'!AU425/'SK-data'!AU365</f>
        <v>1.24729041445239E-3</v>
      </c>
      <c r="BV30" s="456">
        <f>'SK-data'!AV425/'SK-data'!AV365</f>
        <v>1.3968890625125677E-3</v>
      </c>
      <c r="BW30" s="456">
        <f>'SK-data'!AW425/'SK-data'!AW365</f>
        <v>1.1026205366504716E-2</v>
      </c>
      <c r="BX30" s="456">
        <f>'SK-data'!AX425/'SK-data'!AX365</f>
        <v>9.3065844212345442E-2</v>
      </c>
      <c r="BY30" s="456">
        <f>'SK-data'!AY425/'SK-data'!AY365</f>
        <v>5.0510648083834674E-2</v>
      </c>
      <c r="BZ30" s="456">
        <f>'SK-data'!AZ425/'SK-data'!AZ365</f>
        <v>4.23957793330471E-3</v>
      </c>
      <c r="CA30" s="456">
        <f>'SK-data'!BA425/'SK-data'!BA365</f>
        <v>3.2569391738782497E-2</v>
      </c>
      <c r="CB30" s="456">
        <f>'SK-data'!BB425/'SK-data'!BB365</f>
        <v>4.2436097675465231E-2</v>
      </c>
      <c r="CC30" s="456">
        <f>'SK-data'!BC425/'SK-data'!BC365</f>
        <v>3.34953852025014E-2</v>
      </c>
      <c r="CD30" s="456">
        <f>'SK-data'!BD425/'SK-data'!BD365</f>
        <v>0.15588495942127753</v>
      </c>
      <c r="CE30" s="456">
        <f>'SK-data'!BE425/'SK-data'!BE365</f>
        <v>0.22298499518246109</v>
      </c>
      <c r="CF30" s="456">
        <f>'SK-data'!BF425/'SK-data'!BF365</f>
        <v>7.2846982944784096E-3</v>
      </c>
      <c r="CG30" s="456">
        <f>'SK-data'!BG425/'SK-data'!BG365</f>
        <v>5.3787884132818764E-2</v>
      </c>
      <c r="CH30" s="456">
        <f>'SK-data'!BH425/'SK-data'!BH365</f>
        <v>0.36171382990608497</v>
      </c>
      <c r="CI30" s="456">
        <f>'SK-data'!BI425/'SK-data'!BI365</f>
        <v>-0.10355824647610501</v>
      </c>
      <c r="CJ30" s="456">
        <f>'SK-data'!BJ425/'SK-data'!BJ365</f>
        <v>0.12663479516979917</v>
      </c>
      <c r="CK30" s="456">
        <f>'SK-data'!BK425/'SK-data'!BK365</f>
        <v>-5.3042726788709117E-2</v>
      </c>
      <c r="CL30" s="456">
        <f>'SK-data'!BL425/'SK-data'!BL365</f>
        <v>9.5801825780911856E-2</v>
      </c>
      <c r="CM30" s="456">
        <f>'SK-data'!BM425/'SK-data'!BM365</f>
        <v>0.12077122669259303</v>
      </c>
      <c r="CN30" s="456">
        <f>'SK-data'!BN425/'SK-data'!BN365</f>
        <v>1.5694443463084781E-2</v>
      </c>
      <c r="CO30" s="456">
        <f>'SK-data'!BO425/'SK-data'!BO365</f>
        <v>6.1667213014854366E-2</v>
      </c>
      <c r="CP30" s="456">
        <f>'SK-data'!BP425/'SK-data'!BP365</f>
        <v>2.0093615578479558E-2</v>
      </c>
      <c r="CQ30" s="456">
        <f>'SK-data'!BQ425/'SK-data'!BQ365</f>
        <v>3.5765447948402224E-2</v>
      </c>
      <c r="CR30" s="456">
        <f>'SK-data'!BR425/'SK-data'!BR365</f>
        <v>6.7664907394439228E-2</v>
      </c>
      <c r="CS30" s="456">
        <f>'SK-data'!BS425/'SK-data'!BS365</f>
        <v>2.2709045497753787E-2</v>
      </c>
      <c r="CT30" s="456">
        <f>'SK-data'!BT425/'SK-data'!BT365</f>
        <v>8.4205984433684988E-2</v>
      </c>
      <c r="CU30" s="456">
        <f>'SK-data'!BU425/'SK-data'!BU365</f>
        <v>1.1170271864553974E-2</v>
      </c>
      <c r="CV30" s="456">
        <f>'SK-data'!BV425/'SK-data'!BV365</f>
        <v>-0.75159767604132699</v>
      </c>
      <c r="CW30" s="456">
        <f>'SK-data'!BW425/'SK-data'!BW365</f>
        <v>1.3363102678401882E-2</v>
      </c>
      <c r="CX30" s="456">
        <f>'SK-data'!BX425/'SK-data'!BX365</f>
        <v>7.7098934643248258E-3</v>
      </c>
      <c r="CY30" s="456">
        <f>'SK-data'!BY425/'SK-data'!BY365</f>
        <v>9.7404624767050141E-3</v>
      </c>
      <c r="CZ30" s="456">
        <f>'SK-data'!BZ425/'SK-data'!BZ365</f>
        <v>1.7320708767215318</v>
      </c>
      <c r="DA30" s="456">
        <f>'SK-data'!CA425/'SK-data'!CA365</f>
        <v>4.6813263838190268E-2</v>
      </c>
      <c r="DB30" s="456">
        <f>'SK-data'!CB425/'SK-data'!CB365</f>
        <v>4.914964814361282E-2</v>
      </c>
      <c r="DC30" s="456">
        <f>'SK-data'!CC425/'SK-data'!CC365</f>
        <v>1.3504686545763522</v>
      </c>
      <c r="DD30" s="456">
        <f>'SK-data'!CD425/'SK-data'!CD365</f>
        <v>-0.18801032562704006</v>
      </c>
      <c r="DE30" s="456">
        <f>'SK-data'!CE425/'SK-data'!CE365</f>
        <v>5.0156797525606173E-2</v>
      </c>
      <c r="DF30" s="456">
        <f>'SK-data'!CF425/'SK-data'!CF365</f>
        <v>4.634653644420329E-4</v>
      </c>
      <c r="DG30" s="456">
        <f>'SK-data'!CG425/'SK-data'!CG365</f>
        <v>-5.6843382799139405E-2</v>
      </c>
    </row>
    <row r="31" spans="1:111" s="428" customFormat="1" ht="15.75" customHeight="1" thickBot="1" x14ac:dyDescent="0.3">
      <c r="A31" s="641"/>
      <c r="B31" s="635"/>
      <c r="C31" s="679" t="str">
        <f>'MD-ratings-year'!C28:E28</f>
        <v>Profitability total</v>
      </c>
      <c r="D31" s="680"/>
      <c r="E31" s="680"/>
      <c r="F31" s="680"/>
      <c r="G31" s="440" t="s">
        <v>400</v>
      </c>
      <c r="H31" s="653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V31" s="270"/>
      <c r="W31" s="270"/>
      <c r="Y31" s="271"/>
      <c r="Z31" s="271"/>
      <c r="AA31" s="271"/>
      <c r="AB31" s="271"/>
      <c r="AC31" s="271"/>
      <c r="AD31" s="553"/>
      <c r="AE31" s="270"/>
    </row>
    <row r="32" spans="1:111" s="429" customFormat="1" ht="15.75" customHeight="1" thickBot="1" x14ac:dyDescent="0.3">
      <c r="A32" s="639">
        <f>'MD-ratings-year'!A29</f>
        <v>0.3</v>
      </c>
      <c r="B32" s="633" t="str">
        <f>'MD-ratings-year'!B29</f>
        <v>Leverage</v>
      </c>
      <c r="C32" s="231">
        <f>'MD-ratings-year'!C29</f>
        <v>0.15</v>
      </c>
      <c r="D32" s="434" t="str">
        <f>'MD-ratings-year'!D29</f>
        <v>Total Debt to Total Assets</v>
      </c>
      <c r="E32" s="419" t="s">
        <v>1453</v>
      </c>
      <c r="F32" s="437" t="str">
        <f>'MD-ratings-year'!E29</f>
        <v>Total Debt ÷ Total Assets</v>
      </c>
      <c r="G32" s="439" t="s">
        <v>400</v>
      </c>
      <c r="H32" s="653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579">
        <f>'MD-ratios'!U32</f>
        <v>52.176476402184669</v>
      </c>
      <c r="V32" s="259"/>
      <c r="W32" s="259"/>
      <c r="Y32" s="260">
        <f>'MD-ratings-year'!P29</f>
        <v>0.34811326308868218</v>
      </c>
      <c r="Z32" s="567">
        <f>'MD-ratings-year'!Q29</f>
        <v>3.808485790894664E-2</v>
      </c>
      <c r="AA32" s="567">
        <f>'MD-ratings-year'!R29</f>
        <v>9.5004357420602186E-3</v>
      </c>
      <c r="AB32" s="567">
        <f>'MD-ratings-year'!S29</f>
        <v>2.3699255884006443E-3</v>
      </c>
      <c r="AC32" s="260">
        <f>'MD-ratings-year'!T29</f>
        <v>0</v>
      </c>
      <c r="AD32" s="551"/>
      <c r="AE32" s="259"/>
      <c r="AF32" s="454">
        <f>'SK-data'!F318/'SK-data'!F296</f>
        <v>9.1292618301710413E-2</v>
      </c>
      <c r="AG32" s="454">
        <f>'SK-data'!G318/'SK-data'!G296</f>
        <v>2.9322071057547711E-2</v>
      </c>
      <c r="AH32" s="454">
        <f>'SK-data'!H318/'SK-data'!H296</f>
        <v>0.41153764287378697</v>
      </c>
      <c r="AI32" s="454">
        <f>'SK-data'!I318/'SK-data'!I296</f>
        <v>0.60516937526411085</v>
      </c>
      <c r="AJ32" s="454">
        <f>'SK-data'!J318/'SK-data'!J296</f>
        <v>0.33916472993480179</v>
      </c>
      <c r="AK32" s="454">
        <f>'SK-data'!K318/'SK-data'!K296</f>
        <v>8.9843713240592482E-2</v>
      </c>
      <c r="AL32" s="454">
        <f>'SK-data'!L318/'SK-data'!L296</f>
        <v>0.18026464359505212</v>
      </c>
      <c r="AM32" s="454">
        <f>'SK-data'!M318/'SK-data'!M296</f>
        <v>0.42855645334088666</v>
      </c>
      <c r="AN32" s="454">
        <f>'SK-data'!N318/'SK-data'!N296</f>
        <v>0.56132382809883585</v>
      </c>
      <c r="AO32" s="454">
        <f>'SK-data'!O318/'SK-data'!O296</f>
        <v>0.84228529552536247</v>
      </c>
      <c r="AP32" s="454">
        <f>'SK-data'!P318/'SK-data'!P296</f>
        <v>0.34890560799523335</v>
      </c>
      <c r="AQ32" s="454">
        <f>'SK-data'!Q318/'SK-data'!Q296</f>
        <v>3.099579166461388E-3</v>
      </c>
      <c r="AR32" s="454">
        <f>'SK-data'!R318/'SK-data'!R296</f>
        <v>0.51549793599265914</v>
      </c>
      <c r="AS32" s="454">
        <f>'SK-data'!S318/'SK-data'!S296</f>
        <v>0.7226360248815934</v>
      </c>
      <c r="AT32" s="454">
        <f>'SK-data'!T318/'SK-data'!T296</f>
        <v>0.49940627244336544</v>
      </c>
      <c r="AU32" s="454">
        <f>'SK-data'!U318/'SK-data'!U296</f>
        <v>0.47639604269471358</v>
      </c>
      <c r="AV32" s="454">
        <f>'SK-data'!V318/'SK-data'!V296</f>
        <v>0.42015281254874814</v>
      </c>
      <c r="AW32" s="454">
        <f>'SK-data'!W318/'SK-data'!W296</f>
        <v>5.9586600551850076E-2</v>
      </c>
      <c r="AX32" s="454">
        <f>'SK-data'!X318/'SK-data'!X296</f>
        <v>3.7181263344311558E-2</v>
      </c>
      <c r="AY32" s="454">
        <f>'SK-data'!Y318/'SK-data'!Y296</f>
        <v>0.91655436450081584</v>
      </c>
      <c r="AZ32" s="454">
        <f>'SK-data'!Z318/'SK-data'!Z296</f>
        <v>0.78156798304712771</v>
      </c>
      <c r="BA32" s="454">
        <f>'SK-data'!AA318/'SK-data'!AA296</f>
        <v>2.6240672649077996E-2</v>
      </c>
      <c r="BB32" s="454">
        <f>'SK-data'!AB318/'SK-data'!AB296</f>
        <v>9.5025687332744899E-2</v>
      </c>
      <c r="BC32" s="454">
        <f>'SK-data'!AC318/'SK-data'!AC296</f>
        <v>0.23736869261483989</v>
      </c>
      <c r="BD32" s="454">
        <f>'SK-data'!AD318/'SK-data'!AD296</f>
        <v>0.12601800155107173</v>
      </c>
      <c r="BE32" s="454">
        <f>'SK-data'!AE318/'SK-data'!AE296</f>
        <v>4.0926320678845794E-2</v>
      </c>
      <c r="BF32" s="454">
        <f>'SK-data'!AF318/'SK-data'!AF296</f>
        <v>0.21524155145093593</v>
      </c>
      <c r="BG32" s="454">
        <f>'SK-data'!AG318/'SK-data'!AG296</f>
        <v>9.21448783448168E-2</v>
      </c>
      <c r="BH32" s="454">
        <f>'SK-data'!AH318/'SK-data'!AH296</f>
        <v>1.3510505981316442E-2</v>
      </c>
      <c r="BI32" s="454">
        <f>'SK-data'!AI318/'SK-data'!AI296</f>
        <v>0.1780304413746473</v>
      </c>
      <c r="BJ32" s="454">
        <f>'SK-data'!AJ318/'SK-data'!AJ296</f>
        <v>8.4461070008965272E-2</v>
      </c>
      <c r="BK32" s="454">
        <f>'SK-data'!AK318/'SK-data'!AK296</f>
        <v>0.24897341622392882</v>
      </c>
      <c r="BL32" s="454">
        <f>'SK-data'!AL318/'SK-data'!AL296</f>
        <v>0.85698548834322164</v>
      </c>
      <c r="BM32" s="454">
        <f>'SK-data'!AM318/'SK-data'!AM296</f>
        <v>0.31595458283542766</v>
      </c>
      <c r="BN32" s="454">
        <f>'SK-data'!AN318/'SK-data'!AN296</f>
        <v>6.2217182741673781E-2</v>
      </c>
      <c r="BO32" s="454">
        <f>'SK-data'!AO318/'SK-data'!AO296</f>
        <v>0.11426359205509093</v>
      </c>
      <c r="BP32" s="454">
        <f>'SK-data'!AP318/'SK-data'!AP296</f>
        <v>0.33500606968013741</v>
      </c>
      <c r="BQ32" s="454">
        <f>'SK-data'!AQ318/'SK-data'!AQ296</f>
        <v>0.16774337736482178</v>
      </c>
      <c r="BR32" s="454">
        <f>'SK-data'!AR318/'SK-data'!AR296</f>
        <v>0.52914444620129153</v>
      </c>
      <c r="BS32" s="454">
        <f>'SK-data'!AS318/'SK-data'!AS296</f>
        <v>0.87021021862617864</v>
      </c>
      <c r="BT32" s="454">
        <f>'SK-data'!AT318/'SK-data'!AT296</f>
        <v>8.8066668151588229E-2</v>
      </c>
      <c r="BU32" s="454">
        <f>'SK-data'!AU318/'SK-data'!AU296</f>
        <v>0.97852325033439169</v>
      </c>
      <c r="BV32" s="454">
        <f>'SK-data'!AV318/'SK-data'!AV296</f>
        <v>8.7570809054113227E-2</v>
      </c>
      <c r="BW32" s="454">
        <f>'SK-data'!AW318/'SK-data'!AW296</f>
        <v>0.28132117133085982</v>
      </c>
      <c r="BX32" s="454">
        <f>'SK-data'!AX318/'SK-data'!AX296</f>
        <v>0.44936594239091987</v>
      </c>
      <c r="BY32" s="454">
        <f>'SK-data'!AY318/'SK-data'!AY296</f>
        <v>0.89491839722942568</v>
      </c>
      <c r="BZ32" s="454">
        <f>'SK-data'!AZ318/'SK-data'!AZ296</f>
        <v>0.11402430846442269</v>
      </c>
      <c r="CA32" s="454">
        <f>'SK-data'!BA318/'SK-data'!BA296</f>
        <v>0.29863281658197632</v>
      </c>
      <c r="CB32" s="454">
        <f>'SK-data'!BB318/'SK-data'!BB296</f>
        <v>0.43462281131923652</v>
      </c>
      <c r="CC32" s="454">
        <f>'SK-data'!BC318/'SK-data'!BC296</f>
        <v>0.63237104192901794</v>
      </c>
      <c r="CD32" s="454">
        <f>'SK-data'!BD318/'SK-data'!BD296</f>
        <v>0.20653353264645455</v>
      </c>
      <c r="CE32" s="454">
        <f>'SK-data'!BE318/'SK-data'!BE296</f>
        <v>0.57923285479049125</v>
      </c>
      <c r="CF32" s="454">
        <f>'SK-data'!BF318/'SK-data'!BF296</f>
        <v>0.46809222512243137</v>
      </c>
      <c r="CG32" s="454">
        <f>'SK-data'!BG318/'SK-data'!BG296</f>
        <v>0.5851508829764418</v>
      </c>
      <c r="CH32" s="454">
        <f>'SK-data'!BH318/'SK-data'!BH296</f>
        <v>0.16124063677151196</v>
      </c>
      <c r="CI32" s="454">
        <f>'SK-data'!BI318/'SK-data'!BI296</f>
        <v>0.14004342836203634</v>
      </c>
      <c r="CJ32" s="454">
        <f>'SK-data'!BJ318/'SK-data'!BJ296</f>
        <v>0.36162753836417555</v>
      </c>
      <c r="CK32" s="454">
        <f>'SK-data'!BK318/'SK-data'!BK296</f>
        <v>9.0261923053765653E-2</v>
      </c>
      <c r="CL32" s="454">
        <f>'SK-data'!BL318/'SK-data'!BL296</f>
        <v>5.3429758413556253E-2</v>
      </c>
      <c r="CM32" s="454">
        <f>'SK-data'!BM318/'SK-data'!BM296</f>
        <v>0.12568068359315182</v>
      </c>
      <c r="CN32" s="454">
        <f>'SK-data'!BN318/'SK-data'!BN296</f>
        <v>0.38884344632930878</v>
      </c>
      <c r="CO32" s="454">
        <f>'SK-data'!BO318/'SK-data'!BO296</f>
        <v>8.8730392651660439E-2</v>
      </c>
      <c r="CP32" s="454">
        <f>'SK-data'!BP318/'SK-data'!BP296</f>
        <v>0.2974055449467603</v>
      </c>
      <c r="CQ32" s="454">
        <f>'SK-data'!BQ318/'SK-data'!BQ296</f>
        <v>5.5082645152141556E-2</v>
      </c>
      <c r="CR32" s="454">
        <f>'SK-data'!BR318/'SK-data'!BR296</f>
        <v>0.20439293444930354</v>
      </c>
      <c r="CS32" s="454">
        <f>'SK-data'!BS318/'SK-data'!BS296</f>
        <v>0.4048740200497799</v>
      </c>
      <c r="CT32" s="454">
        <f>'SK-data'!BT318/'SK-data'!BT296</f>
        <v>7.689088927532696E-2</v>
      </c>
      <c r="CU32" s="454">
        <f>'SK-data'!BU318/'SK-data'!BU296</f>
        <v>0.8242777738126531</v>
      </c>
      <c r="CV32" s="454">
        <f>'SK-data'!BV318/'SK-data'!BV296</f>
        <v>1.482272627240457E-3</v>
      </c>
      <c r="CW32" s="454">
        <f>'SK-data'!BW318/'SK-data'!BW296</f>
        <v>0.36186858312376591</v>
      </c>
      <c r="CX32" s="454">
        <f>'SK-data'!BX318/'SK-data'!BX296</f>
        <v>0.10426969063219239</v>
      </c>
      <c r="CY32" s="454">
        <f>'SK-data'!BY318/'SK-data'!BY296</f>
        <v>0.69216567566928822</v>
      </c>
      <c r="CZ32" s="454">
        <f>'SK-data'!BZ318/'SK-data'!BZ296</f>
        <v>0.32445956612029397</v>
      </c>
      <c r="DA32" s="454">
        <f>'SK-data'!CA318/'SK-data'!CA296</f>
        <v>0.13774393637201271</v>
      </c>
      <c r="DB32" s="454">
        <f>'SK-data'!CB318/'SK-data'!CB296</f>
        <v>0.33753188922086469</v>
      </c>
      <c r="DC32" s="454">
        <f>'SK-data'!CC318/'SK-data'!CC296</f>
        <v>0.68299977932492373</v>
      </c>
      <c r="DD32" s="454">
        <f>'SK-data'!CD318/'SK-data'!CD296</f>
        <v>0.12281747056737252</v>
      </c>
      <c r="DE32" s="454">
        <f>'SK-data'!CE318/'SK-data'!CE296</f>
        <v>9.2002260278394185E-2</v>
      </c>
      <c r="DF32" s="454">
        <f>'SK-data'!CF318/'SK-data'!CF296</f>
        <v>0.66593233214515279</v>
      </c>
      <c r="DG32" s="454">
        <f>'SK-data'!CG318/'SK-data'!CG296</f>
        <v>0.82870206451854689</v>
      </c>
    </row>
    <row r="33" spans="1:111" s="428" customFormat="1" ht="15.75" customHeight="1" thickBot="1" x14ac:dyDescent="0.3">
      <c r="A33" s="640"/>
      <c r="B33" s="634"/>
      <c r="C33" s="235">
        <f>'MD-ratings-year'!C30</f>
        <v>0.15</v>
      </c>
      <c r="D33" s="434" t="str">
        <f>'MD-ratings-year'!D30</f>
        <v>Debt-to-EBITDA Ratio</v>
      </c>
      <c r="E33" s="443" t="s">
        <v>1454</v>
      </c>
      <c r="F33" s="437" t="str">
        <f>'MD-ratings-year'!E30</f>
        <v>Total Debt / Earnings Before Interest Taxes Depreciation &amp; Amortization</v>
      </c>
      <c r="G33" s="440" t="s">
        <v>400</v>
      </c>
      <c r="H33" s="653"/>
      <c r="J33" s="243"/>
      <c r="K33" s="243"/>
      <c r="L33" s="243"/>
      <c r="M33" s="243"/>
      <c r="N33" s="243"/>
      <c r="O33" s="243"/>
      <c r="P33" s="243"/>
      <c r="Q33" s="243"/>
      <c r="R33" s="243"/>
      <c r="S33" s="243"/>
      <c r="T33" s="243"/>
      <c r="U33" s="580">
        <f>'MD-ratios'!U33</f>
        <v>328.96137835108112</v>
      </c>
      <c r="V33" s="243"/>
      <c r="W33" s="243"/>
      <c r="Y33" s="258">
        <f>'MD-ratings-year'!P30</f>
        <v>97.081782949143062</v>
      </c>
      <c r="Z33" s="568">
        <f>'MD-ratings-year'!Q30</f>
        <v>2.3542398244661604</v>
      </c>
      <c r="AA33" s="568">
        <f>'MD-ratings-year'!R30</f>
        <v>0.32187866093933049</v>
      </c>
      <c r="AB33" s="568">
        <f>'MD-ratings-year'!S30</f>
        <v>4.4008206509542756E-2</v>
      </c>
      <c r="AC33" s="258">
        <f>'MD-ratings-year'!T30</f>
        <v>0</v>
      </c>
      <c r="AD33" s="550"/>
      <c r="AE33" s="243"/>
      <c r="AF33" s="455">
        <f>'SK-data'!F318/('SK-data'!F420 + 'SK-data'!F386 + 'SK-data'!F388 - 'SK-data'!F372)</f>
        <v>2.2208233701132207</v>
      </c>
      <c r="AG33" s="455">
        <f>'SK-data'!G318/('SK-data'!G420 + 'SK-data'!G386 + 'SK-data'!G388 - 'SK-data'!G372)</f>
        <v>1.0069668115102228</v>
      </c>
      <c r="AH33" s="455">
        <f>'SK-data'!H318/('SK-data'!H420 + 'SK-data'!H386 + 'SK-data'!H388 - 'SK-data'!H372)</f>
        <v>4.3492819533822633</v>
      </c>
      <c r="AI33" s="455">
        <f>'SK-data'!I318/('SK-data'!I420 + 'SK-data'!I386 + 'SK-data'!I388 - 'SK-data'!I372)</f>
        <v>3.0552513235042977</v>
      </c>
      <c r="AJ33" s="455">
        <f>'SK-data'!J318/('SK-data'!J420 + 'SK-data'!J386 + 'SK-data'!J388 - 'SK-data'!J372)</f>
        <v>5.0881775245520657</v>
      </c>
      <c r="AK33" s="455">
        <f>'SK-data'!K318/('SK-data'!K420 + 'SK-data'!K386 + 'SK-data'!K388 - 'SK-data'!K372)</f>
        <v>13.76111393139459</v>
      </c>
      <c r="AL33" s="455">
        <f>'SK-data'!L318/('SK-data'!L420 + 'SK-data'!L386 + 'SK-data'!L388 - 'SK-data'!L372)</f>
        <v>0.78358379581813875</v>
      </c>
      <c r="AM33" s="455">
        <f>'SK-data'!M318/('SK-data'!M420 + 'SK-data'!M386 + 'SK-data'!M388 - 'SK-data'!M372)</f>
        <v>2.677753025577096</v>
      </c>
      <c r="AN33" s="455">
        <f>'SK-data'!N318/('SK-data'!N420 + 'SK-data'!N386 + 'SK-data'!N388 - 'SK-data'!N372)</f>
        <v>5.6355819798319224</v>
      </c>
      <c r="AO33" s="455">
        <f>'SK-data'!O318/('SK-data'!O420 + 'SK-data'!O386 + 'SK-data'!O388 - 'SK-data'!O372)</f>
        <v>8.0405467042118239</v>
      </c>
      <c r="AP33" s="455">
        <f>'SK-data'!P318/('SK-data'!P420 + 'SK-data'!P386 + 'SK-data'!P388 - 'SK-data'!P372)</f>
        <v>1.358115672157415</v>
      </c>
      <c r="AQ33" s="455">
        <f>'SK-data'!Q318/('SK-data'!Q420 + 'SK-data'!Q386 + 'SK-data'!Q388 - 'SK-data'!Q372)</f>
        <v>-0.34381876524852695</v>
      </c>
      <c r="AR33" s="455">
        <f>'SK-data'!R318/('SK-data'!R420 + 'SK-data'!R386 + 'SK-data'!R388 - 'SK-data'!R372)</f>
        <v>3.8101081470618938</v>
      </c>
      <c r="AS33" s="455">
        <f>'SK-data'!S318/('SK-data'!S420 + 'SK-data'!S386 + 'SK-data'!S388 - 'SK-data'!S372)</f>
        <v>2.6817877109479498</v>
      </c>
      <c r="AT33" s="455">
        <f>'SK-data'!T318/('SK-data'!T420 + 'SK-data'!T386 + 'SK-data'!T388 - 'SK-data'!T372)</f>
        <v>4.498757561168409</v>
      </c>
      <c r="AU33" s="455">
        <f>'SK-data'!U318/('SK-data'!U420 + 'SK-data'!U386 + 'SK-data'!U388 - 'SK-data'!U372)</f>
        <v>4.8114846866802212</v>
      </c>
      <c r="AV33" s="455">
        <f>'SK-data'!V318/('SK-data'!V420 + 'SK-data'!V386 + 'SK-data'!V388 - 'SK-data'!V372)</f>
        <v>1.2330821466658302</v>
      </c>
      <c r="AW33" s="455">
        <f>'SK-data'!W318/('SK-data'!W420 + 'SK-data'!W386 + 'SK-data'!W388 - 'SK-data'!W372)</f>
        <v>-9.2033957363236087</v>
      </c>
      <c r="AX33" s="455">
        <f>'SK-data'!X318/('SK-data'!X420 + 'SK-data'!X386 + 'SK-data'!X388 - 'SK-data'!X372)</f>
        <v>-2.0779256636253973</v>
      </c>
      <c r="AY33" s="455">
        <f>'SK-data'!Y318/('SK-data'!Y420 + 'SK-data'!Y386 + 'SK-data'!Y388 - 'SK-data'!Y372)</f>
        <v>9.0343172668942202</v>
      </c>
      <c r="AZ33" s="455">
        <f>'SK-data'!Z318/('SK-data'!Z420 + 'SK-data'!Z386 + 'SK-data'!Z388 - 'SK-data'!Z372)</f>
        <v>30.198880362936226</v>
      </c>
      <c r="BA33" s="455">
        <f>'SK-data'!AA318/('SK-data'!AA420 + 'SK-data'!AA386 + 'SK-data'!AA388 - 'SK-data'!AA372)</f>
        <v>1.0673055203600956</v>
      </c>
      <c r="BB33" s="455">
        <f>'SK-data'!AB318/('SK-data'!AB420 + 'SK-data'!AB386 + 'SK-data'!AB388 - 'SK-data'!AB372)</f>
        <v>4.1407267088449364</v>
      </c>
      <c r="BC33" s="455">
        <f>'SK-data'!AC318/('SK-data'!AC420 + 'SK-data'!AC386 + 'SK-data'!AC388 - 'SK-data'!AC372)</f>
        <v>-20.367173798783099</v>
      </c>
      <c r="BD33" s="455">
        <f>'SK-data'!AD318/('SK-data'!AD420 + 'SK-data'!AD386 + 'SK-data'!AD388 - 'SK-data'!AD372)</f>
        <v>15.398637331440739</v>
      </c>
      <c r="BE33" s="455">
        <f>'SK-data'!AE318/('SK-data'!AE420 + 'SK-data'!AE386 + 'SK-data'!AE388 - 'SK-data'!AE372)</f>
        <v>0.60849733761302405</v>
      </c>
      <c r="BF33" s="455">
        <f>'SK-data'!AF318/('SK-data'!AF420 + 'SK-data'!AF386 + 'SK-data'!AF388 - 'SK-data'!AF372)</f>
        <v>18.2982400141669</v>
      </c>
      <c r="BG33" s="455">
        <f>'SK-data'!AG318/('SK-data'!AG420 + 'SK-data'!AG386 + 'SK-data'!AG388 - 'SK-data'!AG372)</f>
        <v>-4.5907975086729831</v>
      </c>
      <c r="BH33" s="455">
        <f>'SK-data'!AH318/('SK-data'!AH420 + 'SK-data'!AH386 + 'SK-data'!AH388 - 'SK-data'!AH372)</f>
        <v>6.9359418625373754</v>
      </c>
      <c r="BI33" s="455">
        <f>'SK-data'!AI318/('SK-data'!AI420 + 'SK-data'!AI386 + 'SK-data'!AI388 - 'SK-data'!AI372)</f>
        <v>7.5878103296878745</v>
      </c>
      <c r="BJ33" s="455">
        <f>'SK-data'!AJ318/('SK-data'!AJ420 + 'SK-data'!AJ386 + 'SK-data'!AJ388 - 'SK-data'!AJ372)</f>
        <v>2.2979053752340222</v>
      </c>
      <c r="BK33" s="455">
        <f>'SK-data'!AK318/('SK-data'!AK420 + 'SK-data'!AK386 + 'SK-data'!AK388 - 'SK-data'!AK372)</f>
        <v>2.5531905300128006</v>
      </c>
      <c r="BL33" s="455">
        <f>'SK-data'!AL318/('SK-data'!AL420 + 'SK-data'!AL386 + 'SK-data'!AL388 - 'SK-data'!AL372)</f>
        <v>8.1659942930726537</v>
      </c>
      <c r="BM33" s="455">
        <f>'SK-data'!AM318/('SK-data'!AM420 + 'SK-data'!AM386 + 'SK-data'!AM388 - 'SK-data'!AM372)</f>
        <v>3.0739418856288809</v>
      </c>
      <c r="BN33" s="455">
        <f>'SK-data'!AN318/('SK-data'!AN420 + 'SK-data'!AN386 + 'SK-data'!AN388 - 'SK-data'!AN372)</f>
        <v>3.9414890519450267</v>
      </c>
      <c r="BO33" s="455">
        <f>'SK-data'!AO318/('SK-data'!AO420 + 'SK-data'!AO386 + 'SK-data'!AO388 - 'SK-data'!AO372)</f>
        <v>4.6149060510161979</v>
      </c>
      <c r="BP33" s="455">
        <f>'SK-data'!AP318/('SK-data'!AP420 + 'SK-data'!AP386 + 'SK-data'!AP388 - 'SK-data'!AP372)</f>
        <v>1.2536395852806397</v>
      </c>
      <c r="BQ33" s="455">
        <f>'SK-data'!AQ318/('SK-data'!AQ420 + 'SK-data'!AQ386 + 'SK-data'!AQ388 - 'SK-data'!AQ372)</f>
        <v>2.3224510411106429</v>
      </c>
      <c r="BR33" s="455">
        <f>'SK-data'!AR318/('SK-data'!AR420 + 'SK-data'!AR386 + 'SK-data'!AR388 - 'SK-data'!AR372)</f>
        <v>3.3428104002738479</v>
      </c>
      <c r="BS33" s="455">
        <f>'SK-data'!AS318/('SK-data'!AS420 + 'SK-data'!AS386 + 'SK-data'!AS388 - 'SK-data'!AS372)</f>
        <v>7.7600420825547305</v>
      </c>
      <c r="BT33" s="455">
        <f>'SK-data'!AT318/('SK-data'!AT420 + 'SK-data'!AT386 + 'SK-data'!AT388 - 'SK-data'!AT372)</f>
        <v>-3.080354399883785</v>
      </c>
      <c r="BU33" s="455">
        <f>'SK-data'!AU318/('SK-data'!AU420 + 'SK-data'!AU386 + 'SK-data'!AU388 - 'SK-data'!AU372)</f>
        <v>31.392089791555318</v>
      </c>
      <c r="BV33" s="455">
        <f>'SK-data'!AV318/('SK-data'!AV420 + 'SK-data'!AV386 + 'SK-data'!AV388 - 'SK-data'!AV372)</f>
        <v>1.3088608374530097</v>
      </c>
      <c r="BW33" s="455">
        <f>'SK-data'!AW318/('SK-data'!AW420 + 'SK-data'!AW386 + 'SK-data'!AW388 - 'SK-data'!AW372)</f>
        <v>4.1620288231082894</v>
      </c>
      <c r="BX33" s="455">
        <f>'SK-data'!AX318/('SK-data'!AX420 + 'SK-data'!AX386 + 'SK-data'!AX388 - 'SK-data'!AX372)</f>
        <v>1.886915957470509</v>
      </c>
      <c r="BY33" s="455">
        <f>'SK-data'!AY318/('SK-data'!AY420 + 'SK-data'!AY386 + 'SK-data'!AY388 - 'SK-data'!AY372)</f>
        <v>5.2003592618271881</v>
      </c>
      <c r="BZ33" s="455">
        <f>'SK-data'!AZ318/('SK-data'!AZ420 + 'SK-data'!AZ386 + 'SK-data'!AZ388 - 'SK-data'!AZ372)</f>
        <v>-3.574740100669096</v>
      </c>
      <c r="CA33" s="455">
        <f>'SK-data'!BA318/('SK-data'!BA420 + 'SK-data'!BA386 + 'SK-data'!BA388 - 'SK-data'!BA372)</f>
        <v>4.8077274664840051</v>
      </c>
      <c r="CB33" s="455">
        <f>'SK-data'!BB318/('SK-data'!BB420 + 'SK-data'!BB386 + 'SK-data'!BB388 - 'SK-data'!BB372)</f>
        <v>3.6555712871807602</v>
      </c>
      <c r="CC33" s="455">
        <f>'SK-data'!BC318/('SK-data'!BC420 + 'SK-data'!BC386 + 'SK-data'!BC388 - 'SK-data'!BC372)</f>
        <v>5.3507061297973646</v>
      </c>
      <c r="CD33" s="455">
        <f>'SK-data'!BD318/('SK-data'!BD420 + 'SK-data'!BD386 + 'SK-data'!BD388 - 'SK-data'!BD372)</f>
        <v>2.4209034995031513</v>
      </c>
      <c r="CE33" s="455">
        <f>'SK-data'!BE318/('SK-data'!BE420 + 'SK-data'!BE386 + 'SK-data'!BE388 - 'SK-data'!BE372)</f>
        <v>11.554287937914951</v>
      </c>
      <c r="CF33" s="455">
        <f>'SK-data'!BF318/('SK-data'!BF420 + 'SK-data'!BF386 + 'SK-data'!BF388 - 'SK-data'!BF372)</f>
        <v>53.289851291416646</v>
      </c>
      <c r="CG33" s="455">
        <f>'SK-data'!BG318/('SK-data'!BG420 + 'SK-data'!BG386 + 'SK-data'!BG388 - 'SK-data'!BG372)</f>
        <v>16.144739711608079</v>
      </c>
      <c r="CH33" s="455">
        <f>'SK-data'!BH318/('SK-data'!BH420 + 'SK-data'!BH386 + 'SK-data'!BH388 - 'SK-data'!BH372)</f>
        <v>1.0893485296186858</v>
      </c>
      <c r="CI33" s="455">
        <f>'SK-data'!BI318/('SK-data'!BI420 + 'SK-data'!BI386 + 'SK-data'!BI388 - 'SK-data'!BI372)</f>
        <v>9.0679887343970034</v>
      </c>
      <c r="CJ33" s="455">
        <f>'SK-data'!BJ318/('SK-data'!BJ420 + 'SK-data'!BJ386 + 'SK-data'!BJ388 - 'SK-data'!BJ372)</f>
        <v>1.7887809043178453</v>
      </c>
      <c r="CK33" s="455">
        <f>'SK-data'!BK318/('SK-data'!BK420 + 'SK-data'!BK386 + 'SK-data'!BK388 - 'SK-data'!BK372)</f>
        <v>5.6364020104448898</v>
      </c>
      <c r="CL33" s="455">
        <f>'SK-data'!BL318/('SK-data'!BL420 + 'SK-data'!BL386 + 'SK-data'!BL388 - 'SK-data'!BL372)</f>
        <v>2.0038682040947036</v>
      </c>
      <c r="CM33" s="455">
        <f>'SK-data'!BM318/('SK-data'!BM420 + 'SK-data'!BM386 + 'SK-data'!BM388 - 'SK-data'!BM372)</f>
        <v>1.4393377839613708</v>
      </c>
      <c r="CN33" s="455">
        <f>'SK-data'!BN318/('SK-data'!BN420 + 'SK-data'!BN386 + 'SK-data'!BN388 - 'SK-data'!BN372)</f>
        <v>5.4598671257450277</v>
      </c>
      <c r="CO33" s="455">
        <f>'SK-data'!BO318/('SK-data'!BO420 + 'SK-data'!BO386 + 'SK-data'!BO388 - 'SK-data'!BO372)</f>
        <v>1.0391717380921983</v>
      </c>
      <c r="CP33" s="455">
        <f>'SK-data'!BP318/('SK-data'!BP420 + 'SK-data'!BP386 + 'SK-data'!BP388 - 'SK-data'!BP372)</f>
        <v>4.5987986783920176</v>
      </c>
      <c r="CQ33" s="455">
        <f>'SK-data'!BQ318/('SK-data'!BQ420 + 'SK-data'!BQ386 + 'SK-data'!BQ388 - 'SK-data'!BQ372)</f>
        <v>0.41160836781153687</v>
      </c>
      <c r="CR33" s="455">
        <f>'SK-data'!BR318/('SK-data'!BR420 + 'SK-data'!BR386 + 'SK-data'!BR388 - 'SK-data'!BR372)</f>
        <v>1.9546793882418969</v>
      </c>
      <c r="CS33" s="455">
        <f>'SK-data'!BS318/('SK-data'!BS420 + 'SK-data'!BS386 + 'SK-data'!BS388 - 'SK-data'!BS372)</f>
        <v>1.838640608500516</v>
      </c>
      <c r="CT33" s="455">
        <f>'SK-data'!BT318/('SK-data'!BT420 + 'SK-data'!BT386 + 'SK-data'!BT388 - 'SK-data'!BT372)</f>
        <v>1.1131326253160967</v>
      </c>
      <c r="CU33" s="455">
        <f>'SK-data'!BU318/('SK-data'!BU420 + 'SK-data'!BU386 + 'SK-data'!BU388 - 'SK-data'!BU372)</f>
        <v>13.660369454887869</v>
      </c>
      <c r="CV33" s="455">
        <f>'SK-data'!BV318/('SK-data'!BV420 + 'SK-data'!BV386 + 'SK-data'!BV388 - 'SK-data'!BV372)</f>
        <v>-0.57929449563506552</v>
      </c>
      <c r="CW33" s="455">
        <f>'SK-data'!BW318/('SK-data'!BW420 + 'SK-data'!BW386 + 'SK-data'!BW388 - 'SK-data'!BW372)</f>
        <v>11.69364177095926</v>
      </c>
      <c r="CX33" s="455">
        <f>'SK-data'!BX318/('SK-data'!BX420 + 'SK-data'!BX386 + 'SK-data'!BX388 - 'SK-data'!BX372)</f>
        <v>6.2460781310247571</v>
      </c>
      <c r="CY33" s="455">
        <f>'SK-data'!BY318/('SK-data'!BY420 + 'SK-data'!BY386 + 'SK-data'!BY388 - 'SK-data'!BY372)</f>
        <v>8.2358361040808568</v>
      </c>
      <c r="CZ33" s="455">
        <f>'SK-data'!BZ318/('SK-data'!BZ420 + 'SK-data'!BZ386 + 'SK-data'!BZ388 - 'SK-data'!BZ372)</f>
        <v>7.1637783095255356</v>
      </c>
      <c r="DA33" s="455">
        <f>'SK-data'!CA318/('SK-data'!CA420 + 'SK-data'!CA386 + 'SK-data'!CA388 - 'SK-data'!CA372)</f>
        <v>1.3956032857165881</v>
      </c>
      <c r="DB33" s="455">
        <f>'SK-data'!CB318/('SK-data'!CB420 + 'SK-data'!CB386 + 'SK-data'!CB388 - 'SK-data'!CB372)</f>
        <v>3.3705135441477343</v>
      </c>
      <c r="DC33" s="455">
        <f>'SK-data'!CC318/('SK-data'!CC420 + 'SK-data'!CC386 + 'SK-data'!CC388 - 'SK-data'!CC372)</f>
        <v>12.942318736539843</v>
      </c>
      <c r="DD33" s="455">
        <f>'SK-data'!CD318/('SK-data'!CD420 + 'SK-data'!CD386 + 'SK-data'!CD388 - 'SK-data'!CD372)</f>
        <v>-9.6359323882224643</v>
      </c>
      <c r="DE33" s="455">
        <f>'SK-data'!CE318/('SK-data'!CE420 + 'SK-data'!CE386 + 'SK-data'!CE388 - 'SK-data'!CE372)</f>
        <v>3.7034090388754062</v>
      </c>
      <c r="DF33" s="455">
        <f>'SK-data'!CF318/('SK-data'!CF420 + 'SK-data'!CF386 + 'SK-data'!CF388 - 'SK-data'!CF372)</f>
        <v>7.982977829147841</v>
      </c>
      <c r="DG33" s="455">
        <f>'SK-data'!CG318/('SK-data'!CG420 + 'SK-data'!CG386 + 'SK-data'!CG388 - 'SK-data'!CG372)</f>
        <v>-131.90816326530611</v>
      </c>
    </row>
    <row r="34" spans="1:111" s="430" customFormat="1" ht="15.75" customHeight="1" thickBot="1" x14ac:dyDescent="0.3">
      <c r="A34" s="641"/>
      <c r="B34" s="635"/>
      <c r="C34" s="677" t="str">
        <f>'MD-ratings-year'!C31:E31</f>
        <v>Leverage total</v>
      </c>
      <c r="D34" s="678"/>
      <c r="E34" s="678"/>
      <c r="F34" s="678"/>
      <c r="G34" s="441" t="s">
        <v>400</v>
      </c>
      <c r="H34" s="653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V34" s="266"/>
      <c r="W34" s="266"/>
      <c r="Y34" s="267"/>
      <c r="Z34" s="569"/>
      <c r="AA34" s="569"/>
      <c r="AB34" s="569"/>
      <c r="AC34" s="267"/>
      <c r="AD34" s="552"/>
      <c r="AE34" s="266"/>
    </row>
    <row r="35" spans="1:111" s="428" customFormat="1" ht="15.75" customHeight="1" thickBot="1" x14ac:dyDescent="0.3">
      <c r="A35" s="630">
        <f>'MD-ratings-year'!A32</f>
        <v>0.2</v>
      </c>
      <c r="B35" s="633" t="str">
        <f>'MD-ratings-year'!B32</f>
        <v>Activity</v>
      </c>
      <c r="C35" s="435">
        <f>'MD-ratings-year'!C32</f>
        <v>0.1</v>
      </c>
      <c r="D35" s="436" t="str">
        <f>'MD-ratings-year'!D32</f>
        <v>Working capital turnover ratio</v>
      </c>
      <c r="E35" s="426" t="s">
        <v>1455</v>
      </c>
      <c r="F35" s="438" t="str">
        <f>'MD-ratings-year'!E32</f>
        <v>Net Sales ÷ ((Beginning Working Capital + Ending Working Capital) / 2) Note: Working Capital = Current Assets Minus Current Liabilities)</v>
      </c>
      <c r="G35" s="440" t="s">
        <v>400</v>
      </c>
      <c r="H35" s="653"/>
      <c r="J35" s="243"/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580">
        <f>'MD-ratios'!U35</f>
        <v>37.290126246691131</v>
      </c>
      <c r="V35" s="243"/>
      <c r="W35" s="243"/>
      <c r="Y35" s="258">
        <f>'MD-ratings-year'!P32</f>
        <v>0</v>
      </c>
      <c r="Z35" s="568">
        <f>'MD-ratings-year'!Q32</f>
        <v>1.3738708781648035</v>
      </c>
      <c r="AA35" s="568">
        <f>'MD-ratings-year'!R32</f>
        <v>2.8478021159290718</v>
      </c>
      <c r="AB35" s="568">
        <f>'MD-ratings-year'!S32</f>
        <v>5.9030124448982324</v>
      </c>
      <c r="AC35" s="258">
        <f>'MD-ratings-year'!T32</f>
        <v>21.74155194030655</v>
      </c>
      <c r="AD35" s="550"/>
      <c r="AE35" s="243"/>
      <c r="AF35" s="455">
        <f>'SK-data'!F365/('SK-data'!F248 - 'SK-data'!F339)</f>
        <v>1.0462990333242452</v>
      </c>
      <c r="AG35" s="455">
        <f>'SK-data'!G365/('SK-data'!G248 - 'SK-data'!G339)</f>
        <v>1.6501048669794149</v>
      </c>
      <c r="AH35" s="455">
        <f>'SK-data'!H365/('SK-data'!H248 - 'SK-data'!H339)</f>
        <v>9.336220163845999</v>
      </c>
      <c r="AI35" s="455">
        <f>'SK-data'!I365/('SK-data'!I248 - 'SK-data'!I339)</f>
        <v>27.429068596761933</v>
      </c>
      <c r="AJ35" s="455">
        <f>'SK-data'!J365/('SK-data'!J248 - 'SK-data'!J339)</f>
        <v>-5.6601320048574344</v>
      </c>
      <c r="AK35" s="455">
        <f>'SK-data'!K365/('SK-data'!K248 - 'SK-data'!K339)</f>
        <v>7.6349026101232029</v>
      </c>
      <c r="AL35" s="455">
        <f>'SK-data'!L365/('SK-data'!L248 - 'SK-data'!L339)</f>
        <v>5.1671889973141134</v>
      </c>
      <c r="AM35" s="455">
        <f>'SK-data'!M365/('SK-data'!M248 - 'SK-data'!M339)</f>
        <v>7.8489622934102581</v>
      </c>
      <c r="AN35" s="455">
        <f>'SK-data'!N365/('SK-data'!N248 - 'SK-data'!N339)</f>
        <v>10.130252542493917</v>
      </c>
      <c r="AO35" s="455">
        <f>'SK-data'!O365/('SK-data'!O248 - 'SK-data'!O339)</f>
        <v>38.22719051105863</v>
      </c>
      <c r="AP35" s="455">
        <f>'SK-data'!P365/('SK-data'!P248 - 'SK-data'!P339)</f>
        <v>3.9613446766186509</v>
      </c>
      <c r="AQ35" s="455">
        <f>'SK-data'!Q365/('SK-data'!Q248 - 'SK-data'!Q339)</f>
        <v>0.54859214257745292</v>
      </c>
      <c r="AR35" s="455">
        <f>'SK-data'!R365/('SK-data'!R248 - 'SK-data'!R339)</f>
        <v>25.554894927484391</v>
      </c>
      <c r="AS35" s="455">
        <f>'SK-data'!S365/('SK-data'!S248 - 'SK-data'!S339)</f>
        <v>24.984697878300693</v>
      </c>
      <c r="AT35" s="455">
        <f>'SK-data'!T365/('SK-data'!T248 - 'SK-data'!T339)</f>
        <v>5.8556646971201136</v>
      </c>
      <c r="AU35" s="455">
        <f>'SK-data'!U365/('SK-data'!U248 - 'SK-data'!U339)</f>
        <v>1.4350410934092059</v>
      </c>
      <c r="AV35" s="455">
        <f>'SK-data'!V365/('SK-data'!V248 - 'SK-data'!V339)</f>
        <v>4.4459746293684343</v>
      </c>
      <c r="AW35" s="455">
        <f>'SK-data'!W365/('SK-data'!W248 - 'SK-data'!W339)</f>
        <v>37.635832223796541</v>
      </c>
      <c r="AX35" s="455">
        <f>'SK-data'!X365/('SK-data'!X248 - 'SK-data'!X339)</f>
        <v>7.45766725087356</v>
      </c>
      <c r="AY35" s="455">
        <f>'SK-data'!Y365/('SK-data'!Y248 - 'SK-data'!Y339)</f>
        <v>63.776385288058869</v>
      </c>
      <c r="AZ35" s="455">
        <f>'SK-data'!Z365/('SK-data'!Z248 - 'SK-data'!Z339)</f>
        <v>2.7029658408951919E-2</v>
      </c>
      <c r="BA35" s="455">
        <f>'SK-data'!AA365/('SK-data'!AA248 - 'SK-data'!AA339)</f>
        <v>2.8007891345589724</v>
      </c>
      <c r="BB35" s="455">
        <f>'SK-data'!AB365/('SK-data'!AB248 - 'SK-data'!AB339)</f>
        <v>3.4422455013744195</v>
      </c>
      <c r="BC35" s="455">
        <f>'SK-data'!AC365/('SK-data'!AC248 - 'SK-data'!AC339)</f>
        <v>153.33436780000932</v>
      </c>
      <c r="BD35" s="455">
        <f>'SK-data'!AD365/('SK-data'!AD248 - 'SK-data'!AD339)</f>
        <v>19.495404337161105</v>
      </c>
      <c r="BE35" s="455">
        <f>'SK-data'!AE365/('SK-data'!AE248 - 'SK-data'!AE339)</f>
        <v>0.50382866752197597</v>
      </c>
      <c r="BF35" s="455">
        <f>'SK-data'!AF365/('SK-data'!AF248 - 'SK-data'!AF339)</f>
        <v>4.3737536072294487</v>
      </c>
      <c r="BG35" s="455">
        <f>'SK-data'!AG365/('SK-data'!AG248 - 'SK-data'!AG339)</f>
        <v>-0.49580231209547682</v>
      </c>
      <c r="BH35" s="455">
        <f>'SK-data'!AH365/('SK-data'!AH248 - 'SK-data'!AH339)</f>
        <v>3.2619737990486586</v>
      </c>
      <c r="BI35" s="455">
        <f>'SK-data'!AI365/('SK-data'!AI248 - 'SK-data'!AI339)</f>
        <v>2.6962837725493078</v>
      </c>
      <c r="BJ35" s="455">
        <f>'SK-data'!AJ365/('SK-data'!AJ248 - 'SK-data'!AJ339)</f>
        <v>-2.8567491989988505</v>
      </c>
      <c r="BK35" s="455">
        <f>'SK-data'!AK365/('SK-data'!AK248 - 'SK-data'!AK339)</f>
        <v>1.750332438556965</v>
      </c>
      <c r="BL35" s="455">
        <f>'SK-data'!AL365/('SK-data'!AL248 - 'SK-data'!AL339)</f>
        <v>16.174728113811973</v>
      </c>
      <c r="BM35" s="455">
        <f>'SK-data'!AM365/('SK-data'!AM248 - 'SK-data'!AM339)</f>
        <v>1.5591807771053903</v>
      </c>
      <c r="BN35" s="455">
        <f>'SK-data'!AN365/('SK-data'!AN248 - 'SK-data'!AN339)</f>
        <v>1.1179554741157351</v>
      </c>
      <c r="BO35" s="455">
        <f>'SK-data'!AO365/('SK-data'!AO248 - 'SK-data'!AO339)</f>
        <v>1.6407459431276794</v>
      </c>
      <c r="BP35" s="455">
        <f>'SK-data'!AP365/('SK-data'!AP248 - 'SK-data'!AP339)</f>
        <v>6.3184826205332625</v>
      </c>
      <c r="BQ35" s="455">
        <f>'SK-data'!AQ365/('SK-data'!AQ248 - 'SK-data'!AQ339)</f>
        <v>9.094151044336952</v>
      </c>
      <c r="BR35" s="455">
        <f>'SK-data'!AR365/('SK-data'!AR248 - 'SK-data'!AR339)</f>
        <v>-16.012234876466117</v>
      </c>
      <c r="BS35" s="455">
        <f>'SK-data'!AS365/('SK-data'!AS248 - 'SK-data'!AS339)</f>
        <v>16.884775508900802</v>
      </c>
      <c r="BT35" s="455">
        <f>'SK-data'!AT365/('SK-data'!AT248 - 'SK-data'!AT339)</f>
        <v>-12.099561801676685</v>
      </c>
      <c r="BU35" s="455">
        <f>'SK-data'!AU365/('SK-data'!AU248 - 'SK-data'!AU339)</f>
        <v>-33.929978886756238</v>
      </c>
      <c r="BV35" s="455">
        <f>'SK-data'!AV365/('SK-data'!AV248 - 'SK-data'!AV339)</f>
        <v>7.7513700401904533</v>
      </c>
      <c r="BW35" s="455">
        <f>'SK-data'!AW365/('SK-data'!AW248 - 'SK-data'!AW339)</f>
        <v>8.6524815478991517</v>
      </c>
      <c r="BX35" s="455">
        <f>'SK-data'!AX365/('SK-data'!AX248 - 'SK-data'!AX339)</f>
        <v>8.5811333685488957</v>
      </c>
      <c r="BY35" s="455">
        <f>'SK-data'!AY365/('SK-data'!AY248 - 'SK-data'!AY339)</f>
        <v>-8.9367898362633778</v>
      </c>
      <c r="BZ35" s="455">
        <f>'SK-data'!AZ365/('SK-data'!AZ248 - 'SK-data'!AZ339)</f>
        <v>1.128866683132741</v>
      </c>
      <c r="CA35" s="455">
        <f>'SK-data'!BA365/('SK-data'!BA248 - 'SK-data'!BA339)</f>
        <v>0.84287150895445628</v>
      </c>
      <c r="CB35" s="455">
        <f>'SK-data'!BB365/('SK-data'!BB248 - 'SK-data'!BB339)</f>
        <v>-30.633479970499618</v>
      </c>
      <c r="CC35" s="455">
        <f>'SK-data'!BC365/('SK-data'!BC248 - 'SK-data'!BC339)</f>
        <v>3.3630100693337392</v>
      </c>
      <c r="CD35" s="455">
        <f>'SK-data'!BD365/('SK-data'!BD248 - 'SK-data'!BD339)</f>
        <v>13.813250049589746</v>
      </c>
      <c r="CE35" s="455">
        <f>'SK-data'!BE365/('SK-data'!BE248 - 'SK-data'!BE339)</f>
        <v>0.21658148003290442</v>
      </c>
      <c r="CF35" s="455">
        <f>'SK-data'!BF365/('SK-data'!BF248 - 'SK-data'!BF339)</f>
        <v>10.588874961888953</v>
      </c>
      <c r="CG35" s="455">
        <f>'SK-data'!BG365/('SK-data'!BG248 - 'SK-data'!BG339)</f>
        <v>1.6966255103311128</v>
      </c>
      <c r="CH35" s="455">
        <f>'SK-data'!BH365/('SK-data'!BH248 - 'SK-data'!BH339)</f>
        <v>1.7956740650124787</v>
      </c>
      <c r="CI35" s="455">
        <f>'SK-data'!BI365/('SK-data'!BI248 - 'SK-data'!BI339)</f>
        <v>2.3927521020325648</v>
      </c>
      <c r="CJ35" s="455">
        <f>'SK-data'!BJ365/('SK-data'!BJ248 - 'SK-data'!BJ339)</f>
        <v>12.490452961299438</v>
      </c>
      <c r="CK35" s="455">
        <f>'SK-data'!BK365/('SK-data'!BK248 - 'SK-data'!BK339)</f>
        <v>1.5050708583759682</v>
      </c>
      <c r="CL35" s="455">
        <f>'SK-data'!BL365/('SK-data'!BL248 - 'SK-data'!BL339)</f>
        <v>0.92443962848152583</v>
      </c>
      <c r="CM35" s="455">
        <f>'SK-data'!BM365/('SK-data'!BM248 - 'SK-data'!BM339)</f>
        <v>86.493304767005895</v>
      </c>
      <c r="CN35" s="455">
        <f>'SK-data'!BN365/('SK-data'!BN248 - 'SK-data'!BN339)</f>
        <v>5.526392826431521</v>
      </c>
      <c r="CO35" s="455">
        <f>'SK-data'!BO365/('SK-data'!BO248 - 'SK-data'!BO339)</f>
        <v>1.3407982249927362</v>
      </c>
      <c r="CP35" s="455">
        <f>'SK-data'!BP365/('SK-data'!BP248 - 'SK-data'!BP339)</f>
        <v>2.2071462020527228</v>
      </c>
      <c r="CQ35" s="455">
        <f>'SK-data'!BQ365/('SK-data'!BQ248 - 'SK-data'!BQ339)</f>
        <v>2.4009557003984274</v>
      </c>
      <c r="CR35" s="455">
        <f>'SK-data'!BR365/('SK-data'!BR248 - 'SK-data'!BR339)</f>
        <v>2.3873148648980376</v>
      </c>
      <c r="CS35" s="455">
        <f>'SK-data'!BS365/('SK-data'!BS248 - 'SK-data'!BS339)</f>
        <v>10.51949870894464</v>
      </c>
      <c r="CT35" s="455">
        <f>'SK-data'!BT365/('SK-data'!BT248 - 'SK-data'!BT339)</f>
        <v>2.216531949569061</v>
      </c>
      <c r="CU35" s="455">
        <f>'SK-data'!BU365/('SK-data'!BU248 - 'SK-data'!BU339)</f>
        <v>19.149747852635212</v>
      </c>
      <c r="CV35" s="455">
        <f>'SK-data'!BV365/('SK-data'!BV248 - 'SK-data'!BV339)</f>
        <v>1.0720422652122539</v>
      </c>
      <c r="CW35" s="455">
        <f>'SK-data'!BW365/('SK-data'!BW248 - 'SK-data'!BW339)</f>
        <v>0.55751186602731251</v>
      </c>
      <c r="CX35" s="455">
        <f>'SK-data'!BX365/('SK-data'!BX248 - 'SK-data'!BX339)</f>
        <v>76.211461112659791</v>
      </c>
      <c r="CY35" s="455">
        <f>'SK-data'!BY365/('SK-data'!BY248 - 'SK-data'!BY339)</f>
        <v>-88.190887281451054</v>
      </c>
      <c r="CZ35" s="455">
        <f>'SK-data'!BZ365/('SK-data'!BZ248 - 'SK-data'!BZ339)</f>
        <v>-0.25222133968758276</v>
      </c>
      <c r="DA35" s="455">
        <f>'SK-data'!CA365/('SK-data'!CA248 - 'SK-data'!CA339)</f>
        <v>2.601284112942809</v>
      </c>
      <c r="DB35" s="455">
        <f>'SK-data'!CB365/('SK-data'!CB248 - 'SK-data'!CB339)</f>
        <v>3.7556260299635431</v>
      </c>
      <c r="DC35" s="455">
        <f>'SK-data'!CC365/('SK-data'!CC248 - 'SK-data'!CC339)</f>
        <v>12.066965716116629</v>
      </c>
      <c r="DD35" s="455">
        <f>'SK-data'!CD365/('SK-data'!CD248 - 'SK-data'!CD339)</f>
        <v>3.5587459698032604</v>
      </c>
      <c r="DE35" s="455">
        <f>'SK-data'!CE365/('SK-data'!CE248 - 'SK-data'!CE339)</f>
        <v>1.9180850813381358</v>
      </c>
      <c r="DF35" s="455">
        <f>'SK-data'!CF365/('SK-data'!CF248 - 'SK-data'!CF339)</f>
        <v>-14.233186742464872</v>
      </c>
      <c r="DG35" s="455">
        <f>'SK-data'!CG365/('SK-data'!CG248 - 'SK-data'!CG339)</f>
        <v>10.70197189750856</v>
      </c>
    </row>
    <row r="36" spans="1:111" ht="15.75" customHeight="1" thickBot="1" x14ac:dyDescent="0.3">
      <c r="A36" s="631"/>
      <c r="B36" s="634"/>
      <c r="C36" s="235">
        <f>'MD-ratings-year'!C33</f>
        <v>0.1</v>
      </c>
      <c r="D36" s="434" t="str">
        <f>'MD-ratings-year'!D33</f>
        <v>Accounts receivable turnover ratio</v>
      </c>
      <c r="E36" s="443" t="s">
        <v>1456</v>
      </c>
      <c r="F36" s="437" t="str">
        <f>'MD-ratings-year'!E33</f>
        <v>Net Sales ÷ ((Beginning Accounts Receivable + Ending Accounts Receivable) / 2)</v>
      </c>
      <c r="G36" s="440" t="s">
        <v>400</v>
      </c>
      <c r="H36" s="653"/>
      <c r="U36" s="531">
        <f>'MD-ratios'!U36</f>
        <v>27.608325847341447</v>
      </c>
      <c r="Y36" s="226">
        <f>'MD-ratings-year'!P33</f>
        <v>0</v>
      </c>
      <c r="Z36" s="566">
        <f>'MD-ratings-year'!Q33</f>
        <v>8.1013956036067523</v>
      </c>
      <c r="AA36" s="566">
        <f>'MD-ratings-year'!R33</f>
        <v>15.379473905148243</v>
      </c>
      <c r="AB36" s="566">
        <f>'MD-ratings-year'!S33</f>
        <v>29.195984145476498</v>
      </c>
      <c r="AC36" s="226">
        <f>'MD-ratings-year'!T33</f>
        <v>98.091960842394769</v>
      </c>
      <c r="AF36" s="456">
        <f>'SK-data'!F365/'SK-data'!F268</f>
        <v>11.676449236681968</v>
      </c>
      <c r="AG36" s="456">
        <f>'SK-data'!G365/'SK-data'!G268</f>
        <v>9.2479523942649475</v>
      </c>
      <c r="AH36" s="456">
        <f>'SK-data'!H365/'SK-data'!H268</f>
        <v>9.2975365877507983</v>
      </c>
      <c r="AI36" s="456">
        <f>'SK-data'!I365/'SK-data'!I268</f>
        <v>42.216272539135922</v>
      </c>
      <c r="AJ36" s="456">
        <f>'SK-data'!J365/'SK-data'!J268</f>
        <v>4.7854960560235371</v>
      </c>
      <c r="AK36" s="456">
        <f>'SK-data'!K365/'SK-data'!K268</f>
        <v>50.838333597067844</v>
      </c>
      <c r="AL36" s="456">
        <f>'SK-data'!L365/'SK-data'!L268</f>
        <v>7.7933735127792083</v>
      </c>
      <c r="AM36" s="456">
        <f>'SK-data'!M365/'SK-data'!M268</f>
        <v>3.8917792158922255</v>
      </c>
      <c r="AN36" s="456">
        <f>'SK-data'!N365/'SK-data'!N268</f>
        <v>4.8752561001280279</v>
      </c>
      <c r="AO36" s="456">
        <f>'SK-data'!O365/'SK-data'!O268</f>
        <v>9.6097907082858303</v>
      </c>
      <c r="AP36" s="456">
        <f>'SK-data'!P365/'SK-data'!P268</f>
        <v>3.9917497227577545</v>
      </c>
      <c r="AQ36" s="456">
        <f>'SK-data'!Q365/'SK-data'!Q268</f>
        <v>3.0147366636454334</v>
      </c>
      <c r="AR36" s="456">
        <f>'SK-data'!R365/'SK-data'!R268</f>
        <v>3.6921668738434263</v>
      </c>
      <c r="AS36" s="456">
        <f>'SK-data'!S365/'SK-data'!S268</f>
        <v>5.9796111137938865</v>
      </c>
      <c r="AT36" s="456">
        <f>'SK-data'!T365/'SK-data'!T268</f>
        <v>3.9623551064480704</v>
      </c>
      <c r="AU36" s="456">
        <f>'SK-data'!U365/'SK-data'!U268</f>
        <v>1.6517953707363473</v>
      </c>
      <c r="AV36" s="456">
        <f>'SK-data'!V365/'SK-data'!V268</f>
        <v>6.865835726934006</v>
      </c>
      <c r="AW36" s="456">
        <f>'SK-data'!W365/'SK-data'!W268</f>
        <v>20.266757918387221</v>
      </c>
      <c r="AX36" s="456">
        <f>'SK-data'!X365/'SK-data'!X268</f>
        <v>8.605694631117748</v>
      </c>
      <c r="AY36" s="456">
        <f>'SK-data'!Y365/'SK-data'!Y268</f>
        <v>5.6203347200730178</v>
      </c>
      <c r="AZ36" s="456">
        <f>'SK-data'!Z365/'SK-data'!Z268</f>
        <v>3.2155629570223256E-2</v>
      </c>
      <c r="BA36" s="456">
        <f>'SK-data'!AA365/'SK-data'!AA268</f>
        <v>5.1520619215299464</v>
      </c>
      <c r="BB36" s="456">
        <f>'SK-data'!AB365/'SK-data'!AB268</f>
        <v>3.9383687433515129</v>
      </c>
      <c r="BC36" s="456">
        <f>'SK-data'!AC365/'SK-data'!AC268</f>
        <v>7.8491848787999787</v>
      </c>
      <c r="BD36" s="456">
        <f>'SK-data'!AD365/'SK-data'!AD268</f>
        <v>17.421284918879646</v>
      </c>
      <c r="BE36" s="456">
        <f>'SK-data'!AE365/'SK-data'!AE268</f>
        <v>7.2377837469207114</v>
      </c>
      <c r="BF36" s="456">
        <f>'SK-data'!AF365/'SK-data'!AF268</f>
        <v>8.0012858592959368</v>
      </c>
      <c r="BG36" s="456">
        <f>'SK-data'!AG365/'SK-data'!AG268</f>
        <v>5.4346114414599143</v>
      </c>
      <c r="BH36" s="456">
        <f>'SK-data'!AH365/'SK-data'!AH268</f>
        <v>3.9716616795353681</v>
      </c>
      <c r="BI36" s="456">
        <f>'SK-data'!AI365/'SK-data'!AI268</f>
        <v>10.584744132358599</v>
      </c>
      <c r="BJ36" s="456">
        <f>'SK-data'!AJ365/'SK-data'!AJ268</f>
        <v>96.344789661809187</v>
      </c>
      <c r="BK36" s="456">
        <f>'SK-data'!AK365/'SK-data'!AK268</f>
        <v>3.5305980231483343</v>
      </c>
      <c r="BL36" s="456">
        <f>'SK-data'!AL365/'SK-data'!AL268</f>
        <v>7.6643146667973916</v>
      </c>
      <c r="BM36" s="456">
        <f>'SK-data'!AM365/'SK-data'!AM268</f>
        <v>10.183875285551114</v>
      </c>
      <c r="BN36" s="456">
        <f>'SK-data'!AN365/'SK-data'!AN268</f>
        <v>0.86558207208653282</v>
      </c>
      <c r="BO36" s="456">
        <f>'SK-data'!AO365/'SK-data'!AO268</f>
        <v>3.5748474306794256</v>
      </c>
      <c r="BP36" s="456">
        <f>'SK-data'!AP365/'SK-data'!AP268</f>
        <v>5.5735180495873546</v>
      </c>
      <c r="BQ36" s="456">
        <f>'SK-data'!AQ365/'SK-data'!AQ268</f>
        <v>6.8161253916819327</v>
      </c>
      <c r="BR36" s="456">
        <f>'SK-data'!AR365/'SK-data'!AR268</f>
        <v>5.4904154711137529</v>
      </c>
      <c r="BS36" s="456">
        <f>'SK-data'!AS365/'SK-data'!AS268</f>
        <v>5.1362574267486485</v>
      </c>
      <c r="BT36" s="456">
        <f>'SK-data'!AT365/'SK-data'!AT268</f>
        <v>6.8827820998825882</v>
      </c>
      <c r="BU36" s="456">
        <f>'SK-data'!AU365/'SK-data'!AU268</f>
        <v>6.746001440977178</v>
      </c>
      <c r="BV36" s="456">
        <f>'SK-data'!AV365/'SK-data'!AV268</f>
        <v>57.438726333907056</v>
      </c>
      <c r="BW36" s="456">
        <f>'SK-data'!AW365/'SK-data'!AW268</f>
        <v>14.476918711874024</v>
      </c>
      <c r="BX36" s="456">
        <f>'SK-data'!AX365/'SK-data'!AX268</f>
        <v>5.9172480168948098</v>
      </c>
      <c r="BY36" s="456">
        <f>'SK-data'!AY365/'SK-data'!AY268</f>
        <v>6.6870798200946115</v>
      </c>
      <c r="BZ36" s="456">
        <f>'SK-data'!AZ365/'SK-data'!AZ268</f>
        <v>45.293916984138839</v>
      </c>
      <c r="CA36" s="456">
        <f>'SK-data'!BA365/'SK-data'!BA268</f>
        <v>0.82363470265040017</v>
      </c>
      <c r="CB36" s="456">
        <f>'SK-data'!BB365/'SK-data'!BB268</f>
        <v>8.3772156080969467</v>
      </c>
      <c r="CC36" s="456">
        <f>'SK-data'!BC365/'SK-data'!BC268</f>
        <v>5.9793453257877252</v>
      </c>
      <c r="CD36" s="456">
        <f>'SK-data'!BD365/'SK-data'!BD268</f>
        <v>12.262153608106155</v>
      </c>
      <c r="CE36" s="456">
        <f>'SK-data'!BE365/'SK-data'!BE268</f>
        <v>40.853911898493322</v>
      </c>
      <c r="CF36" s="456">
        <f>'SK-data'!BF365/'SK-data'!BF268</f>
        <v>4.9026444569922827</v>
      </c>
      <c r="CG36" s="456">
        <f>'SK-data'!BG365/'SK-data'!BG268</f>
        <v>6.2672780494707148</v>
      </c>
      <c r="CH36" s="456">
        <f>'SK-data'!BH365/'SK-data'!BH268</f>
        <v>2.7188759882577349</v>
      </c>
      <c r="CI36" s="456">
        <f>'SK-data'!BI365/'SK-data'!BI268</f>
        <v>2.7943806887784897</v>
      </c>
      <c r="CJ36" s="456">
        <f>'SK-data'!BJ365/'SK-data'!BJ268</f>
        <v>7.7881857419523763</v>
      </c>
      <c r="CK36" s="456">
        <f>'SK-data'!BK365/'SK-data'!BK268</f>
        <v>18.170340631234016</v>
      </c>
      <c r="CL36" s="456">
        <f>'SK-data'!BL365/'SK-data'!BL268</f>
        <v>29.685113372987001</v>
      </c>
      <c r="CM36" s="456">
        <f>'SK-data'!BM365/'SK-data'!BM268</f>
        <v>7.6278267852292725</v>
      </c>
      <c r="CN36" s="456">
        <f>'SK-data'!BN365/'SK-data'!BN268</f>
        <v>6.9564405302475238</v>
      </c>
      <c r="CO36" s="456">
        <f>'SK-data'!BO365/'SK-data'!BO268</f>
        <v>11.998071280675934</v>
      </c>
      <c r="CP36" s="456">
        <f>'SK-data'!BP365/'SK-data'!BP268</f>
        <v>6.5885997942806389</v>
      </c>
      <c r="CQ36" s="456">
        <f>'SK-data'!BQ365/'SK-data'!BQ268</f>
        <v>3.2158517651071969</v>
      </c>
      <c r="CR36" s="456">
        <f>'SK-data'!BR365/'SK-data'!BR268</f>
        <v>14.371662250305748</v>
      </c>
      <c r="CS36" s="456">
        <f>'SK-data'!BS365/'SK-data'!BS268</f>
        <v>94.216944833263824</v>
      </c>
      <c r="CT36" s="456">
        <f>'SK-data'!BT365/'SK-data'!BT268</f>
        <v>5.4430817871885218</v>
      </c>
      <c r="CU36" s="456">
        <f>'SK-data'!BU365/'SK-data'!BU268</f>
        <v>5.3414944040865855</v>
      </c>
      <c r="CV36" s="456">
        <f>'SK-data'!BV365/'SK-data'!BV268</f>
        <v>7.2215658516561589</v>
      </c>
      <c r="CW36" s="456">
        <f>'SK-data'!BW365/'SK-data'!BW268</f>
        <v>0.8083975417673942</v>
      </c>
      <c r="CX36" s="456">
        <f>'SK-data'!BX365/'SK-data'!BX268</f>
        <v>9.5498478286543431</v>
      </c>
      <c r="CY36" s="456">
        <f>'SK-data'!BY365/'SK-data'!BY268</f>
        <v>5.5701063566014861</v>
      </c>
      <c r="CZ36" s="456">
        <f>'SK-data'!BZ365/'SK-data'!BZ268</f>
        <v>16.40220385674931</v>
      </c>
      <c r="DA36" s="456">
        <f>'SK-data'!CA365/'SK-data'!CA268</f>
        <v>6.5326343133548068</v>
      </c>
      <c r="DB36" s="456">
        <f>'SK-data'!CB365/'SK-data'!CB268</f>
        <v>6.8872500065180207</v>
      </c>
      <c r="DC36" s="456">
        <f>'SK-data'!CC365/'SK-data'!CC268</f>
        <v>3.4066938037087291</v>
      </c>
      <c r="DD36" s="456">
        <f>'SK-data'!CD365/'SK-data'!CD268</f>
        <v>17.687286174280541</v>
      </c>
      <c r="DE36" s="456">
        <f>'SK-data'!CE365/'SK-data'!CE268</f>
        <v>3.6195606299562408</v>
      </c>
      <c r="DF36" s="456">
        <f>'SK-data'!CF365/'SK-data'!CF268</f>
        <v>5.566107382550336</v>
      </c>
      <c r="DG36" s="456">
        <f>'SK-data'!CG365/'SK-data'!CG268</f>
        <v>1.2983468943387577</v>
      </c>
    </row>
    <row r="37" spans="1:111" s="428" customFormat="1" ht="15.75" customHeight="1" thickBot="1" x14ac:dyDescent="0.3">
      <c r="A37" s="632"/>
      <c r="B37" s="635"/>
      <c r="C37" s="679" t="str">
        <f>'MD-ratings-year'!C34:E34</f>
        <v>Activity total</v>
      </c>
      <c r="D37" s="680"/>
      <c r="E37" s="680"/>
      <c r="F37" s="680"/>
      <c r="G37" s="424" t="s">
        <v>400</v>
      </c>
      <c r="H37" s="653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V37" s="270"/>
      <c r="W37" s="270"/>
      <c r="Y37" s="270"/>
      <c r="Z37" s="270"/>
      <c r="AA37" s="270"/>
      <c r="AB37" s="270"/>
      <c r="AC37" s="270"/>
      <c r="AD37" s="553"/>
      <c r="AE37" s="270"/>
    </row>
    <row r="38" spans="1:111" s="433" customFormat="1" ht="15.75" thickBot="1" x14ac:dyDescent="0.3">
      <c r="A38" s="431">
        <f>'MD-ratings-year'!A35</f>
        <v>1</v>
      </c>
      <c r="B38" s="655" t="str">
        <f>'MD-ratings-year'!B35:E35</f>
        <v>Total</v>
      </c>
      <c r="C38" s="656"/>
      <c r="D38" s="656"/>
      <c r="E38" s="656"/>
      <c r="F38" s="656"/>
      <c r="G38" s="442"/>
      <c r="H38" s="654"/>
      <c r="J38" s="432"/>
      <c r="K38" s="432"/>
      <c r="L38" s="432"/>
      <c r="M38" s="432"/>
      <c r="N38" s="432"/>
      <c r="O38" s="432"/>
      <c r="P38" s="432"/>
      <c r="Q38" s="432"/>
      <c r="R38" s="432"/>
      <c r="S38" s="432"/>
      <c r="T38" s="432"/>
      <c r="V38" s="432"/>
      <c r="W38" s="432"/>
      <c r="Y38" s="432"/>
      <c r="Z38" s="432"/>
      <c r="AA38" s="432"/>
      <c r="AB38" s="432"/>
      <c r="AC38" s="432"/>
      <c r="AD38" s="554"/>
      <c r="AE38" s="432"/>
    </row>
  </sheetData>
  <mergeCells count="29">
    <mergeCell ref="Y5:AC5"/>
    <mergeCell ref="H7:H21"/>
    <mergeCell ref="H24:H38"/>
    <mergeCell ref="C27:F27"/>
    <mergeCell ref="C31:F31"/>
    <mergeCell ref="C34:F34"/>
    <mergeCell ref="C37:F37"/>
    <mergeCell ref="B38:F38"/>
    <mergeCell ref="C17:F17"/>
    <mergeCell ref="A28:A31"/>
    <mergeCell ref="B28:B31"/>
    <mergeCell ref="A32:A34"/>
    <mergeCell ref="B32:B34"/>
    <mergeCell ref="A35:A37"/>
    <mergeCell ref="B35:B37"/>
    <mergeCell ref="A18:A20"/>
    <mergeCell ref="B18:B20"/>
    <mergeCell ref="C20:F20"/>
    <mergeCell ref="B21:F21"/>
    <mergeCell ref="A24:A27"/>
    <mergeCell ref="B24:B27"/>
    <mergeCell ref="A15:A17"/>
    <mergeCell ref="B15:B17"/>
    <mergeCell ref="A7:A10"/>
    <mergeCell ref="B7:B10"/>
    <mergeCell ref="C10:F10"/>
    <mergeCell ref="A11:A14"/>
    <mergeCell ref="B11:B14"/>
    <mergeCell ref="C14:F1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6"/>
  <sheetViews>
    <sheetView workbookViewId="0">
      <pane xSplit="6" ySplit="3" topLeftCell="CX4" activePane="bottomRight" state="frozen"/>
      <selection pane="topRight" activeCell="G1" sqref="G1"/>
      <selection pane="bottomLeft" activeCell="A3" sqref="A3"/>
      <selection pane="bottomRight"/>
    </sheetView>
  </sheetViews>
  <sheetFormatPr defaultRowHeight="15" x14ac:dyDescent="0.25"/>
  <cols>
    <col min="1" max="1" width="5.5703125" style="307" bestFit="1" customWidth="1"/>
    <col min="2" max="2" width="11.5703125" style="307" bestFit="1" customWidth="1"/>
    <col min="3" max="3" width="4.5703125" style="307" bestFit="1" customWidth="1"/>
    <col min="4" max="4" width="32.140625" style="307" bestFit="1" customWidth="1"/>
    <col min="5" max="5" width="37.28515625" style="307" bestFit="1" customWidth="1"/>
    <col min="6" max="8" width="3.7109375" style="307" customWidth="1"/>
    <col min="9" max="9" width="6.7109375" style="307" customWidth="1"/>
    <col min="10" max="10" width="3.7109375" style="307" customWidth="1"/>
    <col min="11" max="11" width="6.7109375" style="224" customWidth="1"/>
    <col min="12" max="12" width="6.7109375" style="224" hidden="1" customWidth="1"/>
    <col min="13" max="13" width="6.7109375" style="224" customWidth="1"/>
    <col min="14" max="14" width="6.7109375" style="224" hidden="1" customWidth="1"/>
    <col min="15" max="18" width="6.7109375" style="224" customWidth="1"/>
    <col min="19" max="21" width="3.7109375" style="224" customWidth="1"/>
    <col min="22" max="22" width="3.7109375" style="252" customWidth="1"/>
    <col min="23" max="102" width="10.7109375" style="307" customWidth="1"/>
    <col min="103" max="103" width="3.7109375" style="307" customWidth="1"/>
    <col min="104" max="104" width="3.7109375" style="546" customWidth="1"/>
    <col min="105" max="114" width="9.140625" style="307"/>
    <col min="115" max="117" width="9.140625" style="403"/>
    <col min="118" max="16384" width="9.140625" style="307"/>
  </cols>
  <sheetData>
    <row r="1" spans="1:120" x14ac:dyDescent="0.25">
      <c r="W1" s="284" t="s">
        <v>516</v>
      </c>
      <c r="X1" s="284" t="s">
        <v>517</v>
      </c>
      <c r="Y1" s="284" t="s">
        <v>578</v>
      </c>
      <c r="Z1" s="284" t="s">
        <v>579</v>
      </c>
      <c r="AA1" s="284" t="s">
        <v>586</v>
      </c>
      <c r="AB1" s="284" t="s">
        <v>518</v>
      </c>
      <c r="AC1" s="284" t="s">
        <v>590</v>
      </c>
      <c r="AD1" s="284" t="s">
        <v>575</v>
      </c>
      <c r="AE1" s="284" t="s">
        <v>567</v>
      </c>
      <c r="AF1" s="284" t="s">
        <v>582</v>
      </c>
      <c r="AG1" s="284" t="s">
        <v>585</v>
      </c>
      <c r="AH1" s="284" t="s">
        <v>519</v>
      </c>
      <c r="AI1" s="284" t="s">
        <v>587</v>
      </c>
      <c r="AJ1" s="284" t="s">
        <v>566</v>
      </c>
      <c r="AK1" s="284" t="s">
        <v>581</v>
      </c>
      <c r="AL1" s="284" t="s">
        <v>1465</v>
      </c>
      <c r="AM1" s="284" t="s">
        <v>583</v>
      </c>
      <c r="AN1" s="284" t="s">
        <v>520</v>
      </c>
      <c r="AO1" s="284" t="s">
        <v>521</v>
      </c>
      <c r="AP1" s="284" t="s">
        <v>564</v>
      </c>
      <c r="AQ1" s="284" t="s">
        <v>522</v>
      </c>
      <c r="AR1" s="284" t="s">
        <v>523</v>
      </c>
      <c r="AS1" s="284" t="s">
        <v>524</v>
      </c>
      <c r="AT1" s="284" t="s">
        <v>525</v>
      </c>
      <c r="AU1" s="284" t="s">
        <v>526</v>
      </c>
      <c r="AV1" s="284" t="s">
        <v>1477</v>
      </c>
      <c r="AW1" s="284" t="s">
        <v>527</v>
      </c>
      <c r="AX1" s="284" t="s">
        <v>1478</v>
      </c>
      <c r="AY1" s="284" t="s">
        <v>528</v>
      </c>
      <c r="AZ1" s="284" t="s">
        <v>529</v>
      </c>
      <c r="BA1" s="284" t="s">
        <v>530</v>
      </c>
      <c r="BB1" s="284" t="s">
        <v>531</v>
      </c>
      <c r="BC1" s="284" t="s">
        <v>569</v>
      </c>
      <c r="BD1" s="284" t="s">
        <v>532</v>
      </c>
      <c r="BE1" s="284" t="s">
        <v>533</v>
      </c>
      <c r="BF1" s="284" t="s">
        <v>534</v>
      </c>
      <c r="BG1" s="284" t="s">
        <v>1466</v>
      </c>
      <c r="BH1" s="284" t="s">
        <v>535</v>
      </c>
      <c r="BI1" s="284" t="s">
        <v>573</v>
      </c>
      <c r="BJ1" s="284" t="s">
        <v>571</v>
      </c>
      <c r="BK1" s="284" t="s">
        <v>536</v>
      </c>
      <c r="BL1" s="284" t="s">
        <v>572</v>
      </c>
      <c r="BM1" s="284" t="s">
        <v>537</v>
      </c>
      <c r="BN1" s="284" t="s">
        <v>538</v>
      </c>
      <c r="BO1" s="284" t="s">
        <v>568</v>
      </c>
      <c r="BP1" s="284" t="s">
        <v>576</v>
      </c>
      <c r="BQ1" s="284" t="s">
        <v>539</v>
      </c>
      <c r="BR1" s="284" t="s">
        <v>577</v>
      </c>
      <c r="BS1" s="284" t="s">
        <v>584</v>
      </c>
      <c r="BT1" s="284" t="s">
        <v>580</v>
      </c>
      <c r="BU1" s="284" t="s">
        <v>540</v>
      </c>
      <c r="BV1" s="284" t="s">
        <v>541</v>
      </c>
      <c r="BW1" s="284" t="s">
        <v>542</v>
      </c>
      <c r="BX1" s="284" t="s">
        <v>1475</v>
      </c>
      <c r="BY1" s="284" t="s">
        <v>543</v>
      </c>
      <c r="BZ1" s="284" t="s">
        <v>544</v>
      </c>
      <c r="CA1" s="284" t="s">
        <v>570</v>
      </c>
      <c r="CB1" s="284" t="s">
        <v>545</v>
      </c>
      <c r="CC1" s="284" t="s">
        <v>546</v>
      </c>
      <c r="CD1" s="284" t="s">
        <v>547</v>
      </c>
      <c r="CE1" s="284" t="s">
        <v>548</v>
      </c>
      <c r="CF1" s="284" t="s">
        <v>549</v>
      </c>
      <c r="CG1" s="284" t="s">
        <v>550</v>
      </c>
      <c r="CH1" s="284" t="s">
        <v>1501</v>
      </c>
      <c r="CI1" s="284" t="s">
        <v>551</v>
      </c>
      <c r="CJ1" s="284" t="s">
        <v>552</v>
      </c>
      <c r="CK1" s="284" t="s">
        <v>1467</v>
      </c>
      <c r="CL1" s="284" t="s">
        <v>565</v>
      </c>
      <c r="CM1" s="284" t="s">
        <v>554</v>
      </c>
      <c r="CN1" s="284" t="s">
        <v>555</v>
      </c>
      <c r="CO1" s="284" t="s">
        <v>556</v>
      </c>
      <c r="CP1" s="284" t="s">
        <v>574</v>
      </c>
      <c r="CQ1" s="284" t="s">
        <v>557</v>
      </c>
      <c r="CR1" s="284" t="s">
        <v>558</v>
      </c>
      <c r="CS1" s="284" t="s">
        <v>559</v>
      </c>
      <c r="CT1" s="284" t="s">
        <v>560</v>
      </c>
      <c r="CU1" s="284" t="s">
        <v>561</v>
      </c>
      <c r="CV1" s="284" t="s">
        <v>1500</v>
      </c>
      <c r="CW1" s="284" t="s">
        <v>562</v>
      </c>
      <c r="CX1" s="284" t="s">
        <v>563</v>
      </c>
      <c r="CY1" s="323" t="s">
        <v>400</v>
      </c>
      <c r="DA1" s="681" t="s">
        <v>1508</v>
      </c>
      <c r="DB1" s="681"/>
      <c r="DC1" s="681"/>
      <c r="DD1" s="681"/>
      <c r="DE1" s="681"/>
      <c r="DF1" s="681"/>
      <c r="DG1" s="681"/>
      <c r="DH1" s="681"/>
      <c r="DI1" s="681"/>
      <c r="DJ1" s="681"/>
      <c r="DK1" s="681"/>
      <c r="DL1" s="681"/>
      <c r="DM1" s="681"/>
      <c r="DN1" s="681"/>
      <c r="DO1" s="681"/>
      <c r="DP1" s="681"/>
    </row>
    <row r="2" spans="1:120" s="284" customFormat="1" x14ac:dyDescent="0.25">
      <c r="I2" s="467" t="s">
        <v>1506</v>
      </c>
      <c r="K2" s="645" t="s">
        <v>399</v>
      </c>
      <c r="L2" s="645"/>
      <c r="M2" s="645"/>
      <c r="N2" s="645"/>
      <c r="O2" s="645"/>
      <c r="P2" s="308"/>
      <c r="Q2" s="308"/>
      <c r="R2" s="308"/>
      <c r="S2" s="238"/>
      <c r="T2" s="238"/>
      <c r="U2" s="238"/>
      <c r="V2" s="254"/>
      <c r="W2" s="284" t="str">
        <f>'SK-ratios'!AF2</f>
        <v>state</v>
      </c>
      <c r="X2" s="284" t="str">
        <f>'SK-ratios'!AG2</f>
        <v>state</v>
      </c>
      <c r="Y2" s="284" t="str">
        <f>'SK-ratios'!AH2</f>
        <v>private</v>
      </c>
      <c r="Z2" s="284" t="str">
        <f>'SK-ratios'!AI2</f>
        <v>private</v>
      </c>
      <c r="AA2" s="284" t="str">
        <f>'SK-ratios'!AJ2</f>
        <v>private</v>
      </c>
      <c r="AB2" s="284" t="str">
        <f>'SK-ratios'!AK2</f>
        <v>state</v>
      </c>
      <c r="AC2" s="284" t="str">
        <f>'SK-ratios'!AL2</f>
        <v>state</v>
      </c>
      <c r="AD2" s="284" t="str">
        <f>'SK-ratios'!AM2</f>
        <v>private</v>
      </c>
      <c r="AE2" s="284" t="str">
        <f>'SK-ratios'!AN2</f>
        <v>private</v>
      </c>
      <c r="AF2" s="284" t="str">
        <f>'SK-ratios'!AO2</f>
        <v>private</v>
      </c>
      <c r="AG2" s="284" t="str">
        <f>'SK-ratios'!AP2</f>
        <v>private</v>
      </c>
      <c r="AH2" s="284" t="str">
        <f>'SK-ratios'!AQ2</f>
        <v>state</v>
      </c>
      <c r="AI2" s="284" t="str">
        <f>'SK-ratios'!AR2</f>
        <v>private</v>
      </c>
      <c r="AJ2" s="284" t="str">
        <f>'SK-ratios'!AS2</f>
        <v>private</v>
      </c>
      <c r="AK2" s="284" t="str">
        <f>'SK-ratios'!AT2</f>
        <v>private</v>
      </c>
      <c r="AL2" s="284" t="str">
        <f>'SK-ratios'!AU2</f>
        <v>state</v>
      </c>
      <c r="AM2" s="284" t="str">
        <f>'SK-ratios'!AV2</f>
        <v>private</v>
      </c>
      <c r="AN2" s="284" t="str">
        <f>'SK-ratios'!AW2</f>
        <v>state</v>
      </c>
      <c r="AO2" s="284" t="str">
        <f>'SK-ratios'!AX2</f>
        <v>state</v>
      </c>
      <c r="AP2" s="284" t="str">
        <f>'SK-ratios'!AY2</f>
        <v>private</v>
      </c>
      <c r="AQ2" s="284" t="str">
        <f>'SK-ratios'!AZ2</f>
        <v>state</v>
      </c>
      <c r="AR2" s="284" t="str">
        <f>'SK-ratios'!BA2</f>
        <v>state</v>
      </c>
      <c r="AS2" s="284" t="str">
        <f>'SK-ratios'!BB2</f>
        <v>state</v>
      </c>
      <c r="AT2" s="284" t="str">
        <f>'SK-ratios'!BC2</f>
        <v>state</v>
      </c>
      <c r="AU2" s="284" t="str">
        <f>'SK-ratios'!BD2</f>
        <v>state</v>
      </c>
      <c r="AV2" s="284" t="str">
        <f>'SK-ratios'!BE2</f>
        <v>private</v>
      </c>
      <c r="AW2" s="284" t="str">
        <f>'SK-ratios'!BF2</f>
        <v>state</v>
      </c>
      <c r="AX2" s="284" t="str">
        <f>'SK-ratios'!BG2</f>
        <v>private</v>
      </c>
      <c r="AY2" s="284" t="str">
        <f>'SK-ratios'!BH2</f>
        <v>state</v>
      </c>
      <c r="AZ2" s="284" t="str">
        <f>'SK-ratios'!BI2</f>
        <v>state</v>
      </c>
      <c r="BA2" s="284" t="str">
        <f>'SK-ratios'!BJ2</f>
        <v>state</v>
      </c>
      <c r="BB2" s="284" t="str">
        <f>'SK-ratios'!BK2</f>
        <v>state</v>
      </c>
      <c r="BC2" s="284" t="str">
        <f>'SK-ratios'!BL2</f>
        <v>private</v>
      </c>
      <c r="BD2" s="284" t="str">
        <f>'SK-ratios'!BM2</f>
        <v>state</v>
      </c>
      <c r="BE2" s="284" t="str">
        <f>'SK-ratios'!BN2</f>
        <v>state</v>
      </c>
      <c r="BF2" s="284" t="str">
        <f>'SK-ratios'!BO2</f>
        <v>state</v>
      </c>
      <c r="BG2" s="284" t="str">
        <f>'SK-ratios'!BP2</f>
        <v>private</v>
      </c>
      <c r="BH2" s="284" t="str">
        <f>'SK-ratios'!BQ2</f>
        <v>state</v>
      </c>
      <c r="BI2" s="284" t="str">
        <f>'SK-ratios'!BR2</f>
        <v>private</v>
      </c>
      <c r="BJ2" s="284" t="str">
        <f>'SK-ratios'!BS2</f>
        <v>private</v>
      </c>
      <c r="BK2" s="284" t="str">
        <f>'SK-ratios'!BT2</f>
        <v>state</v>
      </c>
      <c r="BL2" s="284" t="str">
        <f>'SK-ratios'!BU2</f>
        <v>private</v>
      </c>
      <c r="BM2" s="284" t="str">
        <f>'SK-ratios'!BV2</f>
        <v>state</v>
      </c>
      <c r="BN2" s="284" t="str">
        <f>'SK-ratios'!BW2</f>
        <v>state</v>
      </c>
      <c r="BO2" s="284" t="str">
        <f>'SK-ratios'!BX2</f>
        <v>private</v>
      </c>
      <c r="BP2" s="284" t="str">
        <f>'SK-ratios'!BY2</f>
        <v>private</v>
      </c>
      <c r="BQ2" s="284" t="str">
        <f>'SK-ratios'!BZ2</f>
        <v>state</v>
      </c>
      <c r="BR2" s="284" t="str">
        <f>'SK-ratios'!CA2</f>
        <v>private</v>
      </c>
      <c r="BS2" s="284" t="str">
        <f>'SK-ratios'!CB2</f>
        <v>private</v>
      </c>
      <c r="BT2" s="284" t="str">
        <f>'SK-ratios'!CC2</f>
        <v>private</v>
      </c>
      <c r="BU2" s="284" t="str">
        <f>'SK-ratios'!CD2</f>
        <v>state</v>
      </c>
      <c r="BV2" s="284" t="str">
        <f>'SK-ratios'!CE2</f>
        <v>state</v>
      </c>
      <c r="BW2" s="284" t="str">
        <f>'SK-ratios'!CF2</f>
        <v>state</v>
      </c>
      <c r="BX2" s="284" t="str">
        <f>'SK-ratios'!CG2</f>
        <v>private</v>
      </c>
      <c r="BY2" s="284" t="str">
        <f>'SK-ratios'!CH2</f>
        <v>state</v>
      </c>
      <c r="BZ2" s="284" t="str">
        <f>'SK-ratios'!CI2</f>
        <v>state</v>
      </c>
      <c r="CA2" s="284" t="str">
        <f>'SK-ratios'!CJ2</f>
        <v>private</v>
      </c>
      <c r="CB2" s="284" t="str">
        <f>'SK-ratios'!CK2</f>
        <v>state</v>
      </c>
      <c r="CC2" s="284" t="str">
        <f>'SK-ratios'!CL2</f>
        <v>state</v>
      </c>
      <c r="CD2" s="284" t="str">
        <f>'SK-ratios'!CM2</f>
        <v>state</v>
      </c>
      <c r="CE2" s="284" t="str">
        <f>'SK-ratios'!CN2</f>
        <v>state</v>
      </c>
      <c r="CF2" s="284" t="str">
        <f>'SK-ratios'!CO2</f>
        <v>state</v>
      </c>
      <c r="CG2" s="284" t="str">
        <f>'SK-ratios'!CP2</f>
        <v>state</v>
      </c>
      <c r="CH2" s="284" t="str">
        <f>'SK-ratios'!CQ2</f>
        <v>state</v>
      </c>
      <c r="CI2" s="284" t="str">
        <f>'SK-ratios'!CR2</f>
        <v>state</v>
      </c>
      <c r="CJ2" s="284" t="str">
        <f>'SK-ratios'!CS2</f>
        <v>state</v>
      </c>
      <c r="CK2" s="284" t="str">
        <f>'SK-ratios'!CT2</f>
        <v>state</v>
      </c>
      <c r="CL2" s="284" t="str">
        <f>'SK-ratios'!CU2</f>
        <v>private</v>
      </c>
      <c r="CM2" s="284" t="str">
        <f>'SK-ratios'!CV2</f>
        <v>state</v>
      </c>
      <c r="CN2" s="284" t="str">
        <f>'SK-ratios'!CW2</f>
        <v>state</v>
      </c>
      <c r="CO2" s="284" t="str">
        <f>'SK-ratios'!CX2</f>
        <v>state</v>
      </c>
      <c r="CP2" s="284" t="str">
        <f>'SK-ratios'!CY2</f>
        <v>private</v>
      </c>
      <c r="CQ2" s="284" t="str">
        <f>'SK-ratios'!CZ2</f>
        <v>state</v>
      </c>
      <c r="CR2" s="284" t="str">
        <f>'SK-ratios'!DA2</f>
        <v>state</v>
      </c>
      <c r="CS2" s="284" t="str">
        <f>'SK-ratios'!DB2</f>
        <v>state</v>
      </c>
      <c r="CT2" s="284" t="str">
        <f>'SK-ratios'!DC2</f>
        <v>state</v>
      </c>
      <c r="CU2" s="284" t="str">
        <f>'SK-ratios'!DD2</f>
        <v>state</v>
      </c>
      <c r="CV2" s="284" t="str">
        <f>'SK-ratios'!DE2</f>
        <v>state</v>
      </c>
      <c r="CW2" s="284" t="str">
        <f>'SK-ratios'!DF2</f>
        <v>state</v>
      </c>
      <c r="CX2" s="284" t="str">
        <f>'SK-ratios'!DG2</f>
        <v>state</v>
      </c>
      <c r="CY2" s="284" t="s">
        <v>400</v>
      </c>
      <c r="CZ2" s="584" t="s">
        <v>400</v>
      </c>
      <c r="DA2" s="284" t="s">
        <v>1483</v>
      </c>
      <c r="DB2" s="284" t="s">
        <v>1483</v>
      </c>
      <c r="DC2" s="284" t="s">
        <v>1483</v>
      </c>
      <c r="DD2" s="284" t="s">
        <v>1483</v>
      </c>
      <c r="DE2" s="284" t="s">
        <v>1483</v>
      </c>
      <c r="DF2" s="284" t="s">
        <v>1483</v>
      </c>
      <c r="DG2" s="284" t="s">
        <v>1485</v>
      </c>
      <c r="DH2" s="284" t="s">
        <v>1485</v>
      </c>
      <c r="DI2" s="284" t="s">
        <v>1485</v>
      </c>
      <c r="DJ2" s="284" t="s">
        <v>1485</v>
      </c>
      <c r="DK2" s="284" t="s">
        <v>1497</v>
      </c>
      <c r="DL2" s="284" t="s">
        <v>1497</v>
      </c>
      <c r="DM2" s="284" t="s">
        <v>1497</v>
      </c>
      <c r="DN2" s="284" t="s">
        <v>1483</v>
      </c>
      <c r="DO2" s="284" t="s">
        <v>1485</v>
      </c>
      <c r="DP2" s="284" t="s">
        <v>1497</v>
      </c>
    </row>
    <row r="3" spans="1:120" s="284" customFormat="1" ht="15.75" thickBot="1" x14ac:dyDescent="0.3">
      <c r="K3" s="238">
        <v>0</v>
      </c>
      <c r="L3" s="581">
        <v>2.5</v>
      </c>
      <c r="M3" s="238">
        <v>5</v>
      </c>
      <c r="N3" s="582">
        <v>7.5</v>
      </c>
      <c r="O3" s="308">
        <v>10</v>
      </c>
      <c r="P3" s="308"/>
      <c r="Q3" s="308"/>
      <c r="R3" s="308"/>
      <c r="S3" s="238"/>
      <c r="T3" s="238"/>
      <c r="U3" s="238"/>
      <c r="V3" s="254"/>
      <c r="W3" s="284" t="str">
        <f>'SK-ratios'!AF4</f>
        <v>other</v>
      </c>
      <c r="X3" s="284" t="str">
        <f>'SK-ratios'!AG4</f>
        <v>other</v>
      </c>
      <c r="Y3" s="284" t="str">
        <f>'SK-ratios'!AH4</f>
        <v>H</v>
      </c>
      <c r="Z3" s="284" t="str">
        <f>'SK-ratios'!AI4</f>
        <v>H</v>
      </c>
      <c r="AA3" s="284" t="str">
        <f>'SK-ratios'!AJ4</f>
        <v>other</v>
      </c>
      <c r="AB3" s="284" t="str">
        <f>'SK-ratios'!AK4</f>
        <v>other</v>
      </c>
      <c r="AC3" s="284" t="str">
        <f>'SK-ratios'!AL4</f>
        <v>Q</v>
      </c>
      <c r="AD3" s="284" t="str">
        <f>'SK-ratios'!AM4</f>
        <v>H</v>
      </c>
      <c r="AE3" s="284" t="str">
        <f>'SK-ratios'!AN4</f>
        <v>D</v>
      </c>
      <c r="AF3" s="284" t="str">
        <f>'SK-ratios'!AO4</f>
        <v>H</v>
      </c>
      <c r="AG3" s="284" t="str">
        <f>'SK-ratios'!AP4</f>
        <v>H</v>
      </c>
      <c r="AH3" s="284" t="str">
        <f>'SK-ratios'!AQ4</f>
        <v>other</v>
      </c>
      <c r="AI3" s="284" t="str">
        <f>'SK-ratios'!AR4</f>
        <v>other</v>
      </c>
      <c r="AJ3" s="284" t="str">
        <f>'SK-ratios'!AS4</f>
        <v>D</v>
      </c>
      <c r="AK3" s="284" t="str">
        <f>'SK-ratios'!AT4</f>
        <v>H</v>
      </c>
      <c r="AL3" s="284" t="str">
        <f>'SK-ratios'!AU4</f>
        <v>D</v>
      </c>
      <c r="AM3" s="284" t="str">
        <f>'SK-ratios'!AV4</f>
        <v>H</v>
      </c>
      <c r="AN3" s="284" t="str">
        <f>'SK-ratios'!AW4</f>
        <v>Q</v>
      </c>
      <c r="AO3" s="284" t="str">
        <f>'SK-ratios'!AX4</f>
        <v>M</v>
      </c>
      <c r="AP3" s="284" t="str">
        <f>'SK-ratios'!AY4</f>
        <v>D</v>
      </c>
      <c r="AQ3" s="284" t="str">
        <f>'SK-ratios'!AZ4</f>
        <v>other</v>
      </c>
      <c r="AR3" s="284" t="str">
        <f>'SK-ratios'!BA4</f>
        <v>A</v>
      </c>
      <c r="AS3" s="284" t="str">
        <f>'SK-ratios'!BB4</f>
        <v>A</v>
      </c>
      <c r="AT3" s="284" t="str">
        <f>'SK-ratios'!BC4</f>
        <v>Q</v>
      </c>
      <c r="AU3" s="284" t="str">
        <f>'SK-ratios'!BD4</f>
        <v>other</v>
      </c>
      <c r="AV3" s="284" t="str">
        <f>'SK-ratios'!BE4</f>
        <v>H</v>
      </c>
      <c r="AW3" s="284" t="str">
        <f>'SK-ratios'!BF4</f>
        <v>H</v>
      </c>
      <c r="AX3" s="284" t="str">
        <f>'SK-ratios'!BG4</f>
        <v>H</v>
      </c>
      <c r="AY3" s="284" t="str">
        <f>'SK-ratios'!BH4</f>
        <v>H</v>
      </c>
      <c r="AZ3" s="284" t="str">
        <f>'SK-ratios'!BI4</f>
        <v>H</v>
      </c>
      <c r="BA3" s="284" t="str">
        <f>'SK-ratios'!BJ4</f>
        <v>H</v>
      </c>
      <c r="BB3" s="284" t="str">
        <f>'SK-ratios'!BK4</f>
        <v>H</v>
      </c>
      <c r="BC3" s="284" t="str">
        <f>'SK-ratios'!BL4</f>
        <v>D</v>
      </c>
      <c r="BD3" s="284" t="str">
        <f>'SK-ratios'!BM4</f>
        <v>other</v>
      </c>
      <c r="BE3" s="284" t="str">
        <f>'SK-ratios'!BN4</f>
        <v>H</v>
      </c>
      <c r="BF3" s="284" t="str">
        <f>'SK-ratios'!BO4</f>
        <v>Q</v>
      </c>
      <c r="BG3" s="284" t="str">
        <f>'SK-ratios'!BP4</f>
        <v>Q</v>
      </c>
      <c r="BH3" s="284" t="str">
        <f>'SK-ratios'!BQ4</f>
        <v>Q</v>
      </c>
      <c r="BI3" s="284" t="str">
        <f>'SK-ratios'!BR4</f>
        <v>Q</v>
      </c>
      <c r="BJ3" s="284" t="str">
        <f>'SK-ratios'!BS4</f>
        <v>Q</v>
      </c>
      <c r="BK3" s="284" t="str">
        <f>'SK-ratios'!BT4</f>
        <v>Q</v>
      </c>
      <c r="BL3" s="284" t="str">
        <f>'SK-ratios'!BU4</f>
        <v>Q</v>
      </c>
      <c r="BM3" s="284" t="str">
        <f>'SK-ratios'!BV4</f>
        <v>A</v>
      </c>
      <c r="BN3" s="284" t="str">
        <f>'SK-ratios'!BW4</f>
        <v>other</v>
      </c>
      <c r="BO3" s="284" t="str">
        <f>'SK-ratios'!BX4</f>
        <v>D</v>
      </c>
      <c r="BP3" s="284" t="str">
        <f>'SK-ratios'!BY4</f>
        <v>H</v>
      </c>
      <c r="BQ3" s="284" t="str">
        <f>'SK-ratios'!BZ4</f>
        <v>other</v>
      </c>
      <c r="BR3" s="284" t="str">
        <f>'SK-ratios'!CA4</f>
        <v>H</v>
      </c>
      <c r="BS3" s="284" t="str">
        <f>'SK-ratios'!CB4</f>
        <v>H</v>
      </c>
      <c r="BT3" s="284" t="str">
        <f>'SK-ratios'!CC4</f>
        <v>H</v>
      </c>
      <c r="BU3" s="284" t="str">
        <f>'SK-ratios'!CD4</f>
        <v>D</v>
      </c>
      <c r="BV3" s="284" t="str">
        <f>'SK-ratios'!CE4</f>
        <v>other</v>
      </c>
      <c r="BW3" s="284" t="str">
        <f>'SK-ratios'!CF4</f>
        <v>H</v>
      </c>
      <c r="BX3" s="284" t="str">
        <f>'SK-ratios'!CG4</f>
        <v>D</v>
      </c>
      <c r="BY3" s="284" t="str">
        <f>'SK-ratios'!CH4</f>
        <v>D</v>
      </c>
      <c r="BZ3" s="284" t="str">
        <f>'SK-ratios'!CI4</f>
        <v>other</v>
      </c>
      <c r="CA3" s="284" t="str">
        <f>'SK-ratios'!CJ4</f>
        <v>D</v>
      </c>
      <c r="CB3" s="284" t="str">
        <f>'SK-ratios'!CK4</f>
        <v>Q</v>
      </c>
      <c r="CC3" s="284" t="str">
        <f>'SK-ratios'!CL4</f>
        <v>other</v>
      </c>
      <c r="CD3" s="284" t="str">
        <f>'SK-ratios'!CM4</f>
        <v>D</v>
      </c>
      <c r="CE3" s="284" t="str">
        <f>'SK-ratios'!CN4</f>
        <v>Q</v>
      </c>
      <c r="CF3" s="284" t="str">
        <f>'SK-ratios'!CO4</f>
        <v>Q</v>
      </c>
      <c r="CG3" s="284" t="str">
        <f>'SK-ratios'!CP4</f>
        <v>M</v>
      </c>
      <c r="CH3" s="284" t="str">
        <f>'SK-ratios'!CQ4</f>
        <v>other</v>
      </c>
      <c r="CI3" s="284" t="str">
        <f>'SK-ratios'!CR4</f>
        <v>M</v>
      </c>
      <c r="CJ3" s="284" t="str">
        <f>'SK-ratios'!CS4</f>
        <v>other</v>
      </c>
      <c r="CK3" s="284" t="str">
        <f>'SK-ratios'!CT4</f>
        <v>H</v>
      </c>
      <c r="CL3" s="284" t="str">
        <f>'SK-ratios'!CU4</f>
        <v>D</v>
      </c>
      <c r="CM3" s="284" t="str">
        <f>'SK-ratios'!CV4</f>
        <v>H</v>
      </c>
      <c r="CN3" s="284" t="str">
        <f>'SK-ratios'!CW4</f>
        <v>D</v>
      </c>
      <c r="CO3" s="284" t="str">
        <f>'SK-ratios'!CX4</f>
        <v>A</v>
      </c>
      <c r="CP3" s="284" t="str">
        <f>'SK-ratios'!CY4</f>
        <v>Q</v>
      </c>
      <c r="CQ3" s="284" t="str">
        <f>'SK-ratios'!CZ4</f>
        <v>M</v>
      </c>
      <c r="CR3" s="284" t="str">
        <f>'SK-ratios'!DA4</f>
        <v>Q</v>
      </c>
      <c r="CS3" s="284" t="str">
        <f>'SK-ratios'!DB4</f>
        <v>Q</v>
      </c>
      <c r="CT3" s="284" t="str">
        <f>'SK-ratios'!DC4</f>
        <v>M</v>
      </c>
      <c r="CU3" s="284" t="str">
        <f>'SK-ratios'!DD4</f>
        <v>other</v>
      </c>
      <c r="CV3" s="284" t="str">
        <f>'SK-ratios'!DE4</f>
        <v>H</v>
      </c>
      <c r="CW3" s="284" t="str">
        <f>'SK-ratios'!DF4</f>
        <v>H</v>
      </c>
      <c r="CX3" s="284" t="str">
        <f>'SK-ratios'!DG4</f>
        <v>H</v>
      </c>
      <c r="CZ3" s="584"/>
      <c r="DA3" s="284" t="s">
        <v>428</v>
      </c>
      <c r="DB3" s="284" t="s">
        <v>419</v>
      </c>
      <c r="DC3" s="284" t="s">
        <v>414</v>
      </c>
      <c r="DD3" s="284" t="s">
        <v>415</v>
      </c>
      <c r="DE3" s="284" t="s">
        <v>432</v>
      </c>
      <c r="DF3" s="284" t="s">
        <v>1484</v>
      </c>
      <c r="DG3" s="284" t="s">
        <v>419</v>
      </c>
      <c r="DH3" s="284" t="s">
        <v>414</v>
      </c>
      <c r="DI3" s="284" t="s">
        <v>415</v>
      </c>
      <c r="DJ3" s="284" t="s">
        <v>1484</v>
      </c>
      <c r="DK3" s="284" t="s">
        <v>419</v>
      </c>
      <c r="DL3" s="284" t="s">
        <v>414</v>
      </c>
      <c r="DM3" s="284" t="s">
        <v>415</v>
      </c>
      <c r="DN3" s="284" t="s">
        <v>1497</v>
      </c>
      <c r="DO3" s="284" t="s">
        <v>1497</v>
      </c>
    </row>
    <row r="4" spans="1:120" s="429" customFormat="1" ht="15.75" customHeight="1" thickBot="1" x14ac:dyDescent="0.3">
      <c r="A4" s="639">
        <f>'MD-ratings-year'!A4</f>
        <v>0.25</v>
      </c>
      <c r="B4" s="668" t="str">
        <f>'MD-ratings-year'!B4</f>
        <v>Liquidity</v>
      </c>
      <c r="C4" s="418">
        <f>'MD-ratings-year'!C4</f>
        <v>8.3333333333333329E-2</v>
      </c>
      <c r="D4" s="419" t="str">
        <f>'MD-ratings-year'!D4</f>
        <v>Current Ratio</v>
      </c>
      <c r="E4" s="420" t="str">
        <f>'MD-ratings-year'!E4</f>
        <v>Current Assets ÷ Current Liabilities</v>
      </c>
      <c r="F4" s="421" t="s">
        <v>400</v>
      </c>
      <c r="G4" s="653">
        <v>2015</v>
      </c>
      <c r="H4" s="259"/>
      <c r="I4" s="576">
        <f>'SK-ratios'!U7</f>
        <v>64.774094569508634</v>
      </c>
      <c r="J4" s="259"/>
      <c r="K4" s="260">
        <f>'MD-ratings-year'!P4</f>
        <v>0</v>
      </c>
      <c r="L4" s="567">
        <f>'MD-ratings-year'!Q4</f>
        <v>0.73879197877818914</v>
      </c>
      <c r="M4" s="567">
        <f>'MD-ratings-year'!R4</f>
        <v>1.6084478783348244</v>
      </c>
      <c r="N4" s="567">
        <f>'MD-ratings-year'!S4</f>
        <v>3.5018038252098243</v>
      </c>
      <c r="O4" s="260">
        <f>'MD-ratings-year'!T4</f>
        <v>12.785177209563054</v>
      </c>
      <c r="P4" s="260"/>
      <c r="Q4" s="260"/>
      <c r="R4" s="260"/>
      <c r="S4" s="259"/>
      <c r="T4" s="259"/>
      <c r="U4" s="259"/>
      <c r="V4" s="261"/>
      <c r="W4" s="454">
        <f>IF('SK-ratios'!AF7&gt;'SK-ratios'!$AC7,10,10*LOG(1+('SK-ratios'!$U7-1)*('SK-ratios'!AF7-'SK-ratios'!$Y7)/('SK-ratios'!$AC7-'SK-ratios'!$Y7))/LOG('SK-ratios'!$U7))</f>
        <v>9.5579334361456674</v>
      </c>
      <c r="X4" s="454">
        <f>IF('SK-ratios'!AG7&gt;'SK-ratios'!$AC7,10,10*LOG(1+('SK-ratios'!$U7-1)*('SK-ratios'!AG7-'SK-ratios'!$Y7)/('SK-ratios'!$AC7-'SK-ratios'!$Y7))/LOG('SK-ratios'!$U7))</f>
        <v>9.8093301569211349</v>
      </c>
      <c r="Y4" s="454">
        <f>IF('SK-ratios'!AH7&gt;'SK-ratios'!$AC7,10,10*LOG(1+('SK-ratios'!$U7-1)*('SK-ratios'!AH7-'SK-ratios'!$Y7)/('SK-ratios'!$AC7-'SK-ratios'!$Y7))/LOG('SK-ratios'!$U7))</f>
        <v>3.7827403774826656</v>
      </c>
      <c r="Z4" s="454">
        <f>IF('SK-ratios'!AI7&gt;'SK-ratios'!$AC7,10,10*LOG(1+('SK-ratios'!$U7-1)*('SK-ratios'!AI7-'SK-ratios'!$Y7)/('SK-ratios'!$AC7-'SK-ratios'!$Y7))/LOG('SK-ratios'!$U7))</f>
        <v>2.9309354065722664</v>
      </c>
      <c r="AA4" s="454">
        <f>IF('SK-ratios'!AJ7&gt;'SK-ratios'!$AC7,10,10*LOG(1+('SK-ratios'!$U7-1)*('SK-ratios'!AJ7-'SK-ratios'!$Y7)/('SK-ratios'!$AC7-'SK-ratios'!$Y7))/LOG('SK-ratios'!$U7))</f>
        <v>3.1686082102845159</v>
      </c>
      <c r="AB4" s="454">
        <f>IF('SK-ratios'!AK7&gt;'SK-ratios'!$AC7,10,10*LOG(1+('SK-ratios'!$U7-1)*('SK-ratios'!AK7-'SK-ratios'!$Y7)/('SK-ratios'!$AC7-'SK-ratios'!$Y7))/LOG('SK-ratios'!$U7))</f>
        <v>5.668655342973099</v>
      </c>
      <c r="AC4" s="454">
        <f>IF('SK-ratios'!AL7&gt;'SK-ratios'!$AC7,10,10*LOG(1+('SK-ratios'!$U7-1)*('SK-ratios'!AL7-'SK-ratios'!$Y7)/('SK-ratios'!$AC7-'SK-ratios'!$Y7))/LOG('SK-ratios'!$U7))</f>
        <v>5.7149977105717369</v>
      </c>
      <c r="AD4" s="454">
        <f>IF('SK-ratios'!AM7&gt;'SK-ratios'!$AC7,10,10*LOG(1+('SK-ratios'!$U7-1)*('SK-ratios'!AM7-'SK-ratios'!$Y7)/('SK-ratios'!$AC7-'SK-ratios'!$Y7))/LOG('SK-ratios'!$U7))</f>
        <v>6.1388382781430124</v>
      </c>
      <c r="AE4" s="454">
        <f>IF('SK-ratios'!AN7&gt;'SK-ratios'!$AC7,10,10*LOG(1+('SK-ratios'!$U7-1)*('SK-ratios'!AN7-'SK-ratios'!$Y7)/('SK-ratios'!$AC7-'SK-ratios'!$Y7))/LOG('SK-ratios'!$U7))</f>
        <v>5.0797751870175913</v>
      </c>
      <c r="AF4" s="454">
        <f>IF('SK-ratios'!AO7&gt;'SK-ratios'!$AC7,10,10*LOG(1+('SK-ratios'!$U7-1)*('SK-ratios'!AO7-'SK-ratios'!$Y7)/('SK-ratios'!$AC7-'SK-ratios'!$Y7))/LOG('SK-ratios'!$U7))</f>
        <v>4.5930252118378361</v>
      </c>
      <c r="AG4" s="454">
        <f>IF('SK-ratios'!AP7&gt;'SK-ratios'!$AC7,10,10*LOG(1+('SK-ratios'!$U7-1)*('SK-ratios'!AP7-'SK-ratios'!$Y7)/('SK-ratios'!$AC7-'SK-ratios'!$Y7))/LOG('SK-ratios'!$U7))</f>
        <v>6.0687036341501805</v>
      </c>
      <c r="AH4" s="454">
        <f>IF('SK-ratios'!AQ7&gt;'SK-ratios'!$AC7,10,10*LOG(1+('SK-ratios'!$U7-1)*('SK-ratios'!AQ7-'SK-ratios'!$Y7)/('SK-ratios'!$AC7-'SK-ratios'!$Y7))/LOG('SK-ratios'!$U7))</f>
        <v>9.5024502914596845</v>
      </c>
      <c r="AI4" s="454">
        <f>IF('SK-ratios'!AR7&gt;'SK-ratios'!$AC7,10,10*LOG(1+('SK-ratios'!$U7-1)*('SK-ratios'!AR7-'SK-ratios'!$Y7)/('SK-ratios'!$AC7-'SK-ratios'!$Y7))/LOG('SK-ratios'!$U7))</f>
        <v>4.7242296814015452</v>
      </c>
      <c r="AJ4" s="454">
        <f>IF('SK-ratios'!AS7&gt;'SK-ratios'!$AC7,10,10*LOG(1+('SK-ratios'!$U7-1)*('SK-ratios'!AS7-'SK-ratios'!$Y7)/('SK-ratios'!$AC7-'SK-ratios'!$Y7))/LOG('SK-ratios'!$U7))</f>
        <v>4.5114948755183759</v>
      </c>
      <c r="AK4" s="454">
        <f>IF('SK-ratios'!AT7&gt;'SK-ratios'!$AC7,10,10*LOG(1+('SK-ratios'!$U7-1)*('SK-ratios'!AT7-'SK-ratios'!$Y7)/('SK-ratios'!$AC7-'SK-ratios'!$Y7))/LOG('SK-ratios'!$U7))</f>
        <v>5.1220845112769382</v>
      </c>
      <c r="AL4" s="454">
        <f>IF('SK-ratios'!AU7&gt;'SK-ratios'!$AC7,10,10*LOG(1+('SK-ratios'!$U7-1)*('SK-ratios'!AU7-'SK-ratios'!$Y7)/('SK-ratios'!$AC7-'SK-ratios'!$Y7))/LOG('SK-ratios'!$U7))</f>
        <v>8.6107460024058966</v>
      </c>
      <c r="AM4" s="454">
        <f>IF('SK-ratios'!AV7&gt;'SK-ratios'!$AC7,10,10*LOG(1+('SK-ratios'!$U7-1)*('SK-ratios'!AV7-'SK-ratios'!$Y7)/('SK-ratios'!$AC7-'SK-ratios'!$Y7))/LOG('SK-ratios'!$U7))</f>
        <v>5.9984037013416218</v>
      </c>
      <c r="AN4" s="454">
        <f>IF('SK-ratios'!AW7&gt;'SK-ratios'!$AC7,10,10*LOG(1+('SK-ratios'!$U7-1)*('SK-ratios'!AW7-'SK-ratios'!$Y7)/('SK-ratios'!$AC7-'SK-ratios'!$Y7))/LOG('SK-ratios'!$U7))</f>
        <v>5.7430921875802357</v>
      </c>
      <c r="AO4" s="454">
        <f>IF('SK-ratios'!AX7&gt;'SK-ratios'!$AC7,10,10*LOG(1+('SK-ratios'!$U7-1)*('SK-ratios'!AX7-'SK-ratios'!$Y7)/('SK-ratios'!$AC7-'SK-ratios'!$Y7))/LOG('SK-ratios'!$U7))</f>
        <v>6.7988912732232469</v>
      </c>
      <c r="AP4" s="454">
        <f>IF('SK-ratios'!AY7&gt;'SK-ratios'!$AC7,10,10*LOG(1+('SK-ratios'!$U7-1)*('SK-ratios'!AY7-'SK-ratios'!$Y7)/('SK-ratios'!$AC7-'SK-ratios'!$Y7))/LOG('SK-ratios'!$U7))</f>
        <v>4.484174485454985</v>
      </c>
      <c r="AQ4" s="454">
        <f>IF('SK-ratios'!AZ7&gt;'SK-ratios'!$AC7,10,10*LOG(1+('SK-ratios'!$U7-1)*('SK-ratios'!AZ7-'SK-ratios'!$Y7)/('SK-ratios'!$AC7-'SK-ratios'!$Y7))/LOG('SK-ratios'!$U7))</f>
        <v>10</v>
      </c>
      <c r="AR4" s="454">
        <f>IF('SK-ratios'!BA7&gt;'SK-ratios'!$AC7,10,10*LOG(1+('SK-ratios'!$U7-1)*('SK-ratios'!BA7-'SK-ratios'!$Y7)/('SK-ratios'!$AC7-'SK-ratios'!$Y7))/LOG('SK-ratios'!$U7))</f>
        <v>7.9878059219276372</v>
      </c>
      <c r="AS4" s="454">
        <f>IF('SK-ratios'!BB7&gt;'SK-ratios'!$AC7,10,10*LOG(1+('SK-ratios'!$U7-1)*('SK-ratios'!BB7-'SK-ratios'!$Y7)/('SK-ratios'!$AC7-'SK-ratios'!$Y7))/LOG('SK-ratios'!$U7))</f>
        <v>6.7766091412784517</v>
      </c>
      <c r="AT4" s="454">
        <f>IF('SK-ratios'!BC7&gt;'SK-ratios'!$AC7,10,10*LOG(1+('SK-ratios'!$U7-1)*('SK-ratios'!BC7-'SK-ratios'!$Y7)/('SK-ratios'!$AC7-'SK-ratios'!$Y7))/LOG('SK-ratios'!$U7))</f>
        <v>4.5487626097248937</v>
      </c>
      <c r="AU4" s="454">
        <f>IF('SK-ratios'!BD7&gt;'SK-ratios'!$AC7,10,10*LOG(1+('SK-ratios'!$U7-1)*('SK-ratios'!BD7-'SK-ratios'!$Y7)/('SK-ratios'!$AC7-'SK-ratios'!$Y7))/LOG('SK-ratios'!$U7))</f>
        <v>3.9513375039120522</v>
      </c>
      <c r="AV4" s="454">
        <f>IF('SK-ratios'!BE7&gt;'SK-ratios'!$AC7,10,10*LOG(1+('SK-ratios'!$U7-1)*('SK-ratios'!BE7-'SK-ratios'!$Y7)/('SK-ratios'!$AC7-'SK-ratios'!$Y7))/LOG('SK-ratios'!$U7))</f>
        <v>10</v>
      </c>
      <c r="AW4" s="454">
        <f>IF('SK-ratios'!BF7&gt;'SK-ratios'!$AC7,10,10*LOG(1+('SK-ratios'!$U7-1)*('SK-ratios'!BF7-'SK-ratios'!$Y7)/('SK-ratios'!$AC7-'SK-ratios'!$Y7))/LOG('SK-ratios'!$U7))</f>
        <v>6.9158177192303247</v>
      </c>
      <c r="AX4" s="454">
        <f>IF('SK-ratios'!BG7&gt;'SK-ratios'!$AC7,10,10*LOG(1+('SK-ratios'!$U7-1)*('SK-ratios'!BG7-'SK-ratios'!$Y7)/('SK-ratios'!$AC7-'SK-ratios'!$Y7))/LOG('SK-ratios'!$U7))</f>
        <v>3.5739234845879086</v>
      </c>
      <c r="AY4" s="454">
        <f>IF('SK-ratios'!BH7&gt;'SK-ratios'!$AC7,10,10*LOG(1+('SK-ratios'!$U7-1)*('SK-ratios'!BH7-'SK-ratios'!$Y7)/('SK-ratios'!$AC7-'SK-ratios'!$Y7))/LOG('SK-ratios'!$U7))</f>
        <v>8.980093522436432</v>
      </c>
      <c r="AZ4" s="454">
        <f>IF('SK-ratios'!BI7&gt;'SK-ratios'!$AC7,10,10*LOG(1+('SK-ratios'!$U7-1)*('SK-ratios'!BI7-'SK-ratios'!$Y7)/('SK-ratios'!$AC7-'SK-ratios'!$Y7))/LOG('SK-ratios'!$U7))</f>
        <v>6.8677301843826095</v>
      </c>
      <c r="BA4" s="454">
        <f>IF('SK-ratios'!BJ7&gt;'SK-ratios'!$AC7,10,10*LOG(1+('SK-ratios'!$U7-1)*('SK-ratios'!BJ7-'SK-ratios'!$Y7)/('SK-ratios'!$AC7-'SK-ratios'!$Y7))/LOG('SK-ratios'!$U7))</f>
        <v>1.6687303177437516</v>
      </c>
      <c r="BB4" s="454">
        <f>IF('SK-ratios'!BK7&gt;'SK-ratios'!$AC7,10,10*LOG(1+('SK-ratios'!$U7-1)*('SK-ratios'!BK7-'SK-ratios'!$Y7)/('SK-ratios'!$AC7-'SK-ratios'!$Y7))/LOG('SK-ratios'!$U7))</f>
        <v>7.5319888279645664</v>
      </c>
      <c r="BC4" s="454">
        <f>IF('SK-ratios'!BL7&gt;'SK-ratios'!$AC7,10,10*LOG(1+('SK-ratios'!$U7-1)*('SK-ratios'!BL7-'SK-ratios'!$Y7)/('SK-ratios'!$AC7-'SK-ratios'!$Y7))/LOG('SK-ratios'!$U7))</f>
        <v>5.2687135687782298</v>
      </c>
      <c r="BD4" s="454">
        <f>IF('SK-ratios'!BM7&gt;'SK-ratios'!$AC7,10,10*LOG(1+('SK-ratios'!$U7-1)*('SK-ratios'!BM7-'SK-ratios'!$Y7)/('SK-ratios'!$AC7-'SK-ratios'!$Y7))/LOG('SK-ratios'!$U7))</f>
        <v>7.4302903191706502</v>
      </c>
      <c r="BE4" s="454">
        <f>IF('SK-ratios'!BN7&gt;'SK-ratios'!$AC7,10,10*LOG(1+('SK-ratios'!$U7-1)*('SK-ratios'!BN7-'SK-ratios'!$Y7)/('SK-ratios'!$AC7-'SK-ratios'!$Y7))/LOG('SK-ratios'!$U7))</f>
        <v>2.7563040261550169</v>
      </c>
      <c r="BF4" s="454">
        <f>IF('SK-ratios'!BO7&gt;'SK-ratios'!$AC7,10,10*LOG(1+('SK-ratios'!$U7-1)*('SK-ratios'!BO7-'SK-ratios'!$Y7)/('SK-ratios'!$AC7-'SK-ratios'!$Y7))/LOG('SK-ratios'!$U7))</f>
        <v>7.8342305143056929</v>
      </c>
      <c r="BG4" s="454">
        <f>IF('SK-ratios'!BP7&gt;'SK-ratios'!$AC7,10,10*LOG(1+('SK-ratios'!$U7-1)*('SK-ratios'!BP7-'SK-ratios'!$Y7)/('SK-ratios'!$AC7-'SK-ratios'!$Y7))/LOG('SK-ratios'!$U7))</f>
        <v>6.0799720065919658</v>
      </c>
      <c r="BH4" s="454">
        <f>IF('SK-ratios'!BQ7&gt;'SK-ratios'!$AC7,10,10*LOG(1+('SK-ratios'!$U7-1)*('SK-ratios'!BQ7-'SK-ratios'!$Y7)/('SK-ratios'!$AC7-'SK-ratios'!$Y7))/LOG('SK-ratios'!$U7))</f>
        <v>5.3719941923560608</v>
      </c>
      <c r="BI4" s="454">
        <f>IF('SK-ratios'!BR7&gt;'SK-ratios'!$AC7,10,10*LOG(1+('SK-ratios'!$U7-1)*('SK-ratios'!BR7-'SK-ratios'!$Y7)/('SK-ratios'!$AC7-'SK-ratios'!$Y7))/LOG('SK-ratios'!$U7))</f>
        <v>4.0226113747573455</v>
      </c>
      <c r="BJ4" s="454">
        <f>IF('SK-ratios'!BS7&gt;'SK-ratios'!$AC7,10,10*LOG(1+('SK-ratios'!$U7-1)*('SK-ratios'!BS7-'SK-ratios'!$Y7)/('SK-ratios'!$AC7-'SK-ratios'!$Y7))/LOG('SK-ratios'!$U7))</f>
        <v>4.8443801824409229</v>
      </c>
      <c r="BK4" s="454">
        <f>IF('SK-ratios'!BT7&gt;'SK-ratios'!$AC7,10,10*LOG(1+('SK-ratios'!$U7-1)*('SK-ratios'!BT7-'SK-ratios'!$Y7)/('SK-ratios'!$AC7-'SK-ratios'!$Y7))/LOG('SK-ratios'!$U7))</f>
        <v>5.7594671979908449</v>
      </c>
      <c r="BL4" s="454">
        <f>IF('SK-ratios'!BU7&gt;'SK-ratios'!$AC7,10,10*LOG(1+('SK-ratios'!$U7-1)*('SK-ratios'!BU7-'SK-ratios'!$Y7)/('SK-ratios'!$AC7-'SK-ratios'!$Y7))/LOG('SK-ratios'!$U7))</f>
        <v>3.4181771057220405</v>
      </c>
      <c r="BM4" s="454">
        <f>IF('SK-ratios'!BV7&gt;'SK-ratios'!$AC7,10,10*LOG(1+('SK-ratios'!$U7-1)*('SK-ratios'!BV7-'SK-ratios'!$Y7)/('SK-ratios'!$AC7-'SK-ratios'!$Y7))/LOG('SK-ratios'!$U7))</f>
        <v>8.4272885282487557</v>
      </c>
      <c r="BN4" s="454">
        <f>IF('SK-ratios'!BW7&gt;'SK-ratios'!$AC7,10,10*LOG(1+('SK-ratios'!$U7-1)*('SK-ratios'!BW7-'SK-ratios'!$Y7)/('SK-ratios'!$AC7-'SK-ratios'!$Y7))/LOG('SK-ratios'!$U7))</f>
        <v>6.6030300089175844</v>
      </c>
      <c r="BO4" s="454">
        <f>IF('SK-ratios'!BX7&gt;'SK-ratios'!$AC7,10,10*LOG(1+('SK-ratios'!$U7-1)*('SK-ratios'!BX7-'SK-ratios'!$Y7)/('SK-ratios'!$AC7-'SK-ratios'!$Y7))/LOG('SK-ratios'!$U7))</f>
        <v>5.0751058166194358</v>
      </c>
      <c r="BP4" s="454">
        <f>IF('SK-ratios'!BY7&gt;'SK-ratios'!$AC7,10,10*LOG(1+('SK-ratios'!$U7-1)*('SK-ratios'!BY7-'SK-ratios'!$Y7)/('SK-ratios'!$AC7-'SK-ratios'!$Y7))/LOG('SK-ratios'!$U7))</f>
        <v>4.3319127685276451</v>
      </c>
      <c r="BQ4" s="454">
        <f>IF('SK-ratios'!BZ7&gt;'SK-ratios'!$AC7,10,10*LOG(1+('SK-ratios'!$U7-1)*('SK-ratios'!BZ7-'SK-ratios'!$Y7)/('SK-ratios'!$AC7-'SK-ratios'!$Y7))/LOG('SK-ratios'!$U7))</f>
        <v>8.9998953704061879</v>
      </c>
      <c r="BR4" s="454">
        <f>IF('SK-ratios'!CA7&gt;'SK-ratios'!$AC7,10,10*LOG(1+('SK-ratios'!$U7-1)*('SK-ratios'!CA7-'SK-ratios'!$Y7)/('SK-ratios'!$AC7-'SK-ratios'!$Y7))/LOG('SK-ratios'!$U7))</f>
        <v>4.7447758170813268</v>
      </c>
      <c r="BS4" s="454">
        <f>IF('SK-ratios'!CB7&gt;'SK-ratios'!$AC7,10,10*LOG(1+('SK-ratios'!$U7-1)*('SK-ratios'!CB7-'SK-ratios'!$Y7)/('SK-ratios'!$AC7-'SK-ratios'!$Y7))/LOG('SK-ratios'!$U7))</f>
        <v>5.0476219288868212</v>
      </c>
      <c r="BT4" s="454">
        <f>IF('SK-ratios'!CC7&gt;'SK-ratios'!$AC7,10,10*LOG(1+('SK-ratios'!$U7-1)*('SK-ratios'!CC7-'SK-ratios'!$Y7)/('SK-ratios'!$AC7-'SK-ratios'!$Y7))/LOG('SK-ratios'!$U7))</f>
        <v>2.9962493914445996</v>
      </c>
      <c r="BU4" s="454">
        <f>IF('SK-ratios'!CD7&gt;'SK-ratios'!$AC7,10,10*LOG(1+('SK-ratios'!$U7-1)*('SK-ratios'!CD7-'SK-ratios'!$Y7)/('SK-ratios'!$AC7-'SK-ratios'!$Y7))/LOG('SK-ratios'!$U7))</f>
        <v>5.3613022029427677</v>
      </c>
      <c r="BV4" s="454">
        <f>IF('SK-ratios'!CE7&gt;'SK-ratios'!$AC7,10,10*LOG(1+('SK-ratios'!$U7-1)*('SK-ratios'!CE7-'SK-ratios'!$Y7)/('SK-ratios'!$AC7-'SK-ratios'!$Y7))/LOG('SK-ratios'!$U7))</f>
        <v>10</v>
      </c>
      <c r="BW4" s="454">
        <f>IF('SK-ratios'!CF7&gt;'SK-ratios'!$AC7,10,10*LOG(1+('SK-ratios'!$U7-1)*('SK-ratios'!CF7-'SK-ratios'!$Y7)/('SK-ratios'!$AC7-'SK-ratios'!$Y7))/LOG('SK-ratios'!$U7))</f>
        <v>4.6049494353480522</v>
      </c>
      <c r="BX4" s="454">
        <f>IF('SK-ratios'!CG7&gt;'SK-ratios'!$AC7,10,10*LOG(1+('SK-ratios'!$U7-1)*('SK-ratios'!CG7-'SK-ratios'!$Y7)/('SK-ratios'!$AC7-'SK-ratios'!$Y7))/LOG('SK-ratios'!$U7))</f>
        <v>4.5765280520483502</v>
      </c>
      <c r="BY4" s="454">
        <f>IF('SK-ratios'!CH7&gt;'SK-ratios'!$AC7,10,10*LOG(1+('SK-ratios'!$U7-1)*('SK-ratios'!CH7-'SK-ratios'!$Y7)/('SK-ratios'!$AC7-'SK-ratios'!$Y7))/LOG('SK-ratios'!$U7))</f>
        <v>6.7965223320774957</v>
      </c>
      <c r="BZ4" s="454">
        <f>IF('SK-ratios'!CI7&gt;'SK-ratios'!$AC7,10,10*LOG(1+('SK-ratios'!$U7-1)*('SK-ratios'!CI7-'SK-ratios'!$Y7)/('SK-ratios'!$AC7-'SK-ratios'!$Y7))/LOG('SK-ratios'!$U7))</f>
        <v>6.2220094320994717</v>
      </c>
      <c r="CA4" s="454">
        <f>IF('SK-ratios'!CJ7&gt;'SK-ratios'!$AC7,10,10*LOG(1+('SK-ratios'!$U7-1)*('SK-ratios'!CJ7-'SK-ratios'!$Y7)/('SK-ratios'!$AC7-'SK-ratios'!$Y7))/LOG('SK-ratios'!$U7))</f>
        <v>4.2401874963179633</v>
      </c>
      <c r="CB4" s="454">
        <f>IF('SK-ratios'!CK7&gt;'SK-ratios'!$AC7,10,10*LOG(1+('SK-ratios'!$U7-1)*('SK-ratios'!CK7-'SK-ratios'!$Y7)/('SK-ratios'!$AC7-'SK-ratios'!$Y7))/LOG('SK-ratios'!$U7))</f>
        <v>10</v>
      </c>
      <c r="CC4" s="454">
        <f>IF('SK-ratios'!CL7&gt;'SK-ratios'!$AC7,10,10*LOG(1+('SK-ratios'!$U7-1)*('SK-ratios'!CL7-'SK-ratios'!$Y7)/('SK-ratios'!$AC7-'SK-ratios'!$Y7))/LOG('SK-ratios'!$U7))</f>
        <v>8.6385784467761901</v>
      </c>
      <c r="CD4" s="454">
        <f>IF('SK-ratios'!CM7&gt;'SK-ratios'!$AC7,10,10*LOG(1+('SK-ratios'!$U7-1)*('SK-ratios'!CM7-'SK-ratios'!$Y7)/('SK-ratios'!$AC7-'SK-ratios'!$Y7))/LOG('SK-ratios'!$U7))</f>
        <v>4.2391948394182855</v>
      </c>
      <c r="CE4" s="454">
        <f>IF('SK-ratios'!CN7&gt;'SK-ratios'!$AC7,10,10*LOG(1+('SK-ratios'!$U7-1)*('SK-ratios'!CN7-'SK-ratios'!$Y7)/('SK-ratios'!$AC7-'SK-ratios'!$Y7))/LOG('SK-ratios'!$U7))</f>
        <v>6.0369781677142376</v>
      </c>
      <c r="CF4" s="454">
        <f>IF('SK-ratios'!CO7&gt;'SK-ratios'!$AC7,10,10*LOG(1+('SK-ratios'!$U7-1)*('SK-ratios'!CO7-'SK-ratios'!$Y7)/('SK-ratios'!$AC7-'SK-ratios'!$Y7))/LOG('SK-ratios'!$U7))</f>
        <v>8.9870389964683532</v>
      </c>
      <c r="CG4" s="454">
        <f>IF('SK-ratios'!CP7&gt;'SK-ratios'!$AC7,10,10*LOG(1+('SK-ratios'!$U7-1)*('SK-ratios'!CP7-'SK-ratios'!$Y7)/('SK-ratios'!$AC7-'SK-ratios'!$Y7))/LOG('SK-ratios'!$U7))</f>
        <v>7.3480085033983844</v>
      </c>
      <c r="CH4" s="454">
        <f>IF('SK-ratios'!CQ7&gt;'SK-ratios'!$AC7,10,10*LOG(1+('SK-ratios'!$U7-1)*('SK-ratios'!CQ7-'SK-ratios'!$Y7)/('SK-ratios'!$AC7-'SK-ratios'!$Y7))/LOG('SK-ratios'!$U7))</f>
        <v>5.7116133168682399</v>
      </c>
      <c r="CI4" s="454">
        <f>IF('SK-ratios'!CR7&gt;'SK-ratios'!$AC7,10,10*LOG(1+('SK-ratios'!$U7-1)*('SK-ratios'!CR7-'SK-ratios'!$Y7)/('SK-ratios'!$AC7-'SK-ratios'!$Y7))/LOG('SK-ratios'!$U7))</f>
        <v>6.5669352443159621</v>
      </c>
      <c r="CJ4" s="454">
        <f>IF('SK-ratios'!CS7&gt;'SK-ratios'!$AC7,10,10*LOG(1+('SK-ratios'!$U7-1)*('SK-ratios'!CS7-'SK-ratios'!$Y7)/('SK-ratios'!$AC7-'SK-ratios'!$Y7))/LOG('SK-ratios'!$U7))</f>
        <v>7.092214157682025</v>
      </c>
      <c r="CK4" s="454">
        <f>IF('SK-ratios'!CT7&gt;'SK-ratios'!$AC7,10,10*LOG(1+('SK-ratios'!$U7-1)*('SK-ratios'!CT7-'SK-ratios'!$Y7)/('SK-ratios'!$AC7-'SK-ratios'!$Y7))/LOG('SK-ratios'!$U7))</f>
        <v>5.7769443548060808</v>
      </c>
      <c r="CL4" s="454">
        <f>IF('SK-ratios'!CU7&gt;'SK-ratios'!$AC7,10,10*LOG(1+('SK-ratios'!$U7-1)*('SK-ratios'!CU7-'SK-ratios'!$Y7)/('SK-ratios'!$AC7-'SK-ratios'!$Y7))/LOG('SK-ratios'!$U7))</f>
        <v>5.3807522507181336</v>
      </c>
      <c r="CM4" s="454">
        <f>IF('SK-ratios'!CV7&gt;'SK-ratios'!$AC7,10,10*LOG(1+('SK-ratios'!$U7-1)*('SK-ratios'!CV7-'SK-ratios'!$Y7)/('SK-ratios'!$AC7-'SK-ratios'!$Y7))/LOG('SK-ratios'!$U7))</f>
        <v>9.5820423847773828</v>
      </c>
      <c r="CN4" s="454">
        <f>IF('SK-ratios'!CW7&gt;'SK-ratios'!$AC7,10,10*LOG(1+('SK-ratios'!$U7-1)*('SK-ratios'!CW7-'SK-ratios'!$Y7)/('SK-ratios'!$AC7-'SK-ratios'!$Y7))/LOG('SK-ratios'!$U7))</f>
        <v>5.0448593555747356</v>
      </c>
      <c r="CO4" s="454">
        <f>IF('SK-ratios'!CX7&gt;'SK-ratios'!$AC7,10,10*LOG(1+('SK-ratios'!$U7-1)*('SK-ratios'!CX7-'SK-ratios'!$Y7)/('SK-ratios'!$AC7-'SK-ratios'!$Y7))/LOG('SK-ratios'!$U7))</f>
        <v>4.6933086499971584</v>
      </c>
      <c r="CP4" s="454">
        <f>IF('SK-ratios'!CY7&gt;'SK-ratios'!$AC7,10,10*LOG(1+('SK-ratios'!$U7-1)*('SK-ratios'!CY7-'SK-ratios'!$Y7)/('SK-ratios'!$AC7-'SK-ratios'!$Y7))/LOG('SK-ratios'!$U7))</f>
        <v>4.4453851958736887</v>
      </c>
      <c r="CQ4" s="454">
        <f>IF('SK-ratios'!CZ7&gt;'SK-ratios'!$AC7,10,10*LOG(1+('SK-ratios'!$U7-1)*('SK-ratios'!CZ7-'SK-ratios'!$Y7)/('SK-ratios'!$AC7-'SK-ratios'!$Y7))/LOG('SK-ratios'!$U7))</f>
        <v>0.73996904291598375</v>
      </c>
      <c r="CR4" s="454">
        <f>IF('SK-ratios'!DA7&gt;'SK-ratios'!$AC7,10,10*LOG(1+('SK-ratios'!$U7-1)*('SK-ratios'!DA7-'SK-ratios'!$Y7)/('SK-ratios'!$AC7-'SK-ratios'!$Y7))/LOG('SK-ratios'!$U7))</f>
        <v>8.6624346183680867</v>
      </c>
      <c r="CS4" s="454">
        <f>IF('SK-ratios'!DB7&gt;'SK-ratios'!$AC7,10,10*LOG(1+('SK-ratios'!$U7-1)*('SK-ratios'!DB7-'SK-ratios'!$Y7)/('SK-ratios'!$AC7-'SK-ratios'!$Y7))/LOG('SK-ratios'!$U7))</f>
        <v>6.1012220141565896</v>
      </c>
      <c r="CT4" s="454">
        <f>IF('SK-ratios'!DC7&gt;'SK-ratios'!$AC7,10,10*LOG(1+('SK-ratios'!$U7-1)*('SK-ratios'!DC7-'SK-ratios'!$Y7)/('SK-ratios'!$AC7-'SK-ratios'!$Y7))/LOG('SK-ratios'!$U7))</f>
        <v>4.5639129448872797</v>
      </c>
      <c r="CU4" s="454">
        <f>IF('SK-ratios'!DD7&gt;'SK-ratios'!$AC7,10,10*LOG(1+('SK-ratios'!$U7-1)*('SK-ratios'!DD7-'SK-ratios'!$Y7)/('SK-ratios'!$AC7-'SK-ratios'!$Y7))/LOG('SK-ratios'!$U7))</f>
        <v>5.1248139037981257</v>
      </c>
      <c r="CV4" s="454">
        <f>IF('SK-ratios'!DE7&gt;'SK-ratios'!$AC7,10,10*LOG(1+('SK-ratios'!$U7-1)*('SK-ratios'!DE7-'SK-ratios'!$Y7)/('SK-ratios'!$AC7-'SK-ratios'!$Y7))/LOG('SK-ratios'!$U7))</f>
        <v>4.4833346308455733</v>
      </c>
      <c r="CW4" s="454">
        <f>IF('SK-ratios'!DF7&gt;'SK-ratios'!$AC7,10,10*LOG(1+('SK-ratios'!$U7-1)*('SK-ratios'!DF7-'SK-ratios'!$Y7)/('SK-ratios'!$AC7-'SK-ratios'!$Y7))/LOG('SK-ratios'!$U7))</f>
        <v>3.6093239495975382</v>
      </c>
      <c r="CX4" s="454">
        <f>IF('SK-ratios'!DG7&gt;'SK-ratios'!$AC7,10,10*LOG(1+('SK-ratios'!$U7-1)*('SK-ratios'!DG7-'SK-ratios'!$Y7)/('SK-ratios'!$AC7-'SK-ratios'!$Y7))/LOG('SK-ratios'!$U7))</f>
        <v>3.876942769564081</v>
      </c>
      <c r="CZ4" s="558"/>
      <c r="DA4" s="454">
        <f t="array" ref="DA4">SUMPRODUCT(IF(($W$3:$CX$3=DA$3)*($W$2:$CX$2=DA$2),$W4:$CX4),IF(($W$3:$CX$3=DA$3)*($W$2:$CX$2=DA$2),$W$19:$CX$19))/SUM(IF(($W$3:$CX$3=DA$3)*($W$2:$CX$2=DA$2),$W$19:$CX$19))</f>
        <v>6.8725876926095264</v>
      </c>
      <c r="DB4" s="454">
        <f t="array" ref="DB4">SUMPRODUCT(IF(($W$3:$CX$3=DB$3)*($W$2:$CX$2=DB$2),$W4:$CX4),IF(($W$3:$CX$3=DB$3)*($W$2:$CX$2=DB$2),$W$19:$CX$19))/SUM(IF(($W$3:$CX$3=DB$3)*($W$2:$CX$2=DB$2),$W$19:$CX$19))</f>
        <v>6.2047636673925268</v>
      </c>
      <c r="DC4" s="454">
        <f t="array" ref="DC4">SUMPRODUCT(IF(($W$3:$CX$3=DC$3)*($W$2:$CX$2=DC$2),$W4:$CX4),IF(($W$3:$CX$3=DC$3)*($W$2:$CX$2=DC$2),$W$19:$CX$19))/SUM(IF(($W$3:$CX$3=DC$3)*($W$2:$CX$2=DC$2),$W$19:$CX$19))</f>
        <v>4.8088038458712763</v>
      </c>
      <c r="DD4" s="454">
        <f t="array" ref="DD4">SUMPRODUCT(IF(($W$3:$CX$3=DD$3)*($W$2:$CX$2=DD$2),$W4:$CX4),IF(($W$3:$CX$3=DD$3)*($W$2:$CX$2=DD$2),$W$19:$CX$19))/SUM(IF(($W$3:$CX$3=DD$3)*($W$2:$CX$2=DD$2),$W$19:$CX$19))</f>
        <v>6.6981269126098066</v>
      </c>
      <c r="DE4" s="454">
        <f t="array" ref="DE4">SUMPRODUCT(IF(($W$3:$CX$3=DE$3)*($W$2:$CX$2=DE$2),$W4:$CX4),IF(($W$3:$CX$3=DE$3)*($W$2:$CX$2=DE$2),$W$19:$CX$19))/SUM(IF(($W$3:$CX$3=DE$3)*($W$2:$CX$2=DE$2),$W$19:$CX$19))</f>
        <v>4.4376433548295617</v>
      </c>
      <c r="DF4" s="454">
        <f t="array" ref="DF4">SUMPRODUCT(IF(($W$3:$CX$3=DF$3)*($W$2:$CX$2=DF$2),$W4:$CX4),IF(($W$3:$CX$3=DF$3)*($W$2:$CX$2=DF$2),$W$19:$CX$19))/SUM(IF(($W$3:$CX$3=DF$3)*($W$2:$CX$2=DF$2),$W$19:$CX$19))</f>
        <v>7.4859357399048401</v>
      </c>
      <c r="DG4" s="454">
        <f t="array" ref="DG4">SUMPRODUCT(IF(($W$3:$CX$3=DG$3)*($W$2:$CX$2=DG$2),$W4:$CX4),IF(($W$3:$CX$3=DG$3)*($W$2:$CX$2=DG$2),$W$19:$CX$19))/SUM(IF(($W$3:$CX$3=DG$3)*($W$2:$CX$2=DG$2),$W$19:$CX$19))</f>
        <v>4.7724651058136152</v>
      </c>
      <c r="DH4" s="454">
        <f t="array" ref="DH4">SUMPRODUCT(IF(($W$3:$CX$3=DH$3)*($W$2:$CX$2=DH$2),$W4:$CX4),IF(($W$3:$CX$3=DH$3)*($W$2:$CX$2=DH$2),$W$19:$CX$19))/SUM(IF(($W$3:$CX$3=DH$3)*($W$2:$CX$2=DH$2),$W$19:$CX$19))</f>
        <v>5.0299534940717141</v>
      </c>
      <c r="DI4" s="454">
        <f t="array" ref="DI4">SUMPRODUCT(IF(($W$3:$CX$3=DI$3)*($W$2:$CX$2=DI$2),$W4:$CX4),IF(($W$3:$CX$3=DI$3)*($W$2:$CX$2=DI$2),$W$19:$CX$19))/SUM(IF(($W$3:$CX$3=DI$3)*($W$2:$CX$2=DI$2),$W$19:$CX$19))</f>
        <v>4.6428980937802455</v>
      </c>
      <c r="DJ4" s="454">
        <f t="array" ref="DJ4">SUMPRODUCT(IF(($W$3:$CX$3=DJ$3)*($W$2:$CX$2=DJ$2),$W4:$CX4),IF(($W$3:$CX$3=DJ$3)*($W$2:$CX$2=DJ$2),$W$19:$CX$19))/SUM(IF(($W$3:$CX$3=DJ$3)*($W$2:$CX$2=DJ$2),$W$19:$CX$19))</f>
        <v>4.1329584824268704</v>
      </c>
      <c r="DK4" s="454">
        <f t="array" ref="DK4">SUMPRODUCT(IF(($W$3:$CX$3=DK$3)*1,$W4:$CX4),IF(($W$3:$CX$3=DK$3)*1,$W$19:$CX$19))/SUM(IF(($W$3:$CX$3=DK$3)*1,$W$19:$CX$19))</f>
        <v>5.424253753783602</v>
      </c>
      <c r="DL4" s="454">
        <f t="array" ref="DL4">SUMPRODUCT(IF(($W$3:$CX$3=DL$3)*1,$W4:$CX4),IF(($W$3:$CX$3=DL$3)*1,$W$19:$CX$19))/SUM(IF(($W$3:$CX$3=DL$3)*1,$W$19:$CX$19))</f>
        <v>4.9076979108385972</v>
      </c>
      <c r="DM4" s="454">
        <f t="array" ref="DM4">SUMPRODUCT(IF(($W$3:$CX$3=DM$3)*1,$W4:$CX4),IF(($W$3:$CX$3=DM$3)*1,$W$19:$CX$19))/SUM(IF(($W$3:$CX$3=DM$3)*1,$W$19:$CX$19))</f>
        <v>6.0474050048544896</v>
      </c>
      <c r="DN4" s="454">
        <f t="array" ref="DN4">SUMPRODUCT(IF(1*($W$2:$CX$2=DN$2),$W4:$CX4),IF(1*($W$2:$CX$2=DN$2),$W$19:$CX$19))/SUM(IF(1*($W$2:$CX$2=DN$2),$W$19:$CX$19))</f>
        <v>6.1066868815573851</v>
      </c>
      <c r="DO4" s="454">
        <f t="array" ref="DO4">SUMPRODUCT(IF(1*($W$2:$CX$2=DO$2),$W4:$CX4),IF(1*($W$2:$CX$2=DO$2),$W$19:$CX$19))/SUM(IF(1*($W$2:$CX$2=DO$2),$W$19:$CX$19))</f>
        <v>4.8166566024929827</v>
      </c>
      <c r="DP4" s="454">
        <f t="array" ref="DP4">SUMPRODUCT(IF(1*1,$W4:$CX4),IF(1*1,$W$19:$CX$19))/SUM(IF(1*1,$W$19:$CX$19))</f>
        <v>5.6210037500789909</v>
      </c>
    </row>
    <row r="5" spans="1:120" s="428" customFormat="1" ht="15.75" customHeight="1" thickBot="1" x14ac:dyDescent="0.3">
      <c r="A5" s="640"/>
      <c r="B5" s="669"/>
      <c r="C5" s="418">
        <f>'MD-ratings-year'!C5</f>
        <v>8.3333333333333329E-2</v>
      </c>
      <c r="D5" s="419" t="str">
        <f>'MD-ratings-year'!D5</f>
        <v>Quick Asset Ratio</v>
      </c>
      <c r="E5" s="420" t="str">
        <f>'MD-ratings-year'!E5</f>
        <v>Cash + Marketable Securities + Accounts Receivable) ÷ Current Liabilities</v>
      </c>
      <c r="F5" s="422" t="s">
        <v>400</v>
      </c>
      <c r="G5" s="653"/>
      <c r="H5" s="243"/>
      <c r="I5" s="577">
        <f>'SK-ratios'!U8</f>
        <v>43.262257748757236</v>
      </c>
      <c r="J5" s="243"/>
      <c r="K5" s="258">
        <f>'MD-ratings-year'!P5</f>
        <v>0</v>
      </c>
      <c r="L5" s="568">
        <f>'MD-ratings-year'!Q5</f>
        <v>0.33460061034037614</v>
      </c>
      <c r="M5" s="568">
        <f>'MD-ratings-year'!R5</f>
        <v>0.87637234101889483</v>
      </c>
      <c r="N5" s="568">
        <f>'MD-ratings-year'!S5</f>
        <v>2.2953588737380146</v>
      </c>
      <c r="O5" s="258">
        <f>'MD-ratings-year'!T5</f>
        <v>8.6625371887554401</v>
      </c>
      <c r="P5" s="258"/>
      <c r="Q5" s="258"/>
      <c r="R5" s="258"/>
      <c r="S5" s="243"/>
      <c r="T5" s="243"/>
      <c r="U5" s="243"/>
      <c r="V5" s="252"/>
      <c r="W5" s="455">
        <f>IF('SK-ratios'!AF8&gt;'SK-ratios'!$AC8,10,10*LOG(1+('SK-ratios'!$U8-1)*('SK-ratios'!AF8-'SK-ratios'!$Y8)/('SK-ratios'!$AC8-'SK-ratios'!$Y8))/LOG('SK-ratios'!$U8))</f>
        <v>10</v>
      </c>
      <c r="X5" s="455">
        <f>IF('SK-ratios'!AG8&gt;'SK-ratios'!$AC8,10,10*LOG(1+('SK-ratios'!$U8-1)*('SK-ratios'!AG8-'SK-ratios'!$Y8)/('SK-ratios'!$AC8-'SK-ratios'!$Y8))/LOG('SK-ratios'!$U8))</f>
        <v>10</v>
      </c>
      <c r="Y5" s="455">
        <f>IF('SK-ratios'!AH8&gt;'SK-ratios'!$AC8,10,10*LOG(1+('SK-ratios'!$U8-1)*('SK-ratios'!AH8-'SK-ratios'!$Y8)/('SK-ratios'!$AC8-'SK-ratios'!$Y8))/LOG('SK-ratios'!$U8))</f>
        <v>4.127445577229528</v>
      </c>
      <c r="Z5" s="455">
        <f>IF('SK-ratios'!AI8&gt;'SK-ratios'!$AC8,10,10*LOG(1+('SK-ratios'!$U8-1)*('SK-ratios'!AI8-'SK-ratios'!$Y8)/('SK-ratios'!$AC8-'SK-ratios'!$Y8))/LOG('SK-ratios'!$U8))</f>
        <v>3.1417284046092488</v>
      </c>
      <c r="AA5" s="455">
        <f>IF('SK-ratios'!AJ8&gt;'SK-ratios'!$AC8,10,10*LOG(1+('SK-ratios'!$U8-1)*('SK-ratios'!AJ8-'SK-ratios'!$Y8)/('SK-ratios'!$AC8-'SK-ratios'!$Y8))/LOG('SK-ratios'!$U8))</f>
        <v>3.3768633670860311</v>
      </c>
      <c r="AB5" s="455">
        <f>IF('SK-ratios'!AK8&gt;'SK-ratios'!$AC8,10,10*LOG(1+('SK-ratios'!$U8-1)*('SK-ratios'!AK8-'SK-ratios'!$Y8)/('SK-ratios'!$AC8-'SK-ratios'!$Y8))/LOG('SK-ratios'!$U8))</f>
        <v>5.6276001944578633</v>
      </c>
      <c r="AC5" s="455">
        <f>IF('SK-ratios'!AL8&gt;'SK-ratios'!$AC8,10,10*LOG(1+('SK-ratios'!$U8-1)*('SK-ratios'!AL8-'SK-ratios'!$Y8)/('SK-ratios'!$AC8-'SK-ratios'!$Y8))/LOG('SK-ratios'!$U8))</f>
        <v>6.0998692843761786</v>
      </c>
      <c r="AD5" s="455">
        <f>IF('SK-ratios'!AM8&gt;'SK-ratios'!$AC8,10,10*LOG(1+('SK-ratios'!$U8-1)*('SK-ratios'!AM8-'SK-ratios'!$Y8)/('SK-ratios'!$AC8-'SK-ratios'!$Y8))/LOG('SK-ratios'!$U8))</f>
        <v>6.6759761675393836</v>
      </c>
      <c r="AE5" s="455">
        <f>IF('SK-ratios'!AN8&gt;'SK-ratios'!$AC8,10,10*LOG(1+('SK-ratios'!$U8-1)*('SK-ratios'!AN8-'SK-ratios'!$Y8)/('SK-ratios'!$AC8-'SK-ratios'!$Y8))/LOG('SK-ratios'!$U8))</f>
        <v>5.4592684928875386</v>
      </c>
      <c r="AF5" s="455">
        <f>IF('SK-ratios'!AO8&gt;'SK-ratios'!$AC8,10,10*LOG(1+('SK-ratios'!$U8-1)*('SK-ratios'!AO8-'SK-ratios'!$Y8)/('SK-ratios'!$AC8-'SK-ratios'!$Y8))/LOG('SK-ratios'!$U8))</f>
        <v>5.0336262954984488</v>
      </c>
      <c r="AG5" s="455">
        <f>IF('SK-ratios'!AP8&gt;'SK-ratios'!$AC8,10,10*LOG(1+('SK-ratios'!$U8-1)*('SK-ratios'!AP8-'SK-ratios'!$Y8)/('SK-ratios'!$AC8-'SK-ratios'!$Y8))/LOG('SK-ratios'!$U8))</f>
        <v>6.6143680012515196</v>
      </c>
      <c r="AH5" s="455">
        <f>IF('SK-ratios'!AQ8&gt;'SK-ratios'!$AC8,10,10*LOG(1+('SK-ratios'!$U8-1)*('SK-ratios'!AQ8-'SK-ratios'!$Y8)/('SK-ratios'!$AC8-'SK-ratios'!$Y8))/LOG('SK-ratios'!$U8))</f>
        <v>10</v>
      </c>
      <c r="AI5" s="455">
        <f>IF('SK-ratios'!AR8&gt;'SK-ratios'!$AC8,10,10*LOG(1+('SK-ratios'!$U8-1)*('SK-ratios'!AR8-'SK-ratios'!$Y8)/('SK-ratios'!$AC8-'SK-ratios'!$Y8))/LOG('SK-ratios'!$U8))</f>
        <v>5.1376247151856909</v>
      </c>
      <c r="AJ5" s="455">
        <f>IF('SK-ratios'!AS8&gt;'SK-ratios'!$AC8,10,10*LOG(1+('SK-ratios'!$U8-1)*('SK-ratios'!AS8-'SK-ratios'!$Y8)/('SK-ratios'!$AC8-'SK-ratios'!$Y8))/LOG('SK-ratios'!$U8))</f>
        <v>4.8676271873917631</v>
      </c>
      <c r="AK5" s="455">
        <f>IF('SK-ratios'!AT8&gt;'SK-ratios'!$AC8,10,10*LOG(1+('SK-ratios'!$U8-1)*('SK-ratios'!AT8-'SK-ratios'!$Y8)/('SK-ratios'!$AC8-'SK-ratios'!$Y8))/LOG('SK-ratios'!$U8))</f>
        <v>5.570975386400943</v>
      </c>
      <c r="AL5" s="455">
        <f>IF('SK-ratios'!AU8&gt;'SK-ratios'!$AC8,10,10*LOG(1+('SK-ratios'!$U8-1)*('SK-ratios'!AU8-'SK-ratios'!$Y8)/('SK-ratios'!$AC8-'SK-ratios'!$Y8))/LOG('SK-ratios'!$U8))</f>
        <v>9.3497467430755545</v>
      </c>
      <c r="AM5" s="455">
        <f>IF('SK-ratios'!AV8&gt;'SK-ratios'!$AC8,10,10*LOG(1+('SK-ratios'!$U8-1)*('SK-ratios'!AV8-'SK-ratios'!$Y8)/('SK-ratios'!$AC8-'SK-ratios'!$Y8))/LOG('SK-ratios'!$U8))</f>
        <v>6.5802011199105905</v>
      </c>
      <c r="AN5" s="455">
        <f>IF('SK-ratios'!AW8&gt;'SK-ratios'!$AC8,10,10*LOG(1+('SK-ratios'!$U8-1)*('SK-ratios'!AW8-'SK-ratios'!$Y8)/('SK-ratios'!$AC8-'SK-ratios'!$Y8))/LOG('SK-ratios'!$U8))</f>
        <v>6.1381997542901878</v>
      </c>
      <c r="AO5" s="455">
        <f>IF('SK-ratios'!AX8&gt;'SK-ratios'!$AC8,10,10*LOG(1+('SK-ratios'!$U8-1)*('SK-ratios'!AX8-'SK-ratios'!$Y8)/('SK-ratios'!$AC8-'SK-ratios'!$Y8))/LOG('SK-ratios'!$U8))</f>
        <v>7.433959848968489</v>
      </c>
      <c r="AP5" s="455">
        <f>IF('SK-ratios'!AY8&gt;'SK-ratios'!$AC8,10,10*LOG(1+('SK-ratios'!$U8-1)*('SK-ratios'!AY8-'SK-ratios'!$Y8)/('SK-ratios'!$AC8-'SK-ratios'!$Y8))/LOG('SK-ratios'!$U8))</f>
        <v>4.9114835422393019</v>
      </c>
      <c r="AQ5" s="455">
        <f>IF('SK-ratios'!AZ8&gt;'SK-ratios'!$AC8,10,10*LOG(1+('SK-ratios'!$U8-1)*('SK-ratios'!AZ8-'SK-ratios'!$Y8)/('SK-ratios'!$AC8-'SK-ratios'!$Y8))/LOG('SK-ratios'!$U8))</f>
        <v>10</v>
      </c>
      <c r="AR5" s="455">
        <f>IF('SK-ratios'!BA8&gt;'SK-ratios'!$AC8,10,10*LOG(1+('SK-ratios'!$U8-1)*('SK-ratios'!BA8-'SK-ratios'!$Y8)/('SK-ratios'!$AC8-'SK-ratios'!$Y8))/LOG('SK-ratios'!$U8))</f>
        <v>7.9084744116665799</v>
      </c>
      <c r="AS5" s="455">
        <f>IF('SK-ratios'!BB8&gt;'SK-ratios'!$AC8,10,10*LOG(1+('SK-ratios'!$U8-1)*('SK-ratios'!BB8-'SK-ratios'!$Y8)/('SK-ratios'!$AC8-'SK-ratios'!$Y8))/LOG('SK-ratios'!$U8))</f>
        <v>6.7409544593152866</v>
      </c>
      <c r="AT5" s="455">
        <f>IF('SK-ratios'!BC8&gt;'SK-ratios'!$AC8,10,10*LOG(1+('SK-ratios'!$U8-1)*('SK-ratios'!BC8-'SK-ratios'!$Y8)/('SK-ratios'!$AC8-'SK-ratios'!$Y8))/LOG('SK-ratios'!$U8))</f>
        <v>4.9054071851812155</v>
      </c>
      <c r="AU5" s="455">
        <f>IF('SK-ratios'!BD8&gt;'SK-ratios'!$AC8,10,10*LOG(1+('SK-ratios'!$U8-1)*('SK-ratios'!BD8-'SK-ratios'!$Y8)/('SK-ratios'!$AC8-'SK-ratios'!$Y8))/LOG('SK-ratios'!$U8))</f>
        <v>1.7909936063144176</v>
      </c>
      <c r="AV5" s="455">
        <f>IF('SK-ratios'!BE8&gt;'SK-ratios'!$AC8,10,10*LOG(1+('SK-ratios'!$U8-1)*('SK-ratios'!BE8-'SK-ratios'!$Y8)/('SK-ratios'!$AC8-'SK-ratios'!$Y8))/LOG('SK-ratios'!$U8))</f>
        <v>10</v>
      </c>
      <c r="AW5" s="455">
        <f>IF('SK-ratios'!BF8&gt;'SK-ratios'!$AC8,10,10*LOG(1+('SK-ratios'!$U8-1)*('SK-ratios'!BF8-'SK-ratios'!$Y8)/('SK-ratios'!$AC8-'SK-ratios'!$Y8))/LOG('SK-ratios'!$U8))</f>
        <v>7.5225438731483854</v>
      </c>
      <c r="AX5" s="455">
        <f>IF('SK-ratios'!BG8&gt;'SK-ratios'!$AC8,10,10*LOG(1+('SK-ratios'!$U8-1)*('SK-ratios'!BG8-'SK-ratios'!$Y8)/('SK-ratios'!$AC8-'SK-ratios'!$Y8))/LOG('SK-ratios'!$U8))</f>
        <v>3.6404999746152842</v>
      </c>
      <c r="AY5" s="455">
        <f>IF('SK-ratios'!BH8&gt;'SK-ratios'!$AC8,10,10*LOG(1+('SK-ratios'!$U8-1)*('SK-ratios'!BH8-'SK-ratios'!$Y8)/('SK-ratios'!$AC8-'SK-ratios'!$Y8))/LOG('SK-ratios'!$U8))</f>
        <v>9.6418580498918089</v>
      </c>
      <c r="AZ5" s="455">
        <f>IF('SK-ratios'!BI8&gt;'SK-ratios'!$AC8,10,10*LOG(1+('SK-ratios'!$U8-1)*('SK-ratios'!BI8-'SK-ratios'!$Y8)/('SK-ratios'!$AC8-'SK-ratios'!$Y8))/LOG('SK-ratios'!$U8))</f>
        <v>7.4627107795270398</v>
      </c>
      <c r="BA5" s="455">
        <f>IF('SK-ratios'!BJ8&gt;'SK-ratios'!$AC8,10,10*LOG(1+('SK-ratios'!$U8-1)*('SK-ratios'!BJ8-'SK-ratios'!$Y8)/('SK-ratios'!$AC8-'SK-ratios'!$Y8))/LOG('SK-ratios'!$U8))</f>
        <v>1.6842090079077787</v>
      </c>
      <c r="BB5" s="455">
        <f>IF('SK-ratios'!BK8&gt;'SK-ratios'!$AC8,10,10*LOG(1+('SK-ratios'!$U8-1)*('SK-ratios'!BK8-'SK-ratios'!$Y8)/('SK-ratios'!$AC8-'SK-ratios'!$Y8))/LOG('SK-ratios'!$U8))</f>
        <v>8.1270917810371905</v>
      </c>
      <c r="BC5" s="455">
        <f>IF('SK-ratios'!BL8&gt;'SK-ratios'!$AC8,10,10*LOG(1+('SK-ratios'!$U8-1)*('SK-ratios'!BL8-'SK-ratios'!$Y8)/('SK-ratios'!$AC8-'SK-ratios'!$Y8))/LOG('SK-ratios'!$U8))</f>
        <v>5.7765706419184788</v>
      </c>
      <c r="BD5" s="455">
        <f>IF('SK-ratios'!BM8&gt;'SK-ratios'!$AC8,10,10*LOG(1+('SK-ratios'!$U8-1)*('SK-ratios'!BM8-'SK-ratios'!$Y8)/('SK-ratios'!$AC8-'SK-ratios'!$Y8))/LOG('SK-ratios'!$U8))</f>
        <v>6.5854131735975656</v>
      </c>
      <c r="BE5" s="455">
        <f>IF('SK-ratios'!BN8&gt;'SK-ratios'!$AC8,10,10*LOG(1+('SK-ratios'!$U8-1)*('SK-ratios'!BN8-'SK-ratios'!$Y8)/('SK-ratios'!$AC8-'SK-ratios'!$Y8))/LOG('SK-ratios'!$U8))</f>
        <v>2.9141356998311534</v>
      </c>
      <c r="BF5" s="455">
        <f>IF('SK-ratios'!BO8&gt;'SK-ratios'!$AC8,10,10*LOG(1+('SK-ratios'!$U8-1)*('SK-ratios'!BO8-'SK-ratios'!$Y8)/('SK-ratios'!$AC8-'SK-ratios'!$Y8))/LOG('SK-ratios'!$U8))</f>
        <v>8.2346863907038159</v>
      </c>
      <c r="BG5" s="455">
        <f>IF('SK-ratios'!BP8&gt;'SK-ratios'!$AC8,10,10*LOG(1+('SK-ratios'!$U8-1)*('SK-ratios'!BP8-'SK-ratios'!$Y8)/('SK-ratios'!$AC8-'SK-ratios'!$Y8))/LOG('SK-ratios'!$U8))</f>
        <v>6.5897637131125935</v>
      </c>
      <c r="BH5" s="455">
        <f>IF('SK-ratios'!BQ8&gt;'SK-ratios'!$AC8,10,10*LOG(1+('SK-ratios'!$U8-1)*('SK-ratios'!BQ8-'SK-ratios'!$Y8)/('SK-ratios'!$AC8-'SK-ratios'!$Y8))/LOG('SK-ratios'!$U8))</f>
        <v>5.4447040720215378</v>
      </c>
      <c r="BI5" s="455">
        <f>IF('SK-ratios'!BR8&gt;'SK-ratios'!$AC8,10,10*LOG(1+('SK-ratios'!$U8-1)*('SK-ratios'!BR8-'SK-ratios'!$Y8)/('SK-ratios'!$AC8-'SK-ratios'!$Y8))/LOG('SK-ratios'!$U8))</f>
        <v>4.0246665447752692</v>
      </c>
      <c r="BJ5" s="455">
        <f>IF('SK-ratios'!BS8&gt;'SK-ratios'!$AC8,10,10*LOG(1+('SK-ratios'!$U8-1)*('SK-ratios'!BS8-'SK-ratios'!$Y8)/('SK-ratios'!$AC8-'SK-ratios'!$Y8))/LOG('SK-ratios'!$U8))</f>
        <v>5.0868363195270447</v>
      </c>
      <c r="BK5" s="455">
        <f>IF('SK-ratios'!BT8&gt;'SK-ratios'!$AC8,10,10*LOG(1+('SK-ratios'!$U8-1)*('SK-ratios'!BT8-'SK-ratios'!$Y8)/('SK-ratios'!$AC8-'SK-ratios'!$Y8))/LOG('SK-ratios'!$U8))</f>
        <v>6.1055052903725242</v>
      </c>
      <c r="BL5" s="455">
        <f>IF('SK-ratios'!BU8&gt;'SK-ratios'!$AC8,10,10*LOG(1+('SK-ratios'!$U8-1)*('SK-ratios'!BU8-'SK-ratios'!$Y8)/('SK-ratios'!$AC8-'SK-ratios'!$Y8))/LOG('SK-ratios'!$U8))</f>
        <v>3.4850130548117795</v>
      </c>
      <c r="BM5" s="455">
        <f>IF('SK-ratios'!BV8&gt;'SK-ratios'!$AC8,10,10*LOG(1+('SK-ratios'!$U8-1)*('SK-ratios'!BV8-'SK-ratios'!$Y8)/('SK-ratios'!$AC8-'SK-ratios'!$Y8))/LOG('SK-ratios'!$U8))</f>
        <v>9.1512589362672507</v>
      </c>
      <c r="BN5" s="455">
        <f>IF('SK-ratios'!BW8&gt;'SK-ratios'!$AC8,10,10*LOG(1+('SK-ratios'!$U8-1)*('SK-ratios'!BW8-'SK-ratios'!$Y8)/('SK-ratios'!$AC8-'SK-ratios'!$Y8))/LOG('SK-ratios'!$U8))</f>
        <v>6.5013243180300462</v>
      </c>
      <c r="BO5" s="455">
        <f>IF('SK-ratios'!BX8&gt;'SK-ratios'!$AC8,10,10*LOG(1+('SK-ratios'!$U8-1)*('SK-ratios'!BX8-'SK-ratios'!$Y8)/('SK-ratios'!$AC8-'SK-ratios'!$Y8))/LOG('SK-ratios'!$U8))</f>
        <v>5.5665147228527738</v>
      </c>
      <c r="BP5" s="455">
        <f>IF('SK-ratios'!BY8&gt;'SK-ratios'!$AC8,10,10*LOG(1+('SK-ratios'!$U8-1)*('SK-ratios'!BY8-'SK-ratios'!$Y8)/('SK-ratios'!$AC8-'SK-ratios'!$Y8))/LOG('SK-ratios'!$U8))</f>
        <v>4.7469268263089095</v>
      </c>
      <c r="BQ5" s="455">
        <f>IF('SK-ratios'!BZ8&gt;'SK-ratios'!$AC8,10,10*LOG(1+('SK-ratios'!$U8-1)*('SK-ratios'!BZ8-'SK-ratios'!$Y8)/('SK-ratios'!$AC8-'SK-ratios'!$Y8))/LOG('SK-ratios'!$U8))</f>
        <v>9.8678318887716312</v>
      </c>
      <c r="BR5" s="455">
        <f>IF('SK-ratios'!CA8&gt;'SK-ratios'!$AC8,10,10*LOG(1+('SK-ratios'!$U8-1)*('SK-ratios'!CA8-'SK-ratios'!$Y8)/('SK-ratios'!$AC8-'SK-ratios'!$Y8))/LOG('SK-ratios'!$U8))</f>
        <v>5.2024833734272731</v>
      </c>
      <c r="BS5" s="455">
        <f>IF('SK-ratios'!CB8&gt;'SK-ratios'!$AC8,10,10*LOG(1+('SK-ratios'!$U8-1)*('SK-ratios'!CB8-'SK-ratios'!$Y8)/('SK-ratios'!$AC8-'SK-ratios'!$Y8))/LOG('SK-ratios'!$U8))</f>
        <v>5.5151026377156001</v>
      </c>
      <c r="BT5" s="455">
        <f>IF('SK-ratios'!CC8&gt;'SK-ratios'!$AC8,10,10*LOG(1+('SK-ratios'!$U8-1)*('SK-ratios'!CC8-'SK-ratios'!$Y8)/('SK-ratios'!$AC8-'SK-ratios'!$Y8))/LOG('SK-ratios'!$U8))</f>
        <v>3.2202263365653065</v>
      </c>
      <c r="BU5" s="455">
        <f>IF('SK-ratios'!CD8&gt;'SK-ratios'!$AC8,10,10*LOG(1+('SK-ratios'!$U8-1)*('SK-ratios'!CD8-'SK-ratios'!$Y8)/('SK-ratios'!$AC8-'SK-ratios'!$Y8))/LOG('SK-ratios'!$U8))</f>
        <v>5.8557140787845574</v>
      </c>
      <c r="BV5" s="455">
        <f>IF('SK-ratios'!CE8&gt;'SK-ratios'!$AC8,10,10*LOG(1+('SK-ratios'!$U8-1)*('SK-ratios'!CE8-'SK-ratios'!$Y8)/('SK-ratios'!$AC8-'SK-ratios'!$Y8))/LOG('SK-ratios'!$U8))</f>
        <v>10</v>
      </c>
      <c r="BW5" s="455">
        <f>IF('SK-ratios'!CF8&gt;'SK-ratios'!$AC8,10,10*LOG(1+('SK-ratios'!$U8-1)*('SK-ratios'!CF8-'SK-ratios'!$Y8)/('SK-ratios'!$AC8-'SK-ratios'!$Y8))/LOG('SK-ratios'!$U8))</f>
        <v>5.0080765872318125</v>
      </c>
      <c r="BX5" s="455">
        <f>IF('SK-ratios'!CG8&gt;'SK-ratios'!$AC8,10,10*LOG(1+('SK-ratios'!$U8-1)*('SK-ratios'!CG8-'SK-ratios'!$Y8)/('SK-ratios'!$AC8-'SK-ratios'!$Y8))/LOG('SK-ratios'!$U8))</f>
        <v>3.2063485983040731</v>
      </c>
      <c r="BY5" s="455">
        <f>IF('SK-ratios'!CH8&gt;'SK-ratios'!$AC8,10,10*LOG(1+('SK-ratios'!$U8-1)*('SK-ratios'!CH8-'SK-ratios'!$Y8)/('SK-ratios'!$AC8-'SK-ratios'!$Y8))/LOG('SK-ratios'!$U8))</f>
        <v>6.6499857875585597</v>
      </c>
      <c r="BZ5" s="455">
        <f>IF('SK-ratios'!CI8&gt;'SK-ratios'!$AC8,10,10*LOG(1+('SK-ratios'!$U8-1)*('SK-ratios'!CI8-'SK-ratios'!$Y8)/('SK-ratios'!$AC8-'SK-ratios'!$Y8))/LOG('SK-ratios'!$U8))</f>
        <v>6.6598474523390259</v>
      </c>
      <c r="CA5" s="455">
        <f>IF('SK-ratios'!CJ8&gt;'SK-ratios'!$AC8,10,10*LOG(1+('SK-ratios'!$U8-1)*('SK-ratios'!CJ8-'SK-ratios'!$Y8)/('SK-ratios'!$AC8-'SK-ratios'!$Y8))/LOG('SK-ratios'!$U8))</f>
        <v>4.4206414848431805</v>
      </c>
      <c r="CB5" s="455">
        <f>IF('SK-ratios'!CK8&gt;'SK-ratios'!$AC8,10,10*LOG(1+('SK-ratios'!$U8-1)*('SK-ratios'!CK8-'SK-ratios'!$Y8)/('SK-ratios'!$AC8-'SK-ratios'!$Y8))/LOG('SK-ratios'!$U8))</f>
        <v>10</v>
      </c>
      <c r="CC5" s="455">
        <f>IF('SK-ratios'!CL8&gt;'SK-ratios'!$AC8,10,10*LOG(1+('SK-ratios'!$U8-1)*('SK-ratios'!CL8-'SK-ratios'!$Y8)/('SK-ratios'!$AC8-'SK-ratios'!$Y8))/LOG('SK-ratios'!$U8))</f>
        <v>9.4985260643080007</v>
      </c>
      <c r="CD5" s="455">
        <f>IF('SK-ratios'!CM8&gt;'SK-ratios'!$AC8,10,10*LOG(1+('SK-ratios'!$U8-1)*('SK-ratios'!CM8-'SK-ratios'!$Y8)/('SK-ratios'!$AC8-'SK-ratios'!$Y8))/LOG('SK-ratios'!$U8))</f>
        <v>4.6445974444801097</v>
      </c>
      <c r="CE5" s="455">
        <f>IF('SK-ratios'!CN8&gt;'SK-ratios'!$AC8,10,10*LOG(1+('SK-ratios'!$U8-1)*('SK-ratios'!CN8-'SK-ratios'!$Y8)/('SK-ratios'!$AC8-'SK-ratios'!$Y8))/LOG('SK-ratios'!$U8))</f>
        <v>6.5000066609965117</v>
      </c>
      <c r="CF5" s="455">
        <f>IF('SK-ratios'!CO8&gt;'SK-ratios'!$AC8,10,10*LOG(1+('SK-ratios'!$U8-1)*('SK-ratios'!CO8-'SK-ratios'!$Y8)/('SK-ratios'!$AC8-'SK-ratios'!$Y8))/LOG('SK-ratios'!$U8))</f>
        <v>9.886581518375424</v>
      </c>
      <c r="CG5" s="455">
        <f>IF('SK-ratios'!CP8&gt;'SK-ratios'!$AC8,10,10*LOG(1+('SK-ratios'!$U8-1)*('SK-ratios'!CP8-'SK-ratios'!$Y8)/('SK-ratios'!$AC8-'SK-ratios'!$Y8))/LOG('SK-ratios'!$U8))</f>
        <v>8.0777308775665393</v>
      </c>
      <c r="CH5" s="455">
        <f>IF('SK-ratios'!CQ8&gt;'SK-ratios'!$AC8,10,10*LOG(1+('SK-ratios'!$U8-1)*('SK-ratios'!CQ8-'SK-ratios'!$Y8)/('SK-ratios'!$AC8-'SK-ratios'!$Y8))/LOG('SK-ratios'!$U8))</f>
        <v>6.1191620799802102</v>
      </c>
      <c r="CI5" s="455">
        <f>IF('SK-ratios'!CR8&gt;'SK-ratios'!$AC8,10,10*LOG(1+('SK-ratios'!$U8-1)*('SK-ratios'!CR8-'SK-ratios'!$Y8)/('SK-ratios'!$AC8-'SK-ratios'!$Y8))/LOG('SK-ratios'!$U8))</f>
        <v>7.142094367393665</v>
      </c>
      <c r="CJ5" s="455">
        <f>IF('SK-ratios'!CS8&gt;'SK-ratios'!$AC8,10,10*LOG(1+('SK-ratios'!$U8-1)*('SK-ratios'!CS8-'SK-ratios'!$Y8)/('SK-ratios'!$AC8-'SK-ratios'!$Y8))/LOG('SK-ratios'!$U8))</f>
        <v>7.76541814057006</v>
      </c>
      <c r="CK5" s="455">
        <f>IF('SK-ratios'!CT8&gt;'SK-ratios'!$AC8,10,10*LOG(1+('SK-ratios'!$U8-1)*('SK-ratios'!CT8-'SK-ratios'!$Y8)/('SK-ratios'!$AC8-'SK-ratios'!$Y8))/LOG('SK-ratios'!$U8))</f>
        <v>6.2054697869675763</v>
      </c>
      <c r="CL5" s="455">
        <f>IF('SK-ratios'!CU8&gt;'SK-ratios'!$AC8,10,10*LOG(1+('SK-ratios'!$U8-1)*('SK-ratios'!CU8-'SK-ratios'!$Y8)/('SK-ratios'!$AC8-'SK-ratios'!$Y8))/LOG('SK-ratios'!$U8))</f>
        <v>5.3069224513647857</v>
      </c>
      <c r="CM5" s="455">
        <f>IF('SK-ratios'!CV8&gt;'SK-ratios'!$AC8,10,10*LOG(1+('SK-ratios'!$U8-1)*('SK-ratios'!CV8-'SK-ratios'!$Y8)/('SK-ratios'!$AC8-'SK-ratios'!$Y8))/LOG('SK-ratios'!$U8))</f>
        <v>10</v>
      </c>
      <c r="CN5" s="455">
        <f>IF('SK-ratios'!CW8&gt;'SK-ratios'!$AC8,10,10*LOG(1+('SK-ratios'!$U8-1)*('SK-ratios'!CW8-'SK-ratios'!$Y8)/('SK-ratios'!$AC8-'SK-ratios'!$Y8))/LOG('SK-ratios'!$U8))</f>
        <v>5.4830217266368706</v>
      </c>
      <c r="CO5" s="455">
        <f>IF('SK-ratios'!CX8&gt;'SK-ratios'!$AC8,10,10*LOG(1+('SK-ratios'!$U8-1)*('SK-ratios'!CX8-'SK-ratios'!$Y8)/('SK-ratios'!$AC8-'SK-ratios'!$Y8))/LOG('SK-ratios'!$U8))</f>
        <v>4.4051370697747805</v>
      </c>
      <c r="CP5" s="455">
        <f>IF('SK-ratios'!CY8&gt;'SK-ratios'!$AC8,10,10*LOG(1+('SK-ratios'!$U8-1)*('SK-ratios'!CY8-'SK-ratios'!$Y8)/('SK-ratios'!$AC8-'SK-ratios'!$Y8))/LOG('SK-ratios'!$U8))</f>
        <v>4.5897967209116821</v>
      </c>
      <c r="CQ5" s="455">
        <f>IF('SK-ratios'!CZ8&gt;'SK-ratios'!$AC8,10,10*LOG(1+('SK-ratios'!$U8-1)*('SK-ratios'!CZ8-'SK-ratios'!$Y8)/('SK-ratios'!$AC8-'SK-ratios'!$Y8))/LOG('SK-ratios'!$U8))</f>
        <v>0.80374587220788729</v>
      </c>
      <c r="CR5" s="455">
        <f>IF('SK-ratios'!DA8&gt;'SK-ratios'!$AC8,10,10*LOG(1+('SK-ratios'!$U8-1)*('SK-ratios'!DA8-'SK-ratios'!$Y8)/('SK-ratios'!$AC8-'SK-ratios'!$Y8))/LOG('SK-ratios'!$U8))</f>
        <v>9.4297211278275341</v>
      </c>
      <c r="CS5" s="455">
        <f>IF('SK-ratios'!DB8&gt;'SK-ratios'!$AC8,10,10*LOG(1+('SK-ratios'!$U8-1)*('SK-ratios'!DB8-'SK-ratios'!$Y8)/('SK-ratios'!$AC8-'SK-ratios'!$Y8))/LOG('SK-ratios'!$U8))</f>
        <v>6.6491798779135252</v>
      </c>
      <c r="CT5" s="455">
        <f>IF('SK-ratios'!DC8&gt;'SK-ratios'!$AC8,10,10*LOG(1+('SK-ratios'!$U8-1)*('SK-ratios'!DC8-'SK-ratios'!$Y8)/('SK-ratios'!$AC8-'SK-ratios'!$Y8))/LOG('SK-ratios'!$U8))</f>
        <v>4.9997646156382798</v>
      </c>
      <c r="CU5" s="455">
        <f>IF('SK-ratios'!DD8&gt;'SK-ratios'!$AC8,10,10*LOG(1+('SK-ratios'!$U8-1)*('SK-ratios'!DD8-'SK-ratios'!$Y8)/('SK-ratios'!$AC8-'SK-ratios'!$Y8))/LOG('SK-ratios'!$U8))</f>
        <v>5.5806794499883674</v>
      </c>
      <c r="CV5" s="455">
        <f>IF('SK-ratios'!DE8&gt;'SK-ratios'!$AC8,10,10*LOG(1+('SK-ratios'!$U8-1)*('SK-ratios'!DE8-'SK-ratios'!$Y8)/('SK-ratios'!$AC8-'SK-ratios'!$Y8))/LOG('SK-ratios'!$U8))</f>
        <v>4.7459545949536999</v>
      </c>
      <c r="CW5" s="455">
        <f>IF('SK-ratios'!DF8&gt;'SK-ratios'!$AC8,10,10*LOG(1+('SK-ratios'!$U8-1)*('SK-ratios'!DF8-'SK-ratios'!$Y8)/('SK-ratios'!$AC8-'SK-ratios'!$Y8))/LOG('SK-ratios'!$U8))</f>
        <v>3.6424411134257331</v>
      </c>
      <c r="CX5" s="455">
        <f>IF('SK-ratios'!DG8&gt;'SK-ratios'!$AC8,10,10*LOG(1+('SK-ratios'!$U8-1)*('SK-ratios'!DG8-'SK-ratios'!$Y8)/('SK-ratios'!$AC8-'SK-ratios'!$Y8))/LOG('SK-ratios'!$U8))</f>
        <v>3.9086951447155789</v>
      </c>
      <c r="CZ5" s="546"/>
      <c r="DA5" s="455">
        <f t="array" ref="DA5">SUMPRODUCT(IF(($W$3:$CX$3=DA$3)*($W$2:$CX$2=DA$2),$W5:$CX5),IF(($W$3:$CX$3=DA$3)*($W$2:$CX$2=DA$2),$W$19:$CX$19))/SUM(IF(($W$3:$CX$3=DA$3)*($W$2:$CX$2=DA$2),$W$19:$CX$19))</f>
        <v>6.9328429780601288</v>
      </c>
      <c r="DB5" s="455">
        <f t="array" ref="DB5">SUMPRODUCT(IF(($W$3:$CX$3=DB$3)*($W$2:$CX$2=DB$2),$W5:$CX5),IF(($W$3:$CX$3=DB$3)*($W$2:$CX$2=DB$2),$W$19:$CX$19))/SUM(IF(($W$3:$CX$3=DB$3)*($W$2:$CX$2=DB$2),$W$19:$CX$19))</f>
        <v>6.5560286644178865</v>
      </c>
      <c r="DC5" s="455">
        <f t="array" ref="DC5">SUMPRODUCT(IF(($W$3:$CX$3=DC$3)*($W$2:$CX$2=DC$2),$W5:$CX5),IF(($W$3:$CX$3=DC$3)*($W$2:$CX$2=DC$2),$W$19:$CX$19))/SUM(IF(($W$3:$CX$3=DC$3)*($W$2:$CX$2=DC$2),$W$19:$CX$19))</f>
        <v>5.0907815070204068</v>
      </c>
      <c r="DD5" s="455">
        <f t="array" ref="DD5">SUMPRODUCT(IF(($W$3:$CX$3=DD$3)*($W$2:$CX$2=DD$2),$W5:$CX5),IF(($W$3:$CX$3=DD$3)*($W$2:$CX$2=DD$2),$W$19:$CX$19))/SUM(IF(($W$3:$CX$3=DD$3)*($W$2:$CX$2=DD$2),$W$19:$CX$19))</f>
        <v>7.1209085467377751</v>
      </c>
      <c r="DE5" s="455">
        <f t="array" ref="DE5">SUMPRODUCT(IF(($W$3:$CX$3=DE$3)*($W$2:$CX$2=DE$2),$W5:$CX5),IF(($W$3:$CX$3=DE$3)*($W$2:$CX$2=DE$2),$W$19:$CX$19))/SUM(IF(($W$3:$CX$3=DE$3)*($W$2:$CX$2=DE$2),$W$19:$CX$19))</f>
        <v>4.8558868174077947</v>
      </c>
      <c r="DF5" s="455">
        <f t="array" ref="DF5">SUMPRODUCT(IF(($W$3:$CX$3=DF$3)*($W$2:$CX$2=DF$2),$W5:$CX5),IF(($W$3:$CX$3=DF$3)*($W$2:$CX$2=DF$2),$W$19:$CX$19))/SUM(IF(($W$3:$CX$3=DF$3)*($W$2:$CX$2=DF$2),$W$19:$CX$19))</f>
        <v>7.5997888834229652</v>
      </c>
      <c r="DG5" s="455">
        <f t="array" ref="DG5">SUMPRODUCT(IF(($W$3:$CX$3=DG$3)*($W$2:$CX$2=DG$2),$W5:$CX5),IF(($W$3:$CX$3=DG$3)*($W$2:$CX$2=DG$2),$W$19:$CX$19))/SUM(IF(($W$3:$CX$3=DG$3)*($W$2:$CX$2=DG$2),$W$19:$CX$19))</f>
        <v>4.6703204157918057</v>
      </c>
      <c r="DH5" s="455">
        <f t="array" ref="DH5">SUMPRODUCT(IF(($W$3:$CX$3=DH$3)*($W$2:$CX$2=DH$2),$W5:$CX5),IF(($W$3:$CX$3=DH$3)*($W$2:$CX$2=DH$2),$W$19:$CX$19))/SUM(IF(($W$3:$CX$3=DH$3)*($W$2:$CX$2=DH$2),$W$19:$CX$19))</f>
        <v>5.4321060677019766</v>
      </c>
      <c r="DI5" s="455">
        <f t="array" ref="DI5">SUMPRODUCT(IF(($W$3:$CX$3=DI$3)*($W$2:$CX$2=DI$2),$W5:$CX5),IF(($W$3:$CX$3=DI$3)*($W$2:$CX$2=DI$2),$W$19:$CX$19))/SUM(IF(($W$3:$CX$3=DI$3)*($W$2:$CX$2=DI$2),$W$19:$CX$19))</f>
        <v>4.8533998184460208</v>
      </c>
      <c r="DJ5" s="455">
        <f t="array" ref="DJ5">SUMPRODUCT(IF(($W$3:$CX$3=DJ$3)*($W$2:$CX$2=DJ$2),$W5:$CX5),IF(($W$3:$CX$3=DJ$3)*($W$2:$CX$2=DJ$2),$W$19:$CX$19))/SUM(IF(($W$3:$CX$3=DJ$3)*($W$2:$CX$2=DJ$2),$W$19:$CX$19))</f>
        <v>4.4683825552329948</v>
      </c>
      <c r="DK5" s="455">
        <f t="array" ref="DK5">SUMPRODUCT(IF(($W$3:$CX$3=DK$3)*1,$W5:$CX5),IF(($W$3:$CX$3=DK$3)*1,$W$19:$CX$19))/SUM(IF(($W$3:$CX$3=DK$3)*1,$W$19:$CX$19))</f>
        <v>5.5284398489936013</v>
      </c>
      <c r="DL5" s="455">
        <f t="array" ref="DL5">SUMPRODUCT(IF(($W$3:$CX$3=DL$3)*1,$W5:$CX5),IF(($W$3:$CX$3=DL$3)*1,$W$19:$CX$19))/SUM(IF(($W$3:$CX$3=DL$3)*1,$W$19:$CX$19))</f>
        <v>5.2434155878505599</v>
      </c>
      <c r="DM5" s="455">
        <f t="array" ref="DM5">SUMPRODUCT(IF(($W$3:$CX$3=DM$3)*1,$W5:$CX5),IF(($W$3:$CX$3=DM$3)*1,$W$19:$CX$19))/SUM(IF(($W$3:$CX$3=DM$3)*1,$W$19:$CX$19))</f>
        <v>6.4029750533926695</v>
      </c>
      <c r="DN5" s="455">
        <f t="array" ref="DN5">SUMPRODUCT(IF(1*($W$2:$CX$2=DN$2),$W5:$CX5),IF(1*($W$2:$CX$2=DN$2),$W$19:$CX$19))/SUM(IF(1*($W$2:$CX$2=DN$2),$W$19:$CX$19))</f>
        <v>6.3854162285680909</v>
      </c>
      <c r="DO5" s="455">
        <f t="array" ref="DO5">SUMPRODUCT(IF(1*($W$2:$CX$2=DO$2),$W5:$CX5),IF(1*($W$2:$CX$2=DO$2),$W$19:$CX$19))/SUM(IF(1*($W$2:$CX$2=DO$2),$W$19:$CX$19))</f>
        <v>4.9591983778136104</v>
      </c>
      <c r="DP5" s="455">
        <f t="array" ref="DP5">SUMPRODUCT(IF(1*1,$W5:$CX5),IF(1*1,$W$19:$CX$19))/SUM(IF(1*1,$W$19:$CX$19))</f>
        <v>5.8484598771038421</v>
      </c>
    </row>
    <row r="6" spans="1:120" s="428" customFormat="1" ht="15.75" customHeight="1" thickBot="1" x14ac:dyDescent="0.3">
      <c r="A6" s="640"/>
      <c r="B6" s="669"/>
      <c r="C6" s="418">
        <f>'MD-ratings-year'!C6</f>
        <v>8.3333333333333329E-2</v>
      </c>
      <c r="D6" s="419" t="str">
        <f>'MD-ratings-year'!D6</f>
        <v>Cash Position Ratio</v>
      </c>
      <c r="E6" s="420" t="str">
        <f>'MD-ratings-year'!E6</f>
        <v>Cash ÷ Current Liabilities</v>
      </c>
      <c r="F6" s="422" t="s">
        <v>400</v>
      </c>
      <c r="G6" s="653"/>
      <c r="H6" s="243"/>
      <c r="I6" s="577">
        <f>'SK-ratios'!U9</f>
        <v>76.29155489281041</v>
      </c>
      <c r="J6" s="243"/>
      <c r="K6" s="258">
        <f>'MD-ratings-year'!P6</f>
        <v>0</v>
      </c>
      <c r="L6" s="568">
        <f>'MD-ratings-year'!Q6</f>
        <v>6.5827845563065257E-2</v>
      </c>
      <c r="M6" s="568">
        <f>'MD-ratings-year'!R6</f>
        <v>0.25566768375988946</v>
      </c>
      <c r="N6" s="568">
        <f>'MD-ratings-year'!S6</f>
        <v>0.9929835005237122</v>
      </c>
      <c r="O6" s="258">
        <f>'MD-ratings-year'!T6</f>
        <v>7.9199921943120852</v>
      </c>
      <c r="P6" s="258"/>
      <c r="Q6" s="258"/>
      <c r="R6" s="258"/>
      <c r="S6" s="243"/>
      <c r="T6" s="243"/>
      <c r="U6" s="243"/>
      <c r="V6" s="252"/>
      <c r="W6" s="455">
        <f>IF('SK-ratios'!AF9&gt;'SK-ratios'!$AC9,10,10*LOG(1+('SK-ratios'!$U9-1)*('SK-ratios'!AF9-'SK-ratios'!$Y9)/('SK-ratios'!$AC9-'SK-ratios'!$Y9))/LOG('SK-ratios'!$U9))</f>
        <v>10</v>
      </c>
      <c r="X6" s="455">
        <f>IF('SK-ratios'!AG9&gt;'SK-ratios'!$AC9,10,10*LOG(1+('SK-ratios'!$U9-1)*('SK-ratios'!AG9-'SK-ratios'!$Y9)/('SK-ratios'!$AC9-'SK-ratios'!$Y9))/LOG('SK-ratios'!$U9))</f>
        <v>10</v>
      </c>
      <c r="Y6" s="455">
        <f>IF('SK-ratios'!AH9&gt;'SK-ratios'!$AC9,10,10*LOG(1+('SK-ratios'!$U9-1)*('SK-ratios'!AH9-'SK-ratios'!$Y9)/('SK-ratios'!$AC9-'SK-ratios'!$Y9))/LOG('SK-ratios'!$U9))</f>
        <v>2.7509380153049379</v>
      </c>
      <c r="Z6" s="455">
        <f>IF('SK-ratios'!AI9&gt;'SK-ratios'!$AC9,10,10*LOG(1+('SK-ratios'!$U9-1)*('SK-ratios'!AI9-'SK-ratios'!$Y9)/('SK-ratios'!$AC9-'SK-ratios'!$Y9))/LOG('SK-ratios'!$U9))</f>
        <v>2.5732605147289012</v>
      </c>
      <c r="AA6" s="455">
        <f>IF('SK-ratios'!AJ9&gt;'SK-ratios'!$AC9,10,10*LOG(1+('SK-ratios'!$U9-1)*('SK-ratios'!AJ9-'SK-ratios'!$Y9)/('SK-ratios'!$AC9-'SK-ratios'!$Y9))/LOG('SK-ratios'!$U9))</f>
        <v>2.1816155974369975</v>
      </c>
      <c r="AB6" s="455">
        <f>IF('SK-ratios'!AK9&gt;'SK-ratios'!$AC9,10,10*LOG(1+('SK-ratios'!$U9-1)*('SK-ratios'!AK9-'SK-ratios'!$Y9)/('SK-ratios'!$AC9-'SK-ratios'!$Y9))/LOG('SK-ratios'!$U9))</f>
        <v>6.1306395563183784</v>
      </c>
      <c r="AC6" s="455">
        <f>IF('SK-ratios'!AL9&gt;'SK-ratios'!$AC9,10,10*LOG(1+('SK-ratios'!$U9-1)*('SK-ratios'!AL9-'SK-ratios'!$Y9)/('SK-ratios'!$AC9-'SK-ratios'!$Y9))/LOG('SK-ratios'!$U9))</f>
        <v>3.967265283017881</v>
      </c>
      <c r="AD6" s="455">
        <f>IF('SK-ratios'!AM9&gt;'SK-ratios'!$AC9,10,10*LOG(1+('SK-ratios'!$U9-1)*('SK-ratios'!AM9-'SK-ratios'!$Y9)/('SK-ratios'!$AC9-'SK-ratios'!$Y9))/LOG('SK-ratios'!$U9))</f>
        <v>5.1150594305563386</v>
      </c>
      <c r="AE6" s="455">
        <f>IF('SK-ratios'!AN9&gt;'SK-ratios'!$AC9,10,10*LOG(1+('SK-ratios'!$U9-1)*('SK-ratios'!AN9-'SK-ratios'!$Y9)/('SK-ratios'!$AC9-'SK-ratios'!$Y9))/LOG('SK-ratios'!$U9))</f>
        <v>0.10920590712180153</v>
      </c>
      <c r="AF6" s="455">
        <f>IF('SK-ratios'!AO9&gt;'SK-ratios'!$AC9,10,10*LOG(1+('SK-ratios'!$U9-1)*('SK-ratios'!AO9-'SK-ratios'!$Y9)/('SK-ratios'!$AC9-'SK-ratios'!$Y9))/LOG('SK-ratios'!$U9))</f>
        <v>3.9493008217256893</v>
      </c>
      <c r="AG6" s="455">
        <f>IF('SK-ratios'!AP9&gt;'SK-ratios'!$AC9,10,10*LOG(1+('SK-ratios'!$U9-1)*('SK-ratios'!AP9-'SK-ratios'!$Y9)/('SK-ratios'!$AC9-'SK-ratios'!$Y9))/LOG('SK-ratios'!$U9))</f>
        <v>5.5658215407909628</v>
      </c>
      <c r="AH6" s="455">
        <f>IF('SK-ratios'!AQ9&gt;'SK-ratios'!$AC9,10,10*LOG(1+('SK-ratios'!$U9-1)*('SK-ratios'!AQ9-'SK-ratios'!$Y9)/('SK-ratios'!$AC9-'SK-ratios'!$Y9))/LOG('SK-ratios'!$U9))</f>
        <v>10</v>
      </c>
      <c r="AI6" s="455">
        <f>IF('SK-ratios'!AR9&gt;'SK-ratios'!$AC9,10,10*LOG(1+('SK-ratios'!$U9-1)*('SK-ratios'!AR9-'SK-ratios'!$Y9)/('SK-ratios'!$AC9-'SK-ratios'!$Y9))/LOG('SK-ratios'!$U9))</f>
        <v>2.5852823308144943</v>
      </c>
      <c r="AJ6" s="455">
        <f>IF('SK-ratios'!AS9&gt;'SK-ratios'!$AC9,10,10*LOG(1+('SK-ratios'!$U9-1)*('SK-ratios'!AS9-'SK-ratios'!$Y9)/('SK-ratios'!$AC9-'SK-ratios'!$Y9))/LOG('SK-ratios'!$U9))</f>
        <v>0.21978192683712197</v>
      </c>
      <c r="AK6" s="455">
        <f>IF('SK-ratios'!AT9&gt;'SK-ratios'!$AC9,10,10*LOG(1+('SK-ratios'!$U9-1)*('SK-ratios'!AT9-'SK-ratios'!$Y9)/('SK-ratios'!$AC9-'SK-ratios'!$Y9))/LOG('SK-ratios'!$U9))</f>
        <v>4.1785699989573777</v>
      </c>
      <c r="AL6" s="455">
        <f>IF('SK-ratios'!AU9&gt;'SK-ratios'!$AC9,10,10*LOG(1+('SK-ratios'!$U9-1)*('SK-ratios'!AU9-'SK-ratios'!$Y9)/('SK-ratios'!$AC9-'SK-ratios'!$Y9))/LOG('SK-ratios'!$U9))</f>
        <v>5.6232125080347144</v>
      </c>
      <c r="AM6" s="455">
        <f>IF('SK-ratios'!AV9&gt;'SK-ratios'!$AC9,10,10*LOG(1+('SK-ratios'!$U9-1)*('SK-ratios'!AV9-'SK-ratios'!$Y9)/('SK-ratios'!$AC9-'SK-ratios'!$Y9))/LOG('SK-ratios'!$U9))</f>
        <v>6.1352176218568211</v>
      </c>
      <c r="AN6" s="455">
        <f>IF('SK-ratios'!AW9&gt;'SK-ratios'!$AC9,10,10*LOG(1+('SK-ratios'!$U9-1)*('SK-ratios'!AW9-'SK-ratios'!$Y9)/('SK-ratios'!$AC9-'SK-ratios'!$Y9))/LOG('SK-ratios'!$U9))</f>
        <v>5.1295881358496596</v>
      </c>
      <c r="AO6" s="455">
        <f>IF('SK-ratios'!AX9&gt;'SK-ratios'!$AC9,10,10*LOG(1+('SK-ratios'!$U9-1)*('SK-ratios'!AX9-'SK-ratios'!$Y9)/('SK-ratios'!$AC9-'SK-ratios'!$Y9))/LOG('SK-ratios'!$U9))</f>
        <v>6.6343007374120235</v>
      </c>
      <c r="AP6" s="455">
        <f>IF('SK-ratios'!AY9&gt;'SK-ratios'!$AC9,10,10*LOG(1+('SK-ratios'!$U9-1)*('SK-ratios'!AY9-'SK-ratios'!$Y9)/('SK-ratios'!$AC9-'SK-ratios'!$Y9))/LOG('SK-ratios'!$U9))</f>
        <v>1.7683624543706513</v>
      </c>
      <c r="AQ6" s="455">
        <f>IF('SK-ratios'!AZ9&gt;'SK-ratios'!$AC9,10,10*LOG(1+('SK-ratios'!$U9-1)*('SK-ratios'!AZ9-'SK-ratios'!$Y9)/('SK-ratios'!$AC9-'SK-ratios'!$Y9))/LOG('SK-ratios'!$U9))</f>
        <v>10</v>
      </c>
      <c r="AR6" s="455">
        <f>IF('SK-ratios'!BA9&gt;'SK-ratios'!$AC9,10,10*LOG(1+('SK-ratios'!$U9-1)*('SK-ratios'!BA9-'SK-ratios'!$Y9)/('SK-ratios'!$AC9-'SK-ratios'!$Y9))/LOG('SK-ratios'!$U9))</f>
        <v>7.3359818230948992</v>
      </c>
      <c r="AS6" s="455">
        <f>IF('SK-ratios'!BB9&gt;'SK-ratios'!$AC9,10,10*LOG(1+('SK-ratios'!$U9-1)*('SK-ratios'!BB9-'SK-ratios'!$Y9)/('SK-ratios'!$AC9-'SK-ratios'!$Y9))/LOG('SK-ratios'!$U9))</f>
        <v>6.4899077696840557</v>
      </c>
      <c r="AT6" s="455">
        <f>IF('SK-ratios'!BC9&gt;'SK-ratios'!$AC9,10,10*LOG(1+('SK-ratios'!$U9-1)*('SK-ratios'!BC9-'SK-ratios'!$Y9)/('SK-ratios'!$AC9-'SK-ratios'!$Y9))/LOG('SK-ratios'!$U9))</f>
        <v>0.76418769578075973</v>
      </c>
      <c r="AU6" s="455">
        <f>IF('SK-ratios'!BD9&gt;'SK-ratios'!$AC9,10,10*LOG(1+('SK-ratios'!$U9-1)*('SK-ratios'!BD9-'SK-ratios'!$Y9)/('SK-ratios'!$AC9-'SK-ratios'!$Y9))/LOG('SK-ratios'!$U9))</f>
        <v>1.7475897092938457</v>
      </c>
      <c r="AV6" s="455">
        <f>IF('SK-ratios'!BE9&gt;'SK-ratios'!$AC9,10,10*LOG(1+('SK-ratios'!$U9-1)*('SK-ratios'!BE9-'SK-ratios'!$Y9)/('SK-ratios'!$AC9-'SK-ratios'!$Y9))/LOG('SK-ratios'!$U9))</f>
        <v>10</v>
      </c>
      <c r="AW6" s="455">
        <f>IF('SK-ratios'!BF9&gt;'SK-ratios'!$AC9,10,10*LOG(1+('SK-ratios'!$U9-1)*('SK-ratios'!BF9-'SK-ratios'!$Y9)/('SK-ratios'!$AC9-'SK-ratios'!$Y9))/LOG('SK-ratios'!$U9))</f>
        <v>7.2820296137016163</v>
      </c>
      <c r="AX6" s="455">
        <f>IF('SK-ratios'!BG9&gt;'SK-ratios'!$AC9,10,10*LOG(1+('SK-ratios'!$U9-1)*('SK-ratios'!BG9-'SK-ratios'!$Y9)/('SK-ratios'!$AC9-'SK-ratios'!$Y9))/LOG('SK-ratios'!$U9))</f>
        <v>3.1357246086603516</v>
      </c>
      <c r="AY6" s="455">
        <f>IF('SK-ratios'!BH9&gt;'SK-ratios'!$AC9,10,10*LOG(1+('SK-ratios'!$U9-1)*('SK-ratios'!BH9-'SK-ratios'!$Y9)/('SK-ratios'!$AC9-'SK-ratios'!$Y9))/LOG('SK-ratios'!$U9))</f>
        <v>8.7038220130547952</v>
      </c>
      <c r="AZ6" s="455">
        <f>IF('SK-ratios'!BI9&gt;'SK-ratios'!$AC9,10,10*LOG(1+('SK-ratios'!$U9-1)*('SK-ratios'!BI9-'SK-ratios'!$Y9)/('SK-ratios'!$AC9-'SK-ratios'!$Y9))/LOG('SK-ratios'!$U9))</f>
        <v>7.1989304804850578</v>
      </c>
      <c r="BA6" s="455">
        <f>IF('SK-ratios'!BJ9&gt;'SK-ratios'!$AC9,10,10*LOG(1+('SK-ratios'!$U9-1)*('SK-ratios'!BJ9-'SK-ratios'!$Y9)/('SK-ratios'!$AC9-'SK-ratios'!$Y9))/LOG('SK-ratios'!$U9))</f>
        <v>0.7888321520372904</v>
      </c>
      <c r="BB6" s="455">
        <f>IF('SK-ratios'!BK9&gt;'SK-ratios'!$AC9,10,10*LOG(1+('SK-ratios'!$U9-1)*('SK-ratios'!BK9-'SK-ratios'!$Y9)/('SK-ratios'!$AC9-'SK-ratios'!$Y9))/LOG('SK-ratios'!$U9))</f>
        <v>7.5823952506583501</v>
      </c>
      <c r="BC6" s="455">
        <f>IF('SK-ratios'!BL9&gt;'SK-ratios'!$AC9,10,10*LOG(1+('SK-ratios'!$U9-1)*('SK-ratios'!BL9-'SK-ratios'!$Y9)/('SK-ratios'!$AC9-'SK-ratios'!$Y9))/LOG('SK-ratios'!$U9))</f>
        <v>2.2939548547013557</v>
      </c>
      <c r="BD6" s="455">
        <f>IF('SK-ratios'!BM9&gt;'SK-ratios'!$AC9,10,10*LOG(1+('SK-ratios'!$U9-1)*('SK-ratios'!BM9-'SK-ratios'!$Y9)/('SK-ratios'!$AC9-'SK-ratios'!$Y9))/LOG('SK-ratios'!$U9))</f>
        <v>6.0671660590462304</v>
      </c>
      <c r="BE6" s="455">
        <f>IF('SK-ratios'!BN9&gt;'SK-ratios'!$AC9,10,10*LOG(1+('SK-ratios'!$U9-1)*('SK-ratios'!BN9-'SK-ratios'!$Y9)/('SK-ratios'!$AC9-'SK-ratios'!$Y9))/LOG('SK-ratios'!$U9))</f>
        <v>1.2715970082840493</v>
      </c>
      <c r="BF6" s="455">
        <f>IF('SK-ratios'!BO9&gt;'SK-ratios'!$AC9,10,10*LOG(1+('SK-ratios'!$U9-1)*('SK-ratios'!BO9-'SK-ratios'!$Y9)/('SK-ratios'!$AC9-'SK-ratios'!$Y9))/LOG('SK-ratios'!$U9))</f>
        <v>7.7984545496918543</v>
      </c>
      <c r="BG6" s="455">
        <f>IF('SK-ratios'!BP9&gt;'SK-ratios'!$AC9,10,10*LOG(1+('SK-ratios'!$U9-1)*('SK-ratios'!BP9-'SK-ratios'!$Y9)/('SK-ratios'!$AC9-'SK-ratios'!$Y9))/LOG('SK-ratios'!$U9))</f>
        <v>0.75262793131082373</v>
      </c>
      <c r="BH6" s="455">
        <f>IF('SK-ratios'!BQ9&gt;'SK-ratios'!$AC9,10,10*LOG(1+('SK-ratios'!$U9-1)*('SK-ratios'!BQ9-'SK-ratios'!$Y9)/('SK-ratios'!$AC9-'SK-ratios'!$Y9))/LOG('SK-ratios'!$U9))</f>
        <v>3.43264235426747</v>
      </c>
      <c r="BI6" s="455">
        <f>IF('SK-ratios'!BR9&gt;'SK-ratios'!$AC9,10,10*LOG(1+('SK-ratios'!$U9-1)*('SK-ratios'!BR9-'SK-ratios'!$Y9)/('SK-ratios'!$AC9-'SK-ratios'!$Y9))/LOG('SK-ratios'!$U9))</f>
        <v>0.29677319256051238</v>
      </c>
      <c r="BJ6" s="455">
        <f>IF('SK-ratios'!BS9&gt;'SK-ratios'!$AC9,10,10*LOG(1+('SK-ratios'!$U9-1)*('SK-ratios'!BS9-'SK-ratios'!$Y9)/('SK-ratios'!$AC9-'SK-ratios'!$Y9))/LOG('SK-ratios'!$U9))</f>
        <v>0.13964874211267769</v>
      </c>
      <c r="BK6" s="455">
        <f>IF('SK-ratios'!BT9&gt;'SK-ratios'!$AC9,10,10*LOG(1+('SK-ratios'!$U9-1)*('SK-ratios'!BT9-'SK-ratios'!$Y9)/('SK-ratios'!$AC9-'SK-ratios'!$Y9))/LOG('SK-ratios'!$U9))</f>
        <v>6.4178184385867381</v>
      </c>
      <c r="BL6" s="455">
        <f>IF('SK-ratios'!BU9&gt;'SK-ratios'!$AC9,10,10*LOG(1+('SK-ratios'!$U9-1)*('SK-ratios'!BU9-'SK-ratios'!$Y9)/('SK-ratios'!$AC9-'SK-ratios'!$Y9))/LOG('SK-ratios'!$U9))</f>
        <v>0.17454345853879494</v>
      </c>
      <c r="BM6" s="455">
        <f>IF('SK-ratios'!BV9&gt;'SK-ratios'!$AC9,10,10*LOG(1+('SK-ratios'!$U9-1)*('SK-ratios'!BV9-'SK-ratios'!$Y9)/('SK-ratios'!$AC9-'SK-ratios'!$Y9))/LOG('SK-ratios'!$U9))</f>
        <v>9.2183601809202766</v>
      </c>
      <c r="BN6" s="455">
        <f>IF('SK-ratios'!BW9&gt;'SK-ratios'!$AC9,10,10*LOG(1+('SK-ratios'!$U9-1)*('SK-ratios'!BW9-'SK-ratios'!$Y9)/('SK-ratios'!$AC9-'SK-ratios'!$Y9))/LOG('SK-ratios'!$U9))</f>
        <v>6.0101917949155244</v>
      </c>
      <c r="BO6" s="455">
        <f>IF('SK-ratios'!BX9&gt;'SK-ratios'!$AC9,10,10*LOG(1+('SK-ratios'!$U9-1)*('SK-ratios'!BX9-'SK-ratios'!$Y9)/('SK-ratios'!$AC9-'SK-ratios'!$Y9))/LOG('SK-ratios'!$U9))</f>
        <v>5.2760578696803044</v>
      </c>
      <c r="BP6" s="455">
        <f>IF('SK-ratios'!BY9&gt;'SK-ratios'!$AC9,10,10*LOG(1+('SK-ratios'!$U9-1)*('SK-ratios'!BY9-'SK-ratios'!$Y9)/('SK-ratios'!$AC9-'SK-ratios'!$Y9))/LOG('SK-ratios'!$U9))</f>
        <v>0.36803167550322741</v>
      </c>
      <c r="BQ6" s="455">
        <f>IF('SK-ratios'!BZ9&gt;'SK-ratios'!$AC9,10,10*LOG(1+('SK-ratios'!$U9-1)*('SK-ratios'!BZ9-'SK-ratios'!$Y9)/('SK-ratios'!$AC9-'SK-ratios'!$Y9))/LOG('SK-ratios'!$U9))</f>
        <v>9.9968671676460197</v>
      </c>
      <c r="BR6" s="455">
        <f>IF('SK-ratios'!CA9&gt;'SK-ratios'!$AC9,10,10*LOG(1+('SK-ratios'!$U9-1)*('SK-ratios'!CA9-'SK-ratios'!$Y9)/('SK-ratios'!$AC9-'SK-ratios'!$Y9))/LOG('SK-ratios'!$U9))</f>
        <v>5.3791604312403232</v>
      </c>
      <c r="BS6" s="455">
        <f>IF('SK-ratios'!CB9&gt;'SK-ratios'!$AC9,10,10*LOG(1+('SK-ratios'!$U9-1)*('SK-ratios'!CB9-'SK-ratios'!$Y9)/('SK-ratios'!$AC9-'SK-ratios'!$Y9))/LOG('SK-ratios'!$U9))</f>
        <v>4.100900988714467</v>
      </c>
      <c r="BT6" s="455">
        <f>IF('SK-ratios'!CC9&gt;'SK-ratios'!$AC9,10,10*LOG(1+('SK-ratios'!$U9-1)*('SK-ratios'!CC9-'SK-ratios'!$Y9)/('SK-ratios'!$AC9-'SK-ratios'!$Y9))/LOG('SK-ratios'!$U9))</f>
        <v>1.8985425078698457</v>
      </c>
      <c r="BU6" s="455">
        <f>IF('SK-ratios'!CD9&gt;'SK-ratios'!$AC9,10,10*LOG(1+('SK-ratios'!$U9-1)*('SK-ratios'!CD9-'SK-ratios'!$Y9)/('SK-ratios'!$AC9-'SK-ratios'!$Y9))/LOG('SK-ratios'!$U9))</f>
        <v>5.8809524754657083</v>
      </c>
      <c r="BV6" s="455">
        <f>IF('SK-ratios'!CE9&gt;'SK-ratios'!$AC9,10,10*LOG(1+('SK-ratios'!$U9-1)*('SK-ratios'!CE9-'SK-ratios'!$Y9)/('SK-ratios'!$AC9-'SK-ratios'!$Y9))/LOG('SK-ratios'!$U9))</f>
        <v>10</v>
      </c>
      <c r="BW6" s="455">
        <f>IF('SK-ratios'!CF9&gt;'SK-ratios'!$AC9,10,10*LOG(1+('SK-ratios'!$U9-1)*('SK-ratios'!CF9-'SK-ratios'!$Y9)/('SK-ratios'!$AC9-'SK-ratios'!$Y9))/LOG('SK-ratios'!$U9))</f>
        <v>4.9373652706347766</v>
      </c>
      <c r="BX6" s="455">
        <f>IF('SK-ratios'!CG9&gt;'SK-ratios'!$AC9,10,10*LOG(1+('SK-ratios'!$U9-1)*('SK-ratios'!CG9-'SK-ratios'!$Y9)/('SK-ratios'!$AC9-'SK-ratios'!$Y9))/LOG('SK-ratios'!$U9))</f>
        <v>1.1861711517996492</v>
      </c>
      <c r="BY6" s="455">
        <f>IF('SK-ratios'!CH9&gt;'SK-ratios'!$AC9,10,10*LOG(1+('SK-ratios'!$U9-1)*('SK-ratios'!CH9-'SK-ratios'!$Y9)/('SK-ratios'!$AC9-'SK-ratios'!$Y9))/LOG('SK-ratios'!$U9))</f>
        <v>4.8579556749656643</v>
      </c>
      <c r="BZ6" s="455">
        <f>IF('SK-ratios'!CI9&gt;'SK-ratios'!$AC9,10,10*LOG(1+('SK-ratios'!$U9-1)*('SK-ratios'!CI9-'SK-ratios'!$Y9)/('SK-ratios'!$AC9-'SK-ratios'!$Y9))/LOG('SK-ratios'!$U9))</f>
        <v>4.5617180871939729</v>
      </c>
      <c r="CA6" s="455">
        <f>IF('SK-ratios'!CJ9&gt;'SK-ratios'!$AC9,10,10*LOG(1+('SK-ratios'!$U9-1)*('SK-ratios'!CJ9-'SK-ratios'!$Y9)/('SK-ratios'!$AC9-'SK-ratios'!$Y9))/LOG('SK-ratios'!$U9))</f>
        <v>3.4777675416629665</v>
      </c>
      <c r="CB6" s="455">
        <f>IF('SK-ratios'!CK9&gt;'SK-ratios'!$AC9,10,10*LOG(1+('SK-ratios'!$U9-1)*('SK-ratios'!CK9-'SK-ratios'!$Y9)/('SK-ratios'!$AC9-'SK-ratios'!$Y9))/LOG('SK-ratios'!$U9))</f>
        <v>10</v>
      </c>
      <c r="CC6" s="455">
        <f>IF('SK-ratios'!CL9&gt;'SK-ratios'!$AC9,10,10*LOG(1+('SK-ratios'!$U9-1)*('SK-ratios'!CL9-'SK-ratios'!$Y9)/('SK-ratios'!$AC9-'SK-ratios'!$Y9))/LOG('SK-ratios'!$U9))</f>
        <v>9.6613795402954814</v>
      </c>
      <c r="CD6" s="455">
        <f>IF('SK-ratios'!CM9&gt;'SK-ratios'!$AC9,10,10*LOG(1+('SK-ratios'!$U9-1)*('SK-ratios'!CM9-'SK-ratios'!$Y9)/('SK-ratios'!$AC9-'SK-ratios'!$Y9))/LOG('SK-ratios'!$U9))</f>
        <v>3.398780538165675</v>
      </c>
      <c r="CE6" s="455">
        <f>IF('SK-ratios'!CN9&gt;'SK-ratios'!$AC9,10,10*LOG(1+('SK-ratios'!$U9-1)*('SK-ratios'!CN9-'SK-ratios'!$Y9)/('SK-ratios'!$AC9-'SK-ratios'!$Y9))/LOG('SK-ratios'!$U9))</f>
        <v>5.1750903004444639</v>
      </c>
      <c r="CF6" s="455">
        <f>IF('SK-ratios'!CO9&gt;'SK-ratios'!$AC9,10,10*LOG(1+('SK-ratios'!$U9-1)*('SK-ratios'!CO9-'SK-ratios'!$Y9)/('SK-ratios'!$AC9-'SK-ratios'!$Y9))/LOG('SK-ratios'!$U9))</f>
        <v>9.8777532397987748</v>
      </c>
      <c r="CG6" s="455">
        <f>IF('SK-ratios'!CP9&gt;'SK-ratios'!$AC9,10,10*LOG(1+('SK-ratios'!$U9-1)*('SK-ratios'!CP9-'SK-ratios'!$Y9)/('SK-ratios'!$AC9-'SK-ratios'!$Y9))/LOG('SK-ratios'!$U9))</f>
        <v>7.9173763560774111</v>
      </c>
      <c r="CH6" s="455">
        <f>IF('SK-ratios'!CQ9&gt;'SK-ratios'!$AC9,10,10*LOG(1+('SK-ratios'!$U9-1)*('SK-ratios'!CQ9-'SK-ratios'!$Y9)/('SK-ratios'!$AC9-'SK-ratios'!$Y9))/LOG('SK-ratios'!$U9))</f>
        <v>3.1291749009762815</v>
      </c>
      <c r="CI6" s="455">
        <f>IF('SK-ratios'!CR9&gt;'SK-ratios'!$AC9,10,10*LOG(1+('SK-ratios'!$U9-1)*('SK-ratios'!CR9-'SK-ratios'!$Y9)/('SK-ratios'!$AC9-'SK-ratios'!$Y9))/LOG('SK-ratios'!$U9))</f>
        <v>7.3362189686857553</v>
      </c>
      <c r="CJ6" s="455">
        <f>IF('SK-ratios'!CS9&gt;'SK-ratios'!$AC9,10,10*LOG(1+('SK-ratios'!$U9-1)*('SK-ratios'!CS9-'SK-ratios'!$Y9)/('SK-ratios'!$AC9-'SK-ratios'!$Y9))/LOG('SK-ratios'!$U9))</f>
        <v>7.9709101372920186</v>
      </c>
      <c r="CK6" s="455">
        <f>IF('SK-ratios'!CT9&gt;'SK-ratios'!$AC9,10,10*LOG(1+('SK-ratios'!$U9-1)*('SK-ratios'!CT9-'SK-ratios'!$Y9)/('SK-ratios'!$AC9-'SK-ratios'!$Y9))/LOG('SK-ratios'!$U9))</f>
        <v>6.4282510922082334</v>
      </c>
      <c r="CL6" s="455">
        <f>IF('SK-ratios'!CU9&gt;'SK-ratios'!$AC9,10,10*LOG(1+('SK-ratios'!$U9-1)*('SK-ratios'!CU9-'SK-ratios'!$Y9)/('SK-ratios'!$AC9-'SK-ratios'!$Y9))/LOG('SK-ratios'!$U9))</f>
        <v>2.4963035526688584</v>
      </c>
      <c r="CM6" s="455">
        <f>IF('SK-ratios'!CV9&gt;'SK-ratios'!$AC9,10,10*LOG(1+('SK-ratios'!$U9-1)*('SK-ratios'!CV9-'SK-ratios'!$Y9)/('SK-ratios'!$AC9-'SK-ratios'!$Y9))/LOG('SK-ratios'!$U9))</f>
        <v>10</v>
      </c>
      <c r="CN6" s="455">
        <f>IF('SK-ratios'!CW9&gt;'SK-ratios'!$AC9,10,10*LOG(1+('SK-ratios'!$U9-1)*('SK-ratios'!CW9-'SK-ratios'!$Y9)/('SK-ratios'!$AC9-'SK-ratios'!$Y9))/LOG('SK-ratios'!$U9))</f>
        <v>5.2068271686069112</v>
      </c>
      <c r="CO6" s="455">
        <f>IF('SK-ratios'!CX9&gt;'SK-ratios'!$AC9,10,10*LOG(1+('SK-ratios'!$U9-1)*('SK-ratios'!CX9-'SK-ratios'!$Y9)/('SK-ratios'!$AC9-'SK-ratios'!$Y9))/LOG('SK-ratios'!$U9))</f>
        <v>0.56758307130022767</v>
      </c>
      <c r="CP6" s="455">
        <f>IF('SK-ratios'!CY9&gt;'SK-ratios'!$AC9,10,10*LOG(1+('SK-ratios'!$U9-1)*('SK-ratios'!CY9-'SK-ratios'!$Y9)/('SK-ratios'!$AC9-'SK-ratios'!$Y9))/LOG('SK-ratios'!$U9))</f>
        <v>1.2746676335694209</v>
      </c>
      <c r="CQ6" s="455">
        <f>IF('SK-ratios'!CZ9&gt;'SK-ratios'!$AC9,10,10*LOG(1+('SK-ratios'!$U9-1)*('SK-ratios'!CZ9-'SK-ratios'!$Y9)/('SK-ratios'!$AC9-'SK-ratios'!$Y9))/LOG('SK-ratios'!$U9))</f>
        <v>0.89069664332750986</v>
      </c>
      <c r="CR6" s="455">
        <f>IF('SK-ratios'!DA9&gt;'SK-ratios'!$AC9,10,10*LOG(1+('SK-ratios'!$U9-1)*('SK-ratios'!DA9-'SK-ratios'!$Y9)/('SK-ratios'!$AC9-'SK-ratios'!$Y9))/LOG('SK-ratios'!$U9))</f>
        <v>8.7479510528122155</v>
      </c>
      <c r="CS6" s="455">
        <f>IF('SK-ratios'!DB9&gt;'SK-ratios'!$AC9,10,10*LOG(1+('SK-ratios'!$U9-1)*('SK-ratios'!DB9-'SK-ratios'!$Y9)/('SK-ratios'!$AC9-'SK-ratios'!$Y9))/LOG('SK-ratios'!$U9))</f>
        <v>5.6895237837303219</v>
      </c>
      <c r="CT6" s="455">
        <f>IF('SK-ratios'!DC9&gt;'SK-ratios'!$AC9,10,10*LOG(1+('SK-ratios'!$U9-1)*('SK-ratios'!DC9-'SK-ratios'!$Y9)/('SK-ratios'!$AC9-'SK-ratios'!$Y9))/LOG('SK-ratios'!$U9))</f>
        <v>4.6408561421599472</v>
      </c>
      <c r="CU6" s="455">
        <f>IF('SK-ratios'!DD9&gt;'SK-ratios'!$AC9,10,10*LOG(1+('SK-ratios'!$U9-1)*('SK-ratios'!DD9-'SK-ratios'!$Y9)/('SK-ratios'!$AC9-'SK-ratios'!$Y9))/LOG('SK-ratios'!$U9))</f>
        <v>6.1454590927289239</v>
      </c>
      <c r="CV6" s="455">
        <f>IF('SK-ratios'!DE9&gt;'SK-ratios'!$AC9,10,10*LOG(1+('SK-ratios'!$U9-1)*('SK-ratios'!DE9-'SK-ratios'!$Y9)/('SK-ratios'!$AC9-'SK-ratios'!$Y9))/LOG('SK-ratios'!$U9))</f>
        <v>3.4690137024921346</v>
      </c>
      <c r="CW6" s="455">
        <f>IF('SK-ratios'!DF9&gt;'SK-ratios'!$AC9,10,10*LOG(1+('SK-ratios'!$U9-1)*('SK-ratios'!DF9-'SK-ratios'!$Y9)/('SK-ratios'!$AC9-'SK-ratios'!$Y9))/LOG('SK-ratios'!$U9))</f>
        <v>0.81809408939101103</v>
      </c>
      <c r="CX6" s="455">
        <f>IF('SK-ratios'!DG9&gt;'SK-ratios'!$AC9,10,10*LOG(1+('SK-ratios'!$U9-1)*('SK-ratios'!DG9-'SK-ratios'!$Y9)/('SK-ratios'!$AC9-'SK-ratios'!$Y9))/LOG('SK-ratios'!$U9))</f>
        <v>0.24798231069347162</v>
      </c>
      <c r="CZ6" s="546"/>
      <c r="DA6" s="455">
        <f t="array" ref="DA6">SUMPRODUCT(IF(($W$3:$CX$3=DA$3)*($W$2:$CX$2=DA$2),$W6:$CX6),IF(($W$3:$CX$3=DA$3)*($W$2:$CX$2=DA$2),$W$19:$CX$19))/SUM(IF(($W$3:$CX$3=DA$3)*($W$2:$CX$2=DA$2),$W$19:$CX$19))</f>
        <v>6.0017443517399656</v>
      </c>
      <c r="DB6" s="455">
        <f t="array" ref="DB6">SUMPRODUCT(IF(($W$3:$CX$3=DB$3)*($W$2:$CX$2=DB$2),$W6:$CX6),IF(($W$3:$CX$3=DB$3)*($W$2:$CX$2=DB$2),$W$19:$CX$19))/SUM(IF(($W$3:$CX$3=DB$3)*($W$2:$CX$2=DB$2),$W$19:$CX$19))</f>
        <v>4.9380282970182545</v>
      </c>
      <c r="DC6" s="455">
        <f t="array" ref="DC6">SUMPRODUCT(IF(($W$3:$CX$3=DC$3)*($W$2:$CX$2=DC$2),$W6:$CX6),IF(($W$3:$CX$3=DC$3)*($W$2:$CX$2=DC$2),$W$19:$CX$19))/SUM(IF(($W$3:$CX$3=DC$3)*($W$2:$CX$2=DC$2),$W$19:$CX$19))</f>
        <v>3.7011076232604698</v>
      </c>
      <c r="DD6" s="455">
        <f t="array" ref="DD6">SUMPRODUCT(IF(($W$3:$CX$3=DD$3)*($W$2:$CX$2=DD$2),$W6:$CX6),IF(($W$3:$CX$3=DD$3)*($W$2:$CX$2=DD$2),$W$19:$CX$19))/SUM(IF(($W$3:$CX$3=DD$3)*($W$2:$CX$2=DD$2),$W$19:$CX$19))</f>
        <v>6.0369852349863624</v>
      </c>
      <c r="DE6" s="455">
        <f t="array" ref="DE6">SUMPRODUCT(IF(($W$3:$CX$3=DE$3)*($W$2:$CX$2=DE$2),$W6:$CX6),IF(($W$3:$CX$3=DE$3)*($W$2:$CX$2=DE$2),$W$19:$CX$19))/SUM(IF(($W$3:$CX$3=DE$3)*($W$2:$CX$2=DE$2),$W$19:$CX$19))</f>
        <v>4.6859821223923461</v>
      </c>
      <c r="DF6" s="455">
        <f t="array" ref="DF6">SUMPRODUCT(IF(($W$3:$CX$3=DF$3)*($W$2:$CX$2=DF$2),$W6:$CX6),IF(($W$3:$CX$3=DF$3)*($W$2:$CX$2=DF$2),$W$19:$CX$19))/SUM(IF(($W$3:$CX$3=DF$3)*($W$2:$CX$2=DF$2),$W$19:$CX$19))</f>
        <v>7.276940833661623</v>
      </c>
      <c r="DG6" s="455">
        <f t="array" ref="DG6">SUMPRODUCT(IF(($W$3:$CX$3=DG$3)*($W$2:$CX$2=DG$2),$W6:$CX6),IF(($W$3:$CX$3=DG$3)*($W$2:$CX$2=DG$2),$W$19:$CX$19))/SUM(IF(($W$3:$CX$3=DG$3)*($W$2:$CX$2=DG$2),$W$19:$CX$19))</f>
        <v>1.7824306120945221</v>
      </c>
      <c r="DH6" s="455">
        <f t="array" ref="DH6">SUMPRODUCT(IF(($W$3:$CX$3=DH$3)*($W$2:$CX$2=DH$2),$W6:$CX6),IF(($W$3:$CX$3=DH$3)*($W$2:$CX$2=DH$2),$W$19:$CX$19))/SUM(IF(($W$3:$CX$3=DH$3)*($W$2:$CX$2=DH$2),$W$19:$CX$19))</f>
        <v>4.1265188535835913</v>
      </c>
      <c r="DI6" s="455">
        <f t="array" ref="DI6">SUMPRODUCT(IF(($W$3:$CX$3=DI$3)*($W$2:$CX$2=DI$2),$W6:$CX6),IF(($W$3:$CX$3=DI$3)*($W$2:$CX$2=DI$2),$W$19:$CX$19))/SUM(IF(($W$3:$CX$3=DI$3)*($W$2:$CX$2=DI$2),$W$19:$CX$19))</f>
        <v>0.52569942472940168</v>
      </c>
      <c r="DJ6" s="455">
        <f t="array" ref="DJ6">SUMPRODUCT(IF(($W$3:$CX$3=DJ$3)*($W$2:$CX$2=DJ$2),$W6:$CX6),IF(($W$3:$CX$3=DJ$3)*($W$2:$CX$2=DJ$2),$W$19:$CX$19))/SUM(IF(($W$3:$CX$3=DJ$3)*($W$2:$CX$2=DJ$2),$W$19:$CX$19))</f>
        <v>2.43185393074303</v>
      </c>
      <c r="DK6" s="455">
        <f t="array" ref="DK6">SUMPRODUCT(IF(($W$3:$CX$3=DK$3)*1,$W6:$CX6),IF(($W$3:$CX$3=DK$3)*1,$W$19:$CX$19))/SUM(IF(($W$3:$CX$3=DK$3)*1,$W$19:$CX$19))</f>
        <v>3.2184320183420683</v>
      </c>
      <c r="DL6" s="455">
        <f t="array" ref="DL6">SUMPRODUCT(IF(($W$3:$CX$3=DL$3)*1,$W6:$CX6),IF(($W$3:$CX$3=DL$3)*1,$W$19:$CX$19))/SUM(IF(($W$3:$CX$3=DL$3)*1,$W$19:$CX$19))</f>
        <v>3.8913437199115113</v>
      </c>
      <c r="DM6" s="455">
        <f t="array" ref="DM6">SUMPRODUCT(IF(($W$3:$CX$3=DM$3)*1,$W6:$CX6),IF(($W$3:$CX$3=DM$3)*1,$W$19:$CX$19))/SUM(IF(($W$3:$CX$3=DM$3)*1,$W$19:$CX$19))</f>
        <v>4.2920143666440254</v>
      </c>
      <c r="DN6" s="455">
        <f t="array" ref="DN6">SUMPRODUCT(IF(1*($W$2:$CX$2=DN$2),$W6:$CX6),IF(1*($W$2:$CX$2=DN$2),$W$19:$CX$19))/SUM(IF(1*($W$2:$CX$2=DN$2),$W$19:$CX$19))</f>
        <v>5.3140868639723422</v>
      </c>
      <c r="DO6" s="455">
        <f t="array" ref="DO6">SUMPRODUCT(IF(1*($W$2:$CX$2=DO$2),$W6:$CX6),IF(1*($W$2:$CX$2=DO$2),$W$19:$CX$19))/SUM(IF(1*($W$2:$CX$2=DO$2),$W$19:$CX$19))</f>
        <v>2.5128392241184447</v>
      </c>
      <c r="DP6" s="455">
        <f t="array" ref="DP6">SUMPRODUCT(IF(1*1,$W6:$CX6),IF(1*1,$W$19:$CX$19))/SUM(IF(1*1,$W$19:$CX$19))</f>
        <v>4.2594459397628466</v>
      </c>
    </row>
    <row r="7" spans="1:120" s="461" customFormat="1" ht="15.75" customHeight="1" thickBot="1" x14ac:dyDescent="0.3">
      <c r="A7" s="641"/>
      <c r="B7" s="670"/>
      <c r="C7" s="647" t="str">
        <f>'MD-ratings-year'!C7:E7</f>
        <v>Liquidity total</v>
      </c>
      <c r="D7" s="648"/>
      <c r="E7" s="649"/>
      <c r="F7" s="423"/>
      <c r="G7" s="653"/>
      <c r="H7" s="266"/>
      <c r="I7" s="266"/>
      <c r="J7" s="266"/>
      <c r="K7" s="267"/>
      <c r="L7" s="267"/>
      <c r="M7" s="267"/>
      <c r="N7" s="267"/>
      <c r="O7" s="267"/>
      <c r="P7" s="267"/>
      <c r="Q7" s="267"/>
      <c r="R7" s="267"/>
      <c r="S7" s="266"/>
      <c r="T7" s="266"/>
      <c r="U7" s="266"/>
      <c r="V7" s="268"/>
      <c r="W7" s="462">
        <f>SUMPRODUCT(W4:W6,$C4:$C6)/SUM($C4:$C6)</f>
        <v>9.8526444787152219</v>
      </c>
      <c r="X7" s="462">
        <f t="shared" ref="X7:CI7" si="0">SUMPRODUCT(X4:X6,$C4:$C6)/SUM($C4:$C6)</f>
        <v>9.9364433856403771</v>
      </c>
      <c r="Y7" s="462">
        <f t="shared" si="0"/>
        <v>3.55370799000571</v>
      </c>
      <c r="Z7" s="462">
        <f t="shared" si="0"/>
        <v>2.8819747753034717</v>
      </c>
      <c r="AA7" s="462">
        <f t="shared" si="0"/>
        <v>2.9090290582691813</v>
      </c>
      <c r="AB7" s="462">
        <f t="shared" si="0"/>
        <v>5.8089650312497803</v>
      </c>
      <c r="AC7" s="462">
        <f t="shared" si="0"/>
        <v>5.260710759321932</v>
      </c>
      <c r="AD7" s="462">
        <f t="shared" si="0"/>
        <v>5.976624625412911</v>
      </c>
      <c r="AE7" s="462">
        <f t="shared" si="0"/>
        <v>3.549416529008977</v>
      </c>
      <c r="AF7" s="462">
        <f t="shared" si="0"/>
        <v>4.5253174430206577</v>
      </c>
      <c r="AG7" s="462">
        <f t="shared" si="0"/>
        <v>6.0829643920642207</v>
      </c>
      <c r="AH7" s="462">
        <f t="shared" si="0"/>
        <v>9.834150097153227</v>
      </c>
      <c r="AI7" s="462">
        <f t="shared" si="0"/>
        <v>4.1490455758005762</v>
      </c>
      <c r="AJ7" s="462">
        <f t="shared" si="0"/>
        <v>3.1996346632490869</v>
      </c>
      <c r="AK7" s="462">
        <f t="shared" si="0"/>
        <v>4.9572099655450863</v>
      </c>
      <c r="AL7" s="462">
        <f t="shared" si="0"/>
        <v>7.8612350845053882</v>
      </c>
      <c r="AM7" s="462">
        <f t="shared" si="0"/>
        <v>6.2379408143696766</v>
      </c>
      <c r="AN7" s="462">
        <f t="shared" si="0"/>
        <v>5.6702933592400271</v>
      </c>
      <c r="AO7" s="462">
        <f t="shared" si="0"/>
        <v>6.9557172865345862</v>
      </c>
      <c r="AP7" s="462">
        <f t="shared" si="0"/>
        <v>3.7213401606883125</v>
      </c>
      <c r="AQ7" s="462">
        <f t="shared" si="0"/>
        <v>10</v>
      </c>
      <c r="AR7" s="462">
        <f t="shared" si="0"/>
        <v>7.7440873855630388</v>
      </c>
      <c r="AS7" s="462">
        <f t="shared" si="0"/>
        <v>6.6691571234259301</v>
      </c>
      <c r="AT7" s="462">
        <f t="shared" si="0"/>
        <v>3.4061191635622894</v>
      </c>
      <c r="AU7" s="462">
        <f t="shared" si="0"/>
        <v>2.4966402731734383</v>
      </c>
      <c r="AV7" s="462">
        <f t="shared" si="0"/>
        <v>10</v>
      </c>
      <c r="AW7" s="462">
        <f t="shared" si="0"/>
        <v>7.2401304020267752</v>
      </c>
      <c r="AX7" s="462">
        <f t="shared" si="0"/>
        <v>3.4500493559545147</v>
      </c>
      <c r="AY7" s="462">
        <f t="shared" si="0"/>
        <v>9.1085911951276781</v>
      </c>
      <c r="AZ7" s="462">
        <f t="shared" si="0"/>
        <v>7.1764571481315693</v>
      </c>
      <c r="BA7" s="462">
        <f t="shared" si="0"/>
        <v>1.3805904925629402</v>
      </c>
      <c r="BB7" s="462">
        <f t="shared" si="0"/>
        <v>7.7471586198867026</v>
      </c>
      <c r="BC7" s="462">
        <f t="shared" si="0"/>
        <v>4.4464130217993549</v>
      </c>
      <c r="BD7" s="462">
        <f t="shared" si="0"/>
        <v>6.6942898506048154</v>
      </c>
      <c r="BE7" s="462">
        <f t="shared" si="0"/>
        <v>2.3140122447567397</v>
      </c>
      <c r="BF7" s="462">
        <f t="shared" si="0"/>
        <v>7.9557904849004535</v>
      </c>
      <c r="BG7" s="462">
        <f t="shared" si="0"/>
        <v>4.474121217005127</v>
      </c>
      <c r="BH7" s="462">
        <f t="shared" si="0"/>
        <v>4.7497802062150232</v>
      </c>
      <c r="BI7" s="462">
        <f t="shared" si="0"/>
        <v>2.7813503706977087</v>
      </c>
      <c r="BJ7" s="462">
        <f t="shared" si="0"/>
        <v>3.3569550813602147</v>
      </c>
      <c r="BK7" s="462">
        <f t="shared" si="0"/>
        <v>6.0942636423167027</v>
      </c>
      <c r="BL7" s="462">
        <f t="shared" si="0"/>
        <v>2.3592445396908714</v>
      </c>
      <c r="BM7" s="462">
        <f t="shared" si="0"/>
        <v>8.9323025484787593</v>
      </c>
      <c r="BN7" s="462">
        <f t="shared" si="0"/>
        <v>6.3715153739543844</v>
      </c>
      <c r="BO7" s="462">
        <f t="shared" si="0"/>
        <v>5.3058928030508374</v>
      </c>
      <c r="BP7" s="462">
        <f t="shared" si="0"/>
        <v>3.1489570901132606</v>
      </c>
      <c r="BQ7" s="462">
        <f t="shared" si="0"/>
        <v>9.6215314756079451</v>
      </c>
      <c r="BR7" s="462">
        <f t="shared" si="0"/>
        <v>5.1088065405829743</v>
      </c>
      <c r="BS7" s="462">
        <f t="shared" si="0"/>
        <v>4.8878751851056297</v>
      </c>
      <c r="BT7" s="462">
        <f t="shared" si="0"/>
        <v>2.7050060786265835</v>
      </c>
      <c r="BU7" s="462">
        <f t="shared" si="0"/>
        <v>5.6993229190643442</v>
      </c>
      <c r="BV7" s="462">
        <f t="shared" si="0"/>
        <v>10</v>
      </c>
      <c r="BW7" s="462">
        <f t="shared" si="0"/>
        <v>4.8501304310715465</v>
      </c>
      <c r="BX7" s="462">
        <f t="shared" si="0"/>
        <v>2.9896826007173574</v>
      </c>
      <c r="BY7" s="462">
        <f t="shared" si="0"/>
        <v>6.1014879315339066</v>
      </c>
      <c r="BZ7" s="462">
        <f t="shared" si="0"/>
        <v>5.8145249905441574</v>
      </c>
      <c r="CA7" s="462">
        <f t="shared" si="0"/>
        <v>4.0461988409413703</v>
      </c>
      <c r="CB7" s="462">
        <f t="shared" si="0"/>
        <v>10</v>
      </c>
      <c r="CC7" s="462">
        <f t="shared" si="0"/>
        <v>9.266161350459889</v>
      </c>
      <c r="CD7" s="462">
        <f t="shared" si="0"/>
        <v>4.0941909406880228</v>
      </c>
      <c r="CE7" s="462">
        <f t="shared" si="0"/>
        <v>5.9040250430517371</v>
      </c>
      <c r="CF7" s="462">
        <f t="shared" si="0"/>
        <v>9.5837912515475168</v>
      </c>
      <c r="CG7" s="462">
        <f t="shared" si="0"/>
        <v>7.781038579014111</v>
      </c>
      <c r="CH7" s="462">
        <f t="shared" si="0"/>
        <v>4.9866500992749101</v>
      </c>
      <c r="CI7" s="462">
        <f t="shared" si="0"/>
        <v>7.0150828601317929</v>
      </c>
      <c r="CJ7" s="462">
        <f t="shared" ref="CJ7:CX7" si="1">SUMPRODUCT(CJ4:CJ6,$C4:$C6)/SUM($C4:$C6)</f>
        <v>7.6095141451813673</v>
      </c>
      <c r="CK7" s="462">
        <f t="shared" si="1"/>
        <v>6.1368884113272966</v>
      </c>
      <c r="CL7" s="462">
        <f t="shared" si="1"/>
        <v>4.3946594182505923</v>
      </c>
      <c r="CM7" s="462">
        <f t="shared" si="1"/>
        <v>9.8606807949257949</v>
      </c>
      <c r="CN7" s="462">
        <f t="shared" si="1"/>
        <v>5.2449027502728391</v>
      </c>
      <c r="CO7" s="462">
        <f t="shared" si="1"/>
        <v>3.2220095970240554</v>
      </c>
      <c r="CP7" s="462">
        <f t="shared" si="1"/>
        <v>3.4366165167849303</v>
      </c>
      <c r="CQ7" s="462">
        <f t="shared" si="1"/>
        <v>0.81147051948379367</v>
      </c>
      <c r="CR7" s="462">
        <f t="shared" si="1"/>
        <v>8.9467022663359455</v>
      </c>
      <c r="CS7" s="462">
        <f t="shared" si="1"/>
        <v>6.1466418919334789</v>
      </c>
      <c r="CT7" s="462">
        <f t="shared" si="1"/>
        <v>4.7348445675618347</v>
      </c>
      <c r="CU7" s="462">
        <f t="shared" si="1"/>
        <v>5.6169841488384726</v>
      </c>
      <c r="CV7" s="462">
        <f t="shared" si="1"/>
        <v>4.2327676427638021</v>
      </c>
      <c r="CW7" s="462">
        <f t="shared" si="1"/>
        <v>2.6899530508047609</v>
      </c>
      <c r="CX7" s="462">
        <f t="shared" si="1"/>
        <v>2.6778734083243774</v>
      </c>
      <c r="CZ7" s="585"/>
      <c r="DA7" s="462">
        <f t="array" ref="DA7">SUMPRODUCT(IF(($W$3:$CX$3=DA$3)*($W$2:$CX$2=DA$2),$W7:$CX7),IF(($W$3:$CX$3=DA$3)*($W$2:$CX$2=DA$2),$W$19:$CX$19))/SUM(IF(($W$3:$CX$3=DA$3)*($W$2:$CX$2=DA$2),$W$19:$CX$19))</f>
        <v>6.6023916741365394</v>
      </c>
      <c r="DB7" s="462">
        <f t="array" ref="DB7">SUMPRODUCT(IF(($W$3:$CX$3=DB$3)*($W$2:$CX$2=DB$2),$W7:$CX7),IF(($W$3:$CX$3=DB$3)*($W$2:$CX$2=DB$2),$W$19:$CX$19))/SUM(IF(($W$3:$CX$3=DB$3)*($W$2:$CX$2=DB$2),$W$19:$CX$19))</f>
        <v>5.8996068762762244</v>
      </c>
      <c r="DC7" s="462">
        <f t="array" ref="DC7">SUMPRODUCT(IF(($W$3:$CX$3=DC$3)*($W$2:$CX$2=DC$2),$W7:$CX7),IF(($W$3:$CX$3=DC$3)*($W$2:$CX$2=DC$2),$W$19:$CX$19))/SUM(IF(($W$3:$CX$3=DC$3)*($W$2:$CX$2=DC$2),$W$19:$CX$19))</f>
        <v>4.5335643253840505</v>
      </c>
      <c r="DD7" s="462">
        <f t="array" ref="DD7">SUMPRODUCT(IF(($W$3:$CX$3=DD$3)*($W$2:$CX$2=DD$2),$W7:$CX7),IF(($W$3:$CX$3=DD$3)*($W$2:$CX$2=DD$2),$W$19:$CX$19))/SUM(IF(($W$3:$CX$3=DD$3)*($W$2:$CX$2=DD$2),$W$19:$CX$19))</f>
        <v>6.618673564777982</v>
      </c>
      <c r="DE7" s="462">
        <f t="array" ref="DE7">SUMPRODUCT(IF(($W$3:$CX$3=DE$3)*($W$2:$CX$2=DE$2),$W7:$CX7),IF(($W$3:$CX$3=DE$3)*($W$2:$CX$2=DE$2),$W$19:$CX$19))/SUM(IF(($W$3:$CX$3=DE$3)*($W$2:$CX$2=DE$2),$W$19:$CX$19))</f>
        <v>4.6598374315432327</v>
      </c>
      <c r="DF7" s="462">
        <f t="array" ref="DF7">SUMPRODUCT(IF(($W$3:$CX$3=DF$3)*($W$2:$CX$2=DF$2),$W7:$CX7),IF(($W$3:$CX$3=DF$3)*($W$2:$CX$2=DF$2),$W$19:$CX$19))/SUM(IF(($W$3:$CX$3=DF$3)*($W$2:$CX$2=DF$2),$W$19:$CX$19))</f>
        <v>7.4542218189964764</v>
      </c>
      <c r="DG7" s="462">
        <f t="array" ref="DG7">SUMPRODUCT(IF(($W$3:$CX$3=DG$3)*($W$2:$CX$2=DG$2),$W7:$CX7),IF(($W$3:$CX$3=DG$3)*($W$2:$CX$2=DG$2),$W$19:$CX$19))/SUM(IF(($W$3:$CX$3=DG$3)*($W$2:$CX$2=DG$2),$W$19:$CX$19))</f>
        <v>3.7417387112333147</v>
      </c>
      <c r="DH7" s="462">
        <f t="array" ref="DH7">SUMPRODUCT(IF(($W$3:$CX$3=DH$3)*($W$2:$CX$2=DH$2),$W7:$CX7),IF(($W$3:$CX$3=DH$3)*($W$2:$CX$2=DH$2),$W$19:$CX$19))/SUM(IF(($W$3:$CX$3=DH$3)*($W$2:$CX$2=DH$2),$W$19:$CX$19))</f>
        <v>4.8628594717857609</v>
      </c>
      <c r="DI7" s="462">
        <f t="array" ref="DI7">SUMPRODUCT(IF(($W$3:$CX$3=DI$3)*($W$2:$CX$2=DI$2),$W7:$CX7),IF(($W$3:$CX$3=DI$3)*($W$2:$CX$2=DI$2),$W$19:$CX$19))/SUM(IF(($W$3:$CX$3=DI$3)*($W$2:$CX$2=DI$2),$W$19:$CX$19))</f>
        <v>3.3406657789852225</v>
      </c>
      <c r="DJ7" s="462">
        <f t="array" ref="DJ7">SUMPRODUCT(IF(($W$3:$CX$3=DJ$3)*($W$2:$CX$2=DJ$2),$W7:$CX7),IF(($W$3:$CX$3=DJ$3)*($W$2:$CX$2=DJ$2),$W$19:$CX$19))/SUM(IF(($W$3:$CX$3=DJ$3)*($W$2:$CX$2=DJ$2),$W$19:$CX$19))</f>
        <v>3.6777316561342976</v>
      </c>
      <c r="DK7" s="462">
        <f t="array" ref="DK7">SUMPRODUCT(IF(($W$3:$CX$3=DK$3)*1,$W7:$CX7),IF(($W$3:$CX$3=DK$3)*1,$W$19:$CX$19))/SUM(IF(($W$3:$CX$3=DK$3)*1,$W$19:$CX$19))</f>
        <v>4.7237085403730905</v>
      </c>
      <c r="DL7" s="462">
        <f t="array" ref="DL7">SUMPRODUCT(IF(($W$3:$CX$3=DL$3)*1,$W7:$CX7),IF(($W$3:$CX$3=DL$3)*1,$W$19:$CX$19))/SUM(IF(($W$3:$CX$3=DL$3)*1,$W$19:$CX$19))</f>
        <v>4.680819072866889</v>
      </c>
      <c r="DM7" s="462">
        <f t="array" ref="DM7">SUMPRODUCT(IF(($W$3:$CX$3=DM$3)*1,$W7:$CX7),IF(($W$3:$CX$3=DM$3)*1,$W$19:$CX$19))/SUM(IF(($W$3:$CX$3=DM$3)*1,$W$19:$CX$19))</f>
        <v>5.5807981416303942</v>
      </c>
      <c r="DN7" s="462">
        <f t="array" ref="DN7">SUMPRODUCT(IF(1*($W$2:$CX$2=DN$2),$W7:$CX7),IF(1*($W$2:$CX$2=DN$2),$W$19:$CX$19))/SUM(IF(1*($W$2:$CX$2=DN$2),$W$19:$CX$19))</f>
        <v>5.9353966580326052</v>
      </c>
      <c r="DO7" s="462">
        <f t="array" ref="DO7">SUMPRODUCT(IF(1*($W$2:$CX$2=DO$2),$W7:$CX7),IF(1*($W$2:$CX$2=DO$2),$W$19:$CX$19))/SUM(IF(1*($W$2:$CX$2=DO$2),$W$19:$CX$19))</f>
        <v>4.0962314014750119</v>
      </c>
      <c r="DP7" s="462">
        <f t="array" ref="DP7">SUMPRODUCT(IF(1*1,$W7:$CX7),IF(1*1,$W$19:$CX$19))/SUM(IF(1*1,$W$19:$CX$19))</f>
        <v>5.2429698556485613</v>
      </c>
    </row>
    <row r="8" spans="1:120" s="428" customFormat="1" ht="15.75" customHeight="1" thickBot="1" x14ac:dyDescent="0.3">
      <c r="A8" s="639">
        <f>'MD-ratings-year'!A8</f>
        <v>0.25</v>
      </c>
      <c r="B8" s="668" t="str">
        <f>'MD-ratings-year'!B8</f>
        <v>Profitability</v>
      </c>
      <c r="C8" s="425">
        <f>'MD-ratings-year'!C8</f>
        <v>0.1</v>
      </c>
      <c r="D8" s="426" t="str">
        <f>'MD-ratings-year'!D8</f>
        <v>ROA - Return on Assets</v>
      </c>
      <c r="E8" s="427" t="str">
        <f>'MD-ratings-year'!E8</f>
        <v>Net Profit ÷ Total Assets</v>
      </c>
      <c r="F8" s="422" t="s">
        <v>400</v>
      </c>
      <c r="G8" s="653"/>
      <c r="H8" s="243"/>
      <c r="I8" s="577">
        <f>'SK-ratios'!U11</f>
        <v>26.39308354104994</v>
      </c>
      <c r="J8" s="243"/>
      <c r="K8" s="258">
        <f>'MD-ratings-year'!P8</f>
        <v>-0.10593817076660558</v>
      </c>
      <c r="L8" s="568">
        <f>'MD-ratings-year'!Q8</f>
        <v>-5.2969085383302791E-2</v>
      </c>
      <c r="M8" s="258">
        <f>'MD-ratings-year'!R8</f>
        <v>0</v>
      </c>
      <c r="N8" s="568">
        <f>'MD-ratings-year'!S8</f>
        <v>5.2969085383302791E-2</v>
      </c>
      <c r="O8" s="258">
        <f>'MD-ratings-year'!T8</f>
        <v>0.10593817076660558</v>
      </c>
      <c r="P8" s="258"/>
      <c r="Q8" s="258"/>
      <c r="R8" s="258"/>
      <c r="S8" s="243"/>
      <c r="T8" s="243"/>
      <c r="U8" s="243"/>
      <c r="V8" s="252"/>
      <c r="W8" s="455">
        <f t="array" ref="W8">IF('SK-ratios'!AF11&gt;'SK-ratios'!$AC11,10,IF('SK-ratios'!AF11&gt;='SK-ratios'!$AA11,5+5*LOG(1+('SK-ratios'!$U11-1)*('SK-ratios'!AF11-'SK-ratios'!$AA11)/('SK-ratios'!$AC11-'SK-ratios'!$AA11))/LOG('SK-ratios'!$U11),IF('SK-ratios'!AF11&gt;'SK-ratios'!$Y11,5-5*LOG(1+('SK-ratios'!$U11-1)*('SK-ratios'!AF11-'SK-ratios'!$AA11)/('SK-ratios'!$Y11-'SK-ratios'!$AA11))/LOG('SK-ratios'!$U11),0)))</f>
        <v>4.7330666567792932</v>
      </c>
      <c r="X8" s="455">
        <f t="array" ref="X8">IF('SK-ratios'!AG11&gt;'SK-ratios'!$AC11,10,IF('SK-ratios'!AG11&gt;='SK-ratios'!$AA11,5+5*LOG(1+('SK-ratios'!$U11-1)*('SK-ratios'!AG11-'SK-ratios'!$AA11)/('SK-ratios'!$AC11-'SK-ratios'!$AA11))/LOG('SK-ratios'!$U11),IF('SK-ratios'!AG11&gt;'SK-ratios'!$Y11,5-5*LOG(1+('SK-ratios'!$U11-1)*('SK-ratios'!AG11-'SK-ratios'!$AA11)/('SK-ratios'!$Y11-'SK-ratios'!$AA11))/LOG('SK-ratios'!$U11),0)))</f>
        <v>5.8805912993450082</v>
      </c>
      <c r="Y8" s="455">
        <f t="array" ref="Y8">IF('SK-ratios'!AH11&gt;'SK-ratios'!$AC11,10,IF('SK-ratios'!AH11&gt;='SK-ratios'!$AA11,5+5*LOG(1+('SK-ratios'!$U11-1)*('SK-ratios'!AH11-'SK-ratios'!$AA11)/('SK-ratios'!$AC11-'SK-ratios'!$AA11))/LOG('SK-ratios'!$U11),IF('SK-ratios'!AH11&gt;'SK-ratios'!$Y11,5-5*LOG(1+('SK-ratios'!$U11-1)*('SK-ratios'!AH11-'SK-ratios'!$AA11)/('SK-ratios'!$Y11-'SK-ratios'!$AA11))/LOG('SK-ratios'!$U11),0)))</f>
        <v>6.1712884511270882</v>
      </c>
      <c r="Z8" s="455">
        <f t="array" ref="Z8">IF('SK-ratios'!AI11&gt;'SK-ratios'!$AC11,10,IF('SK-ratios'!AI11&gt;='SK-ratios'!$AA11,5+5*LOG(1+('SK-ratios'!$U11-1)*('SK-ratios'!AI11-'SK-ratios'!$AA11)/('SK-ratios'!$AC11-'SK-ratios'!$AA11))/LOG('SK-ratios'!$U11),IF('SK-ratios'!AI11&gt;'SK-ratios'!$Y11,5-5*LOG(1+('SK-ratios'!$U11-1)*('SK-ratios'!AI11-'SK-ratios'!$AA11)/('SK-ratios'!$Y11-'SK-ratios'!$AA11))/LOG('SK-ratios'!$U11),0)))</f>
        <v>7.9267676931347228</v>
      </c>
      <c r="AA8" s="455">
        <f t="array" ref="AA8">IF('SK-ratios'!AJ11&gt;'SK-ratios'!$AC11,10,IF('SK-ratios'!AJ11&gt;='SK-ratios'!$AA11,5+5*LOG(1+('SK-ratios'!$U11-1)*('SK-ratios'!AJ11-'SK-ratios'!$AA11)/('SK-ratios'!$AC11-'SK-ratios'!$AA11))/LOG('SK-ratios'!$U11),IF('SK-ratios'!AJ11&gt;'SK-ratios'!$Y11,5-5*LOG(1+('SK-ratios'!$U11-1)*('SK-ratios'!AJ11-'SK-ratios'!$AA11)/('SK-ratios'!$Y11-'SK-ratios'!$AA11))/LOG('SK-ratios'!$U11),0)))</f>
        <v>8.9187135769582877</v>
      </c>
      <c r="AB8" s="455">
        <f t="array" ref="AB8">IF('SK-ratios'!AK11&gt;'SK-ratios'!$AC11,10,IF('SK-ratios'!AK11&gt;='SK-ratios'!$AA11,5+5*LOG(1+('SK-ratios'!$U11-1)*('SK-ratios'!AK11-'SK-ratios'!$AA11)/('SK-ratios'!$AC11-'SK-ratios'!$AA11))/LOG('SK-ratios'!$U11),IF('SK-ratios'!AK11&gt;'SK-ratios'!$Y11,5-5*LOG(1+('SK-ratios'!$U11-1)*('SK-ratios'!AK11-'SK-ratios'!$AA11)/('SK-ratios'!$Y11-'SK-ratios'!$AA11))/LOG('SK-ratios'!$U11),0)))</f>
        <v>5.0413212268432233</v>
      </c>
      <c r="AC8" s="455">
        <f t="array" ref="AC8">IF('SK-ratios'!AL11&gt;'SK-ratios'!$AC11,10,IF('SK-ratios'!AL11&gt;='SK-ratios'!$AA11,5+5*LOG(1+('SK-ratios'!$U11-1)*('SK-ratios'!AL11-'SK-ratios'!$AA11)/('SK-ratios'!$AC11-'SK-ratios'!$AA11))/LOG('SK-ratios'!$U11),IF('SK-ratios'!AL11&gt;'SK-ratios'!$Y11,5-5*LOG(1+('SK-ratios'!$U11-1)*('SK-ratios'!AL11-'SK-ratios'!$AA11)/('SK-ratios'!$Y11-'SK-ratios'!$AA11))/LOG('SK-ratios'!$U11),0)))</f>
        <v>7.2187643359137521</v>
      </c>
      <c r="AD8" s="455">
        <f t="array" ref="AD8">IF('SK-ratios'!AM11&gt;'SK-ratios'!$AC11,10,IF('SK-ratios'!AM11&gt;='SK-ratios'!$AA11,5+5*LOG(1+('SK-ratios'!$U11-1)*('SK-ratios'!AM11-'SK-ratios'!$AA11)/('SK-ratios'!$AC11-'SK-ratios'!$AA11))/LOG('SK-ratios'!$U11),IF('SK-ratios'!AM11&gt;'SK-ratios'!$Y11,5-5*LOG(1+('SK-ratios'!$U11-1)*('SK-ratios'!AM11-'SK-ratios'!$AA11)/('SK-ratios'!$Y11-'SK-ratios'!$AA11))/LOG('SK-ratios'!$U11),0)))</f>
        <v>10</v>
      </c>
      <c r="AE8" s="455">
        <f t="array" ref="AE8">IF('SK-ratios'!AN11&gt;'SK-ratios'!$AC11,10,IF('SK-ratios'!AN11&gt;='SK-ratios'!$AA11,5+5*LOG(1+('SK-ratios'!$U11-1)*('SK-ratios'!AN11-'SK-ratios'!$AA11)/('SK-ratios'!$AC11-'SK-ratios'!$AA11))/LOG('SK-ratios'!$U11),IF('SK-ratios'!AN11&gt;'SK-ratios'!$Y11,5-5*LOG(1+('SK-ratios'!$U11-1)*('SK-ratios'!AN11-'SK-ratios'!$AA11)/('SK-ratios'!$Y11-'SK-ratios'!$AA11))/LOG('SK-ratios'!$U11),0)))</f>
        <v>7.9829590089524229</v>
      </c>
      <c r="AF8" s="455">
        <f t="array" ref="AF8">IF('SK-ratios'!AO11&gt;'SK-ratios'!$AC11,10,IF('SK-ratios'!AO11&gt;='SK-ratios'!$AA11,5+5*LOG(1+('SK-ratios'!$U11-1)*('SK-ratios'!AO11-'SK-ratios'!$AA11)/('SK-ratios'!$AC11-'SK-ratios'!$AA11))/LOG('SK-ratios'!$U11),IF('SK-ratios'!AO11&gt;'SK-ratios'!$Y11,5-5*LOG(1+('SK-ratios'!$U11-1)*('SK-ratios'!AO11-'SK-ratios'!$AA11)/('SK-ratios'!$Y11-'SK-ratios'!$AA11))/LOG('SK-ratios'!$U11),0)))</f>
        <v>3.3392724335092381</v>
      </c>
      <c r="AG8" s="455">
        <f t="array" ref="AG8">IF('SK-ratios'!AP11&gt;'SK-ratios'!$AC11,10,IF('SK-ratios'!AP11&gt;='SK-ratios'!$AA11,5+5*LOG(1+('SK-ratios'!$U11-1)*('SK-ratios'!AP11-'SK-ratios'!$AA11)/('SK-ratios'!$AC11-'SK-ratios'!$AA11))/LOG('SK-ratios'!$U11),IF('SK-ratios'!AP11&gt;'SK-ratios'!$Y11,5-5*LOG(1+('SK-ratios'!$U11-1)*('SK-ratios'!AP11-'SK-ratios'!$AA11)/('SK-ratios'!$Y11-'SK-ratios'!$AA11))/LOG('SK-ratios'!$U11),0)))</f>
        <v>10</v>
      </c>
      <c r="AH8" s="455">
        <f t="array" ref="AH8">IF('SK-ratios'!AQ11&gt;'SK-ratios'!$AC11,10,IF('SK-ratios'!AQ11&gt;='SK-ratios'!$AA11,5+5*LOG(1+('SK-ratios'!$U11-1)*('SK-ratios'!AQ11-'SK-ratios'!$AA11)/('SK-ratios'!$AC11-'SK-ratios'!$AA11))/LOG('SK-ratios'!$U11),IF('SK-ratios'!AQ11&gt;'SK-ratios'!$Y11,5-5*LOG(1+('SK-ratios'!$U11-1)*('SK-ratios'!AQ11-'SK-ratios'!$AA11)/('SK-ratios'!$Y11-'SK-ratios'!$AA11))/LOG('SK-ratios'!$U11),0)))</f>
        <v>0.8726609968178245</v>
      </c>
      <c r="AI8" s="455">
        <f t="array" ref="AI8">IF('SK-ratios'!AR11&gt;'SK-ratios'!$AC11,10,IF('SK-ratios'!AR11&gt;='SK-ratios'!$AA11,5+5*LOG(1+('SK-ratios'!$U11-1)*('SK-ratios'!AR11-'SK-ratios'!$AA11)/('SK-ratios'!$AC11-'SK-ratios'!$AA11))/LOG('SK-ratios'!$U11),IF('SK-ratios'!AR11&gt;'SK-ratios'!$Y11,5-5*LOG(1+('SK-ratios'!$U11-1)*('SK-ratios'!AR11-'SK-ratios'!$AA11)/('SK-ratios'!$Y11-'SK-ratios'!$AA11))/LOG('SK-ratios'!$U11),0)))</f>
        <v>9.8049659621406775</v>
      </c>
      <c r="AJ8" s="455">
        <f t="array" ref="AJ8">IF('SK-ratios'!AS11&gt;'SK-ratios'!$AC11,10,IF('SK-ratios'!AS11&gt;='SK-ratios'!$AA11,5+5*LOG(1+('SK-ratios'!$U11-1)*('SK-ratios'!AS11-'SK-ratios'!$AA11)/('SK-ratios'!$AC11-'SK-ratios'!$AA11))/LOG('SK-ratios'!$U11),IF('SK-ratios'!AS11&gt;'SK-ratios'!$Y11,5-5*LOG(1+('SK-ratios'!$U11-1)*('SK-ratios'!AS11-'SK-ratios'!$AA11)/('SK-ratios'!$Y11-'SK-ratios'!$AA11))/LOG('SK-ratios'!$U11),0)))</f>
        <v>9.5320958302056376</v>
      </c>
      <c r="AK8" s="455">
        <f t="array" ref="AK8">IF('SK-ratios'!AT11&gt;'SK-ratios'!$AC11,10,IF('SK-ratios'!AT11&gt;='SK-ratios'!$AA11,5+5*LOG(1+('SK-ratios'!$U11-1)*('SK-ratios'!AT11-'SK-ratios'!$AA11)/('SK-ratios'!$AC11-'SK-ratios'!$AA11))/LOG('SK-ratios'!$U11),IF('SK-ratios'!AT11&gt;'SK-ratios'!$Y11,5-5*LOG(1+('SK-ratios'!$U11-1)*('SK-ratios'!AT11-'SK-ratios'!$AA11)/('SK-ratios'!$Y11-'SK-ratios'!$AA11))/LOG('SK-ratios'!$U11),0)))</f>
        <v>6.9716819599241218</v>
      </c>
      <c r="AL8" s="455">
        <f t="array" ref="AL8">IF('SK-ratios'!AU11&gt;'SK-ratios'!$AC11,10,IF('SK-ratios'!AU11&gt;='SK-ratios'!$AA11,5+5*LOG(1+('SK-ratios'!$U11-1)*('SK-ratios'!AU11-'SK-ratios'!$AA11)/('SK-ratios'!$AC11-'SK-ratios'!$AA11))/LOG('SK-ratios'!$U11),IF('SK-ratios'!AU11&gt;'SK-ratios'!$Y11,5-5*LOG(1+('SK-ratios'!$U11-1)*('SK-ratios'!AU11-'SK-ratios'!$AA11)/('SK-ratios'!$Y11-'SK-ratios'!$AA11))/LOG('SK-ratios'!$U11),0)))</f>
        <v>10</v>
      </c>
      <c r="AM8" s="455">
        <f t="array" ref="AM8">IF('SK-ratios'!AV11&gt;'SK-ratios'!$AC11,10,IF('SK-ratios'!AV11&gt;='SK-ratios'!$AA11,5+5*LOG(1+('SK-ratios'!$U11-1)*('SK-ratios'!AV11-'SK-ratios'!$AA11)/('SK-ratios'!$AC11-'SK-ratios'!$AA11))/LOG('SK-ratios'!$U11),IF('SK-ratios'!AV11&gt;'SK-ratios'!$Y11,5-5*LOG(1+('SK-ratios'!$U11-1)*('SK-ratios'!AV11-'SK-ratios'!$AA11)/('SK-ratios'!$Y11-'SK-ratios'!$AA11))/LOG('SK-ratios'!$U11),0)))</f>
        <v>10</v>
      </c>
      <c r="AN8" s="455">
        <f t="array" ref="AN8">IF('SK-ratios'!AW11&gt;'SK-ratios'!$AC11,10,IF('SK-ratios'!AW11&gt;='SK-ratios'!$AA11,5+5*LOG(1+('SK-ratios'!$U11-1)*('SK-ratios'!AW11-'SK-ratios'!$AA11)/('SK-ratios'!$AC11-'SK-ratios'!$AA11))/LOG('SK-ratios'!$U11),IF('SK-ratios'!AW11&gt;'SK-ratios'!$Y11,5-5*LOG(1+('SK-ratios'!$U11-1)*('SK-ratios'!AW11-'SK-ratios'!$AA11)/('SK-ratios'!$Y11-'SK-ratios'!$AA11))/LOG('SK-ratios'!$U11),0)))</f>
        <v>6.9656557465100004</v>
      </c>
      <c r="AO8" s="455">
        <f t="array" ref="AO8">IF('SK-ratios'!AX11&gt;'SK-ratios'!$AC11,10,IF('SK-ratios'!AX11&gt;='SK-ratios'!$AA11,5+5*LOG(1+('SK-ratios'!$U11-1)*('SK-ratios'!AX11-'SK-ratios'!$AA11)/('SK-ratios'!$AC11-'SK-ratios'!$AA11))/LOG('SK-ratios'!$U11),IF('SK-ratios'!AX11&gt;'SK-ratios'!$Y11,5-5*LOG(1+('SK-ratios'!$U11-1)*('SK-ratios'!AX11-'SK-ratios'!$AA11)/('SK-ratios'!$Y11-'SK-ratios'!$AA11))/LOG('SK-ratios'!$U11),0)))</f>
        <v>0</v>
      </c>
      <c r="AP8" s="455">
        <f t="array" ref="AP8">IF('SK-ratios'!AY11&gt;'SK-ratios'!$AC11,10,IF('SK-ratios'!AY11&gt;='SK-ratios'!$AA11,5+5*LOG(1+('SK-ratios'!$U11-1)*('SK-ratios'!AY11-'SK-ratios'!$AA11)/('SK-ratios'!$AC11-'SK-ratios'!$AA11))/LOG('SK-ratios'!$U11),IF('SK-ratios'!AY11&gt;'SK-ratios'!$Y11,5-5*LOG(1+('SK-ratios'!$U11-1)*('SK-ratios'!AY11-'SK-ratios'!$AA11)/('SK-ratios'!$Y11-'SK-ratios'!$AA11))/LOG('SK-ratios'!$U11),0)))</f>
        <v>9.8088313662378432</v>
      </c>
      <c r="AQ8" s="455">
        <f t="array" ref="AQ8">IF('SK-ratios'!AZ11&gt;'SK-ratios'!$AC11,10,IF('SK-ratios'!AZ11&gt;='SK-ratios'!$AA11,5+5*LOG(1+('SK-ratios'!$U11-1)*('SK-ratios'!AZ11-'SK-ratios'!$AA11)/('SK-ratios'!$AC11-'SK-ratios'!$AA11))/LOG('SK-ratios'!$U11),IF('SK-ratios'!AZ11&gt;'SK-ratios'!$Y11,5-5*LOG(1+('SK-ratios'!$U11-1)*('SK-ratios'!AZ11-'SK-ratios'!$AA11)/('SK-ratios'!$Y11-'SK-ratios'!$AA11))/LOG('SK-ratios'!$U11),0)))</f>
        <v>6.7744599755527037</v>
      </c>
      <c r="AR8" s="455">
        <f t="array" ref="AR8">IF('SK-ratios'!BA11&gt;'SK-ratios'!$AC11,10,IF('SK-ratios'!BA11&gt;='SK-ratios'!$AA11,5+5*LOG(1+('SK-ratios'!$U11-1)*('SK-ratios'!BA11-'SK-ratios'!$AA11)/('SK-ratios'!$AC11-'SK-ratios'!$AA11))/LOG('SK-ratios'!$U11),IF('SK-ratios'!BA11&gt;'SK-ratios'!$Y11,5-5*LOG(1+('SK-ratios'!$U11-1)*('SK-ratios'!BA11-'SK-ratios'!$AA11)/('SK-ratios'!$Y11-'SK-ratios'!$AA11))/LOG('SK-ratios'!$U11),0)))</f>
        <v>5.8651130517416785</v>
      </c>
      <c r="AS8" s="455">
        <f t="array" ref="AS8">IF('SK-ratios'!BB11&gt;'SK-ratios'!$AC11,10,IF('SK-ratios'!BB11&gt;='SK-ratios'!$AA11,5+5*LOG(1+('SK-ratios'!$U11-1)*('SK-ratios'!BB11-'SK-ratios'!$AA11)/('SK-ratios'!$AC11-'SK-ratios'!$AA11))/LOG('SK-ratios'!$U11),IF('SK-ratios'!BB11&gt;'SK-ratios'!$Y11,5-5*LOG(1+('SK-ratios'!$U11-1)*('SK-ratios'!BB11-'SK-ratios'!$AA11)/('SK-ratios'!$Y11-'SK-ratios'!$AA11))/LOG('SK-ratios'!$U11),0)))</f>
        <v>6.7621275862199681</v>
      </c>
      <c r="AT8" s="455">
        <f t="array" ref="AT8">IF('SK-ratios'!BC11&gt;'SK-ratios'!$AC11,10,IF('SK-ratios'!BC11&gt;='SK-ratios'!$AA11,5+5*LOG(1+('SK-ratios'!$U11-1)*('SK-ratios'!BC11-'SK-ratios'!$AA11)/('SK-ratios'!$AC11-'SK-ratios'!$AA11))/LOG('SK-ratios'!$U11),IF('SK-ratios'!BC11&gt;'SK-ratios'!$Y11,5-5*LOG(1+('SK-ratios'!$U11-1)*('SK-ratios'!BC11-'SK-ratios'!$AA11)/('SK-ratios'!$Y11-'SK-ratios'!$AA11))/LOG('SK-ratios'!$U11),0)))</f>
        <v>0</v>
      </c>
      <c r="AU8" s="455">
        <f t="array" ref="AU8">IF('SK-ratios'!BD11&gt;'SK-ratios'!$AC11,10,IF('SK-ratios'!BD11&gt;='SK-ratios'!$AA11,5+5*LOG(1+('SK-ratios'!$U11-1)*('SK-ratios'!BD11-'SK-ratios'!$AA11)/('SK-ratios'!$AC11-'SK-ratios'!$AA11))/LOG('SK-ratios'!$U11),IF('SK-ratios'!BD11&gt;'SK-ratios'!$Y11,5-5*LOG(1+('SK-ratios'!$U11-1)*('SK-ratios'!BD11-'SK-ratios'!$AA11)/('SK-ratios'!$Y11-'SK-ratios'!$AA11))/LOG('SK-ratios'!$U11),0)))</f>
        <v>1.6022789321286108</v>
      </c>
      <c r="AV8" s="455">
        <f t="array" ref="AV8">IF('SK-ratios'!BE11&gt;'SK-ratios'!$AC11,10,IF('SK-ratios'!BE11&gt;='SK-ratios'!$AA11,5+5*LOG(1+('SK-ratios'!$U11-1)*('SK-ratios'!BE11-'SK-ratios'!$AA11)/('SK-ratios'!$AC11-'SK-ratios'!$AA11))/LOG('SK-ratios'!$U11),IF('SK-ratios'!BE11&gt;'SK-ratios'!$Y11,5-5*LOG(1+('SK-ratios'!$U11-1)*('SK-ratios'!BE11-'SK-ratios'!$AA11)/('SK-ratios'!$Y11-'SK-ratios'!$AA11))/LOG('SK-ratios'!$U11),0)))</f>
        <v>8.4787553639164823</v>
      </c>
      <c r="AW8" s="455">
        <f t="array" ref="AW8">IF('SK-ratios'!BF11&gt;'SK-ratios'!$AC11,10,IF('SK-ratios'!BF11&gt;='SK-ratios'!$AA11,5+5*LOG(1+('SK-ratios'!$U11-1)*('SK-ratios'!BF11-'SK-ratios'!$AA11)/('SK-ratios'!$AC11-'SK-ratios'!$AA11))/LOG('SK-ratios'!$U11),IF('SK-ratios'!BF11&gt;'SK-ratios'!$Y11,5-5*LOG(1+('SK-ratios'!$U11-1)*('SK-ratios'!BF11-'SK-ratios'!$AA11)/('SK-ratios'!$Y11-'SK-ratios'!$AA11))/LOG('SK-ratios'!$U11),0)))</f>
        <v>2.1555233663988873</v>
      </c>
      <c r="AX8" s="455">
        <f t="array" ref="AX8">IF('SK-ratios'!BG11&gt;'SK-ratios'!$AC11,10,IF('SK-ratios'!BG11&gt;='SK-ratios'!$AA11,5+5*LOG(1+('SK-ratios'!$U11-1)*('SK-ratios'!BG11-'SK-ratios'!$AA11)/('SK-ratios'!$AC11-'SK-ratios'!$AA11))/LOG('SK-ratios'!$U11),IF('SK-ratios'!BG11&gt;'SK-ratios'!$Y11,5-5*LOG(1+('SK-ratios'!$U11-1)*('SK-ratios'!BG11-'SK-ratios'!$AA11)/('SK-ratios'!$Y11-'SK-ratios'!$AA11))/LOG('SK-ratios'!$U11),0)))</f>
        <v>2.3157624428509402</v>
      </c>
      <c r="AY8" s="455">
        <f t="array" ref="AY8">IF('SK-ratios'!BH11&gt;'SK-ratios'!$AC11,10,IF('SK-ratios'!BH11&gt;='SK-ratios'!$AA11,5+5*LOG(1+('SK-ratios'!$U11-1)*('SK-ratios'!BH11-'SK-ratios'!$AA11)/('SK-ratios'!$AC11-'SK-ratios'!$AA11))/LOG('SK-ratios'!$U11),IF('SK-ratios'!BH11&gt;'SK-ratios'!$Y11,5-5*LOG(1+('SK-ratios'!$U11-1)*('SK-ratios'!BH11-'SK-ratios'!$AA11)/('SK-ratios'!$Y11-'SK-ratios'!$AA11))/LOG('SK-ratios'!$U11),0)))</f>
        <v>4.1429322588403554</v>
      </c>
      <c r="AZ8" s="455">
        <f t="array" ref="AZ8">IF('SK-ratios'!BI11&gt;'SK-ratios'!$AC11,10,IF('SK-ratios'!BI11&gt;='SK-ratios'!$AA11,5+5*LOG(1+('SK-ratios'!$U11-1)*('SK-ratios'!BI11-'SK-ratios'!$AA11)/('SK-ratios'!$AC11-'SK-ratios'!$AA11))/LOG('SK-ratios'!$U11),IF('SK-ratios'!BI11&gt;'SK-ratios'!$Y11,5-5*LOG(1+('SK-ratios'!$U11-1)*('SK-ratios'!BI11-'SK-ratios'!$AA11)/('SK-ratios'!$Y11-'SK-ratios'!$AA11))/LOG('SK-ratios'!$U11),0)))</f>
        <v>8.3073804963868092</v>
      </c>
      <c r="BA8" s="455">
        <f t="array" ref="BA8">IF('SK-ratios'!BJ11&gt;'SK-ratios'!$AC11,10,IF('SK-ratios'!BJ11&gt;='SK-ratios'!$AA11,5+5*LOG(1+('SK-ratios'!$U11-1)*('SK-ratios'!BJ11-'SK-ratios'!$AA11)/('SK-ratios'!$AC11-'SK-ratios'!$AA11))/LOG('SK-ratios'!$U11),IF('SK-ratios'!BJ11&gt;'SK-ratios'!$Y11,5-5*LOG(1+('SK-ratios'!$U11-1)*('SK-ratios'!BJ11-'SK-ratios'!$AA11)/('SK-ratios'!$Y11-'SK-ratios'!$AA11))/LOG('SK-ratios'!$U11),0)))</f>
        <v>2.2394418117701531</v>
      </c>
      <c r="BB8" s="455">
        <f t="array" ref="BB8">IF('SK-ratios'!BK11&gt;'SK-ratios'!$AC11,10,IF('SK-ratios'!BK11&gt;='SK-ratios'!$AA11,5+5*LOG(1+('SK-ratios'!$U11-1)*('SK-ratios'!BK11-'SK-ratios'!$AA11)/('SK-ratios'!$AC11-'SK-ratios'!$AA11))/LOG('SK-ratios'!$U11),IF('SK-ratios'!BK11&gt;'SK-ratios'!$Y11,5-5*LOG(1+('SK-ratios'!$U11-1)*('SK-ratios'!BK11-'SK-ratios'!$AA11)/('SK-ratios'!$Y11-'SK-ratios'!$AA11))/LOG('SK-ratios'!$U11),0)))</f>
        <v>7.7732880086111971</v>
      </c>
      <c r="BC8" s="455">
        <f t="array" ref="BC8">IF('SK-ratios'!BL11&gt;'SK-ratios'!$AC11,10,IF('SK-ratios'!BL11&gt;='SK-ratios'!$AA11,5+5*LOG(1+('SK-ratios'!$U11-1)*('SK-ratios'!BL11-'SK-ratios'!$AA11)/('SK-ratios'!$AC11-'SK-ratios'!$AA11))/LOG('SK-ratios'!$U11),IF('SK-ratios'!BL11&gt;'SK-ratios'!$Y11,5-5*LOG(1+('SK-ratios'!$U11-1)*('SK-ratios'!BL11-'SK-ratios'!$AA11)/('SK-ratios'!$Y11-'SK-ratios'!$AA11))/LOG('SK-ratios'!$U11),0)))</f>
        <v>9.5411563808968243</v>
      </c>
      <c r="BD8" s="455">
        <f t="array" ref="BD8">IF('SK-ratios'!BM11&gt;'SK-ratios'!$AC11,10,IF('SK-ratios'!BM11&gt;='SK-ratios'!$AA11,5+5*LOG(1+('SK-ratios'!$U11-1)*('SK-ratios'!BM11-'SK-ratios'!$AA11)/('SK-ratios'!$AC11-'SK-ratios'!$AA11))/LOG('SK-ratios'!$U11),IF('SK-ratios'!BM11&gt;'SK-ratios'!$Y11,5-5*LOG(1+('SK-ratios'!$U11-1)*('SK-ratios'!BM11-'SK-ratios'!$AA11)/('SK-ratios'!$Y11-'SK-ratios'!$AA11))/LOG('SK-ratios'!$U11),0)))</f>
        <v>8.5120080965715452</v>
      </c>
      <c r="BE8" s="455">
        <f t="array" ref="BE8">IF('SK-ratios'!BN11&gt;'SK-ratios'!$AC11,10,IF('SK-ratios'!BN11&gt;='SK-ratios'!$AA11,5+5*LOG(1+('SK-ratios'!$U11-1)*('SK-ratios'!BN11-'SK-ratios'!$AA11)/('SK-ratios'!$AC11-'SK-ratios'!$AA11))/LOG('SK-ratios'!$U11),IF('SK-ratios'!BN11&gt;'SK-ratios'!$Y11,5-5*LOG(1+('SK-ratios'!$U11-1)*('SK-ratios'!BN11-'SK-ratios'!$AA11)/('SK-ratios'!$Y11-'SK-ratios'!$AA11))/LOG('SK-ratios'!$U11),0)))</f>
        <v>5.8252017636847686</v>
      </c>
      <c r="BF8" s="455">
        <f t="array" ref="BF8">IF('SK-ratios'!BO11&gt;'SK-ratios'!$AC11,10,IF('SK-ratios'!BO11&gt;='SK-ratios'!$AA11,5+5*LOG(1+('SK-ratios'!$U11-1)*('SK-ratios'!BO11-'SK-ratios'!$AA11)/('SK-ratios'!$AC11-'SK-ratios'!$AA11))/LOG('SK-ratios'!$U11),IF('SK-ratios'!BO11&gt;'SK-ratios'!$Y11,5-5*LOG(1+('SK-ratios'!$U11-1)*('SK-ratios'!BO11-'SK-ratios'!$AA11)/('SK-ratios'!$Y11-'SK-ratios'!$AA11))/LOG('SK-ratios'!$U11),0)))</f>
        <v>5.1480817193833239</v>
      </c>
      <c r="BG8" s="455">
        <f t="array" ref="BG8">IF('SK-ratios'!BP11&gt;'SK-ratios'!$AC11,10,IF('SK-ratios'!BP11&gt;='SK-ratios'!$AA11,5+5*LOG(1+('SK-ratios'!$U11-1)*('SK-ratios'!BP11-'SK-ratios'!$AA11)/('SK-ratios'!$AC11-'SK-ratios'!$AA11))/LOG('SK-ratios'!$U11),IF('SK-ratios'!BP11&gt;'SK-ratios'!$Y11,5-5*LOG(1+('SK-ratios'!$U11-1)*('SK-ratios'!BP11-'SK-ratios'!$AA11)/('SK-ratios'!$Y11-'SK-ratios'!$AA11))/LOG('SK-ratios'!$U11),0)))</f>
        <v>10</v>
      </c>
      <c r="BH8" s="455">
        <f t="array" ref="BH8">IF('SK-ratios'!BQ11&gt;'SK-ratios'!$AC11,10,IF('SK-ratios'!BQ11&gt;='SK-ratios'!$AA11,5+5*LOG(1+('SK-ratios'!$U11-1)*('SK-ratios'!BQ11-'SK-ratios'!$AA11)/('SK-ratios'!$AC11-'SK-ratios'!$AA11))/LOG('SK-ratios'!$U11),IF('SK-ratios'!BQ11&gt;'SK-ratios'!$Y11,5-5*LOG(1+('SK-ratios'!$U11-1)*('SK-ratios'!BQ11-'SK-ratios'!$AA11)/('SK-ratios'!$Y11-'SK-ratios'!$AA11))/LOG('SK-ratios'!$U11),0)))</f>
        <v>7.778439532212678</v>
      </c>
      <c r="BI8" s="455">
        <f t="array" ref="BI8">IF('SK-ratios'!BR11&gt;'SK-ratios'!$AC11,10,IF('SK-ratios'!BR11&gt;='SK-ratios'!$AA11,5+5*LOG(1+('SK-ratios'!$U11-1)*('SK-ratios'!BR11-'SK-ratios'!$AA11)/('SK-ratios'!$AC11-'SK-ratios'!$AA11))/LOG('SK-ratios'!$U11),IF('SK-ratios'!BR11&gt;'SK-ratios'!$Y11,5-5*LOG(1+('SK-ratios'!$U11-1)*('SK-ratios'!BR11-'SK-ratios'!$AA11)/('SK-ratios'!$Y11-'SK-ratios'!$AA11))/LOG('SK-ratios'!$U11),0)))</f>
        <v>3.8772357425616253</v>
      </c>
      <c r="BJ8" s="455">
        <f t="array" ref="BJ8">IF('SK-ratios'!BS11&gt;'SK-ratios'!$AC11,10,IF('SK-ratios'!BS11&gt;='SK-ratios'!$AA11,5+5*LOG(1+('SK-ratios'!$U11-1)*('SK-ratios'!BS11-'SK-ratios'!$AA11)/('SK-ratios'!$AC11-'SK-ratios'!$AA11))/LOG('SK-ratios'!$U11),IF('SK-ratios'!BS11&gt;'SK-ratios'!$Y11,5-5*LOG(1+('SK-ratios'!$U11-1)*('SK-ratios'!BS11-'SK-ratios'!$AA11)/('SK-ratios'!$Y11-'SK-ratios'!$AA11))/LOG('SK-ratios'!$U11),0)))</f>
        <v>9.3826729047087039</v>
      </c>
      <c r="BK8" s="455">
        <f t="array" ref="BK8">IF('SK-ratios'!BT11&gt;'SK-ratios'!$AC11,10,IF('SK-ratios'!BT11&gt;='SK-ratios'!$AA11,5+5*LOG(1+('SK-ratios'!$U11-1)*('SK-ratios'!BT11-'SK-ratios'!$AA11)/('SK-ratios'!$AC11-'SK-ratios'!$AA11))/LOG('SK-ratios'!$U11),IF('SK-ratios'!BT11&gt;'SK-ratios'!$Y11,5-5*LOG(1+('SK-ratios'!$U11-1)*('SK-ratios'!BT11-'SK-ratios'!$AA11)/('SK-ratios'!$Y11-'SK-ratios'!$AA11))/LOG('SK-ratios'!$U11),0)))</f>
        <v>0.67922779029464575</v>
      </c>
      <c r="BL8" s="455">
        <f t="array" ref="BL8">IF('SK-ratios'!BU11&gt;'SK-ratios'!$AC11,10,IF('SK-ratios'!BU11&gt;='SK-ratios'!$AA11,5+5*LOG(1+('SK-ratios'!$U11-1)*('SK-ratios'!BU11-'SK-ratios'!$AA11)/('SK-ratios'!$AC11-'SK-ratios'!$AA11))/LOG('SK-ratios'!$U11),IF('SK-ratios'!BU11&gt;'SK-ratios'!$Y11,5-5*LOG(1+('SK-ratios'!$U11-1)*('SK-ratios'!BU11-'SK-ratios'!$AA11)/('SK-ratios'!$Y11-'SK-ratios'!$AA11))/LOG('SK-ratios'!$U11),0)))</f>
        <v>7.2187124176542872</v>
      </c>
      <c r="BM8" s="455">
        <f t="array" ref="BM8">IF('SK-ratios'!BV11&gt;'SK-ratios'!$AC11,10,IF('SK-ratios'!BV11&gt;='SK-ratios'!$AA11,5+5*LOG(1+('SK-ratios'!$U11-1)*('SK-ratios'!BV11-'SK-ratios'!$AA11)/('SK-ratios'!$AC11-'SK-ratios'!$AA11))/LOG('SK-ratios'!$U11),IF('SK-ratios'!BV11&gt;'SK-ratios'!$Y11,5-5*LOG(1+('SK-ratios'!$U11-1)*('SK-ratios'!BV11-'SK-ratios'!$AA11)/('SK-ratios'!$Y11-'SK-ratios'!$AA11))/LOG('SK-ratios'!$U11),0)))</f>
        <v>8.1016189982177842</v>
      </c>
      <c r="BN8" s="455">
        <f t="array" ref="BN8">IF('SK-ratios'!BW11&gt;'SK-ratios'!$AC11,10,IF('SK-ratios'!BW11&gt;='SK-ratios'!$AA11,5+5*LOG(1+('SK-ratios'!$U11-1)*('SK-ratios'!BW11-'SK-ratios'!$AA11)/('SK-ratios'!$AC11-'SK-ratios'!$AA11))/LOG('SK-ratios'!$U11),IF('SK-ratios'!BW11&gt;'SK-ratios'!$Y11,5-5*LOG(1+('SK-ratios'!$U11-1)*('SK-ratios'!BW11-'SK-ratios'!$AA11)/('SK-ratios'!$Y11-'SK-ratios'!$AA11))/LOG('SK-ratios'!$U11),0)))</f>
        <v>7.6377153694437965</v>
      </c>
      <c r="BO8" s="455">
        <f t="array" ref="BO8">IF('SK-ratios'!BX11&gt;'SK-ratios'!$AC11,10,IF('SK-ratios'!BX11&gt;='SK-ratios'!$AA11,5+5*LOG(1+('SK-ratios'!$U11-1)*('SK-ratios'!BX11-'SK-ratios'!$AA11)/('SK-ratios'!$AC11-'SK-ratios'!$AA11))/LOG('SK-ratios'!$U11),IF('SK-ratios'!BX11&gt;'SK-ratios'!$Y11,5-5*LOG(1+('SK-ratios'!$U11-1)*('SK-ratios'!BX11-'SK-ratios'!$AA11)/('SK-ratios'!$Y11-'SK-ratios'!$AA11))/LOG('SK-ratios'!$U11),0)))</f>
        <v>10</v>
      </c>
      <c r="BP8" s="455">
        <f t="array" ref="BP8">IF('SK-ratios'!BY11&gt;'SK-ratios'!$AC11,10,IF('SK-ratios'!BY11&gt;='SK-ratios'!$AA11,5+5*LOG(1+('SK-ratios'!$U11-1)*('SK-ratios'!BY11-'SK-ratios'!$AA11)/('SK-ratios'!$AC11-'SK-ratios'!$AA11))/LOG('SK-ratios'!$U11),IF('SK-ratios'!BY11&gt;'SK-ratios'!$Y11,5-5*LOG(1+('SK-ratios'!$U11-1)*('SK-ratios'!BY11-'SK-ratios'!$AA11)/('SK-ratios'!$Y11-'SK-ratios'!$AA11))/LOG('SK-ratios'!$U11),0)))</f>
        <v>10</v>
      </c>
      <c r="BQ8" s="455">
        <f t="array" ref="BQ8">IF('SK-ratios'!BZ11&gt;'SK-ratios'!$AC11,10,IF('SK-ratios'!BZ11&gt;='SK-ratios'!$AA11,5+5*LOG(1+('SK-ratios'!$U11-1)*('SK-ratios'!BZ11-'SK-ratios'!$AA11)/('SK-ratios'!$AC11-'SK-ratios'!$AA11))/LOG('SK-ratios'!$U11),IF('SK-ratios'!BZ11&gt;'SK-ratios'!$Y11,5-5*LOG(1+('SK-ratios'!$U11-1)*('SK-ratios'!BZ11-'SK-ratios'!$AA11)/('SK-ratios'!$Y11-'SK-ratios'!$AA11))/LOG('SK-ratios'!$U11),0)))</f>
        <v>5.8960164106539743</v>
      </c>
      <c r="BR8" s="455">
        <f t="array" ref="BR8">IF('SK-ratios'!CA11&gt;'SK-ratios'!$AC11,10,IF('SK-ratios'!CA11&gt;='SK-ratios'!$AA11,5+5*LOG(1+('SK-ratios'!$U11-1)*('SK-ratios'!CA11-'SK-ratios'!$AA11)/('SK-ratios'!$AC11-'SK-ratios'!$AA11))/LOG('SK-ratios'!$U11),IF('SK-ratios'!CA11&gt;'SK-ratios'!$Y11,5-5*LOG(1+('SK-ratios'!$U11-1)*('SK-ratios'!CA11-'SK-ratios'!$AA11)/('SK-ratios'!$Y11-'SK-ratios'!$AA11))/LOG('SK-ratios'!$U11),0)))</f>
        <v>6.9284062243238056</v>
      </c>
      <c r="BS8" s="455">
        <f t="array" ref="BS8">IF('SK-ratios'!CB11&gt;'SK-ratios'!$AC11,10,IF('SK-ratios'!CB11&gt;='SK-ratios'!$AA11,5+5*LOG(1+('SK-ratios'!$U11-1)*('SK-ratios'!CB11-'SK-ratios'!$AA11)/('SK-ratios'!$AC11-'SK-ratios'!$AA11))/LOG('SK-ratios'!$U11),IF('SK-ratios'!CB11&gt;'SK-ratios'!$Y11,5-5*LOG(1+('SK-ratios'!$U11-1)*('SK-ratios'!CB11-'SK-ratios'!$AA11)/('SK-ratios'!$Y11-'SK-ratios'!$AA11))/LOG('SK-ratios'!$U11),0)))</f>
        <v>9.2211264666061581</v>
      </c>
      <c r="BT8" s="455">
        <f t="array" ref="BT8">IF('SK-ratios'!CC11&gt;'SK-ratios'!$AC11,10,IF('SK-ratios'!CC11&gt;='SK-ratios'!$AA11,5+5*LOG(1+('SK-ratios'!$U11-1)*('SK-ratios'!CC11-'SK-ratios'!$AA11)/('SK-ratios'!$AC11-'SK-ratios'!$AA11))/LOG('SK-ratios'!$U11),IF('SK-ratios'!CC11&gt;'SK-ratios'!$Y11,5-5*LOG(1+('SK-ratios'!$U11-1)*('SK-ratios'!CC11-'SK-ratios'!$AA11)/('SK-ratios'!$Y11-'SK-ratios'!$AA11))/LOG('SK-ratios'!$U11),0)))</f>
        <v>8.043775141168803</v>
      </c>
      <c r="BU8" s="455">
        <f t="array" ref="BU8">IF('SK-ratios'!CD11&gt;'SK-ratios'!$AC11,10,IF('SK-ratios'!CD11&gt;='SK-ratios'!$AA11,5+5*LOG(1+('SK-ratios'!$U11-1)*('SK-ratios'!CD11-'SK-ratios'!$AA11)/('SK-ratios'!$AC11-'SK-ratios'!$AA11))/LOG('SK-ratios'!$U11),IF('SK-ratios'!CD11&gt;'SK-ratios'!$Y11,5-5*LOG(1+('SK-ratios'!$U11-1)*('SK-ratios'!CD11-'SK-ratios'!$AA11)/('SK-ratios'!$Y11-'SK-ratios'!$AA11))/LOG('SK-ratios'!$U11),0)))</f>
        <v>9.6057006874319235</v>
      </c>
      <c r="BV8" s="455">
        <f t="array" ref="BV8">IF('SK-ratios'!CE11&gt;'SK-ratios'!$AC11,10,IF('SK-ratios'!CE11&gt;='SK-ratios'!$AA11,5+5*LOG(1+('SK-ratios'!$U11-1)*('SK-ratios'!CE11-'SK-ratios'!$AA11)/('SK-ratios'!$AC11-'SK-ratios'!$AA11))/LOG('SK-ratios'!$U11),IF('SK-ratios'!CE11&gt;'SK-ratios'!$Y11,5-5*LOG(1+('SK-ratios'!$U11-1)*('SK-ratios'!CE11-'SK-ratios'!$AA11)/('SK-ratios'!$Y11-'SK-ratios'!$AA11))/LOG('SK-ratios'!$U11),0)))</f>
        <v>8.7443617541080343</v>
      </c>
      <c r="BW8" s="455">
        <f t="array" ref="BW8">IF('SK-ratios'!CF11&gt;'SK-ratios'!$AC11,10,IF('SK-ratios'!CF11&gt;='SK-ratios'!$AA11,5+5*LOG(1+('SK-ratios'!$U11-1)*('SK-ratios'!CF11-'SK-ratios'!$AA11)/('SK-ratios'!$AC11-'SK-ratios'!$AA11))/LOG('SK-ratios'!$U11),IF('SK-ratios'!CF11&gt;'SK-ratios'!$Y11,5-5*LOG(1+('SK-ratios'!$U11-1)*('SK-ratios'!CF11-'SK-ratios'!$AA11)/('SK-ratios'!$Y11-'SK-ratios'!$AA11))/LOG('SK-ratios'!$U11),0)))</f>
        <v>6.178948356935523</v>
      </c>
      <c r="BX8" s="455">
        <f t="array" ref="BX8">IF('SK-ratios'!CG11&gt;'SK-ratios'!$AC11,10,IF('SK-ratios'!CG11&gt;='SK-ratios'!$AA11,5+5*LOG(1+('SK-ratios'!$U11-1)*('SK-ratios'!CG11-'SK-ratios'!$AA11)/('SK-ratios'!$AC11-'SK-ratios'!$AA11))/LOG('SK-ratios'!$U11),IF('SK-ratios'!CG11&gt;'SK-ratios'!$Y11,5-5*LOG(1+('SK-ratios'!$U11-1)*('SK-ratios'!CG11-'SK-ratios'!$AA11)/('SK-ratios'!$Y11-'SK-ratios'!$AA11))/LOG('SK-ratios'!$U11),0)))</f>
        <v>5.7437751837552602</v>
      </c>
      <c r="BY8" s="455">
        <f t="array" ref="BY8">IF('SK-ratios'!CH11&gt;'SK-ratios'!$AC11,10,IF('SK-ratios'!CH11&gt;='SK-ratios'!$AA11,5+5*LOG(1+('SK-ratios'!$U11-1)*('SK-ratios'!CH11-'SK-ratios'!$AA11)/('SK-ratios'!$AC11-'SK-ratios'!$AA11))/LOG('SK-ratios'!$U11),IF('SK-ratios'!CH11&gt;'SK-ratios'!$Y11,5-5*LOG(1+('SK-ratios'!$U11-1)*('SK-ratios'!CH11-'SK-ratios'!$AA11)/('SK-ratios'!$Y11-'SK-ratios'!$AA11))/LOG('SK-ratios'!$U11),0)))</f>
        <v>10</v>
      </c>
      <c r="BZ8" s="455">
        <f t="array" ref="BZ8">IF('SK-ratios'!CI11&gt;'SK-ratios'!$AC11,10,IF('SK-ratios'!CI11&gt;='SK-ratios'!$AA11,5+5*LOG(1+('SK-ratios'!$U11-1)*('SK-ratios'!CI11-'SK-ratios'!$AA11)/('SK-ratios'!$AC11-'SK-ratios'!$AA11))/LOG('SK-ratios'!$U11),IF('SK-ratios'!CI11&gt;'SK-ratios'!$Y11,5-5*LOG(1+('SK-ratios'!$U11-1)*('SK-ratios'!CI11-'SK-ratios'!$AA11)/('SK-ratios'!$Y11-'SK-ratios'!$AA11))/LOG('SK-ratios'!$U11),0)))</f>
        <v>4.1361679427124782</v>
      </c>
      <c r="CA8" s="455">
        <f t="array" ref="CA8">IF('SK-ratios'!CJ11&gt;'SK-ratios'!$AC11,10,IF('SK-ratios'!CJ11&gt;='SK-ratios'!$AA11,5+5*LOG(1+('SK-ratios'!$U11-1)*('SK-ratios'!CJ11-'SK-ratios'!$AA11)/('SK-ratios'!$AC11-'SK-ratios'!$AA11))/LOG('SK-ratios'!$U11),IF('SK-ratios'!CJ11&gt;'SK-ratios'!$Y11,5-5*LOG(1+('SK-ratios'!$U11-1)*('SK-ratios'!CJ11-'SK-ratios'!$AA11)/('SK-ratios'!$Y11-'SK-ratios'!$AA11))/LOG('SK-ratios'!$U11),0)))</f>
        <v>8.5079739864206196</v>
      </c>
      <c r="CB8" s="455">
        <f t="array" ref="CB8">IF('SK-ratios'!CK11&gt;'SK-ratios'!$AC11,10,IF('SK-ratios'!CK11&gt;='SK-ratios'!$AA11,5+5*LOG(1+('SK-ratios'!$U11-1)*('SK-ratios'!CK11-'SK-ratios'!$AA11)/('SK-ratios'!$AC11-'SK-ratios'!$AA11))/LOG('SK-ratios'!$U11),IF('SK-ratios'!CK11&gt;'SK-ratios'!$Y11,5-5*LOG(1+('SK-ratios'!$U11-1)*('SK-ratios'!CK11-'SK-ratios'!$AA11)/('SK-ratios'!$Y11-'SK-ratios'!$AA11))/LOG('SK-ratios'!$U11),0)))</f>
        <v>6.5670729652794702</v>
      </c>
      <c r="CC8" s="455">
        <f t="array" ref="CC8">IF('SK-ratios'!CL11&gt;'SK-ratios'!$AC11,10,IF('SK-ratios'!CL11&gt;='SK-ratios'!$AA11,5+5*LOG(1+('SK-ratios'!$U11-1)*('SK-ratios'!CL11-'SK-ratios'!$AA11)/('SK-ratios'!$AC11-'SK-ratios'!$AA11))/LOG('SK-ratios'!$U11),IF('SK-ratios'!CL11&gt;'SK-ratios'!$Y11,5-5*LOG(1+('SK-ratios'!$U11-1)*('SK-ratios'!CL11-'SK-ratios'!$AA11)/('SK-ratios'!$Y11-'SK-ratios'!$AA11))/LOG('SK-ratios'!$U11),0)))</f>
        <v>6.0851955324264466</v>
      </c>
      <c r="CD8" s="455">
        <f t="array" ref="CD8">IF('SK-ratios'!CM11&gt;'SK-ratios'!$AC11,10,IF('SK-ratios'!CM11&gt;='SK-ratios'!$AA11,5+5*LOG(1+('SK-ratios'!$U11-1)*('SK-ratios'!CM11-'SK-ratios'!$AA11)/('SK-ratios'!$AC11-'SK-ratios'!$AA11))/LOG('SK-ratios'!$U11),IF('SK-ratios'!CM11&gt;'SK-ratios'!$Y11,5-5*LOG(1+('SK-ratios'!$U11-1)*('SK-ratios'!CM11-'SK-ratios'!$AA11)/('SK-ratios'!$Y11-'SK-ratios'!$AA11))/LOG('SK-ratios'!$U11),0)))</f>
        <v>9.2745126752328382</v>
      </c>
      <c r="CE8" s="455">
        <f t="array" ref="CE8">IF('SK-ratios'!CN11&gt;'SK-ratios'!$AC11,10,IF('SK-ratios'!CN11&gt;='SK-ratios'!$AA11,5+5*LOG(1+('SK-ratios'!$U11-1)*('SK-ratios'!CN11-'SK-ratios'!$AA11)/('SK-ratios'!$AC11-'SK-ratios'!$AA11))/LOG('SK-ratios'!$U11),IF('SK-ratios'!CN11&gt;'SK-ratios'!$Y11,5-5*LOG(1+('SK-ratios'!$U11-1)*('SK-ratios'!CN11-'SK-ratios'!$AA11)/('SK-ratios'!$Y11-'SK-ratios'!$AA11))/LOG('SK-ratios'!$U11),0)))</f>
        <v>7.3393191071646191</v>
      </c>
      <c r="CF8" s="455">
        <f t="array" ref="CF8">IF('SK-ratios'!CO11&gt;'SK-ratios'!$AC11,10,IF('SK-ratios'!CO11&gt;='SK-ratios'!$AA11,5+5*LOG(1+('SK-ratios'!$U11-1)*('SK-ratios'!CO11-'SK-ratios'!$AA11)/('SK-ratios'!$AC11-'SK-ratios'!$AA11))/LOG('SK-ratios'!$U11),IF('SK-ratios'!CO11&gt;'SK-ratios'!$Y11,5-5*LOG(1+('SK-ratios'!$U11-1)*('SK-ratios'!CO11-'SK-ratios'!$AA11)/('SK-ratios'!$Y11-'SK-ratios'!$AA11))/LOG('SK-ratios'!$U11),0)))</f>
        <v>8.9350837703734083</v>
      </c>
      <c r="CG8" s="455">
        <f t="array" ref="CG8">IF('SK-ratios'!CP11&gt;'SK-ratios'!$AC11,10,IF('SK-ratios'!CP11&gt;='SK-ratios'!$AA11,5+5*LOG(1+('SK-ratios'!$U11-1)*('SK-ratios'!CP11-'SK-ratios'!$AA11)/('SK-ratios'!$AC11-'SK-ratios'!$AA11))/LOG('SK-ratios'!$U11),IF('SK-ratios'!CP11&gt;'SK-ratios'!$Y11,5-5*LOG(1+('SK-ratios'!$U11-1)*('SK-ratios'!CP11-'SK-ratios'!$AA11)/('SK-ratios'!$Y11-'SK-ratios'!$AA11))/LOG('SK-ratios'!$U11),0)))</f>
        <v>7.9239907151387463</v>
      </c>
      <c r="CH8" s="455">
        <f t="array" ref="CH8">IF('SK-ratios'!CQ11&gt;'SK-ratios'!$AC11,10,IF('SK-ratios'!CQ11&gt;='SK-ratios'!$AA11,5+5*LOG(1+('SK-ratios'!$U11-1)*('SK-ratios'!CQ11-'SK-ratios'!$AA11)/('SK-ratios'!$AC11-'SK-ratios'!$AA11))/LOG('SK-ratios'!$U11),IF('SK-ratios'!CQ11&gt;'SK-ratios'!$Y11,5-5*LOG(1+('SK-ratios'!$U11-1)*('SK-ratios'!CQ11-'SK-ratios'!$AA11)/('SK-ratios'!$Y11-'SK-ratios'!$AA11))/LOG('SK-ratios'!$U11),0)))</f>
        <v>9.0644513429425011</v>
      </c>
      <c r="CI8" s="455">
        <f t="array" ref="CI8">IF('SK-ratios'!CR11&gt;'SK-ratios'!$AC11,10,IF('SK-ratios'!CR11&gt;='SK-ratios'!$AA11,5+5*LOG(1+('SK-ratios'!$U11-1)*('SK-ratios'!CR11-'SK-ratios'!$AA11)/('SK-ratios'!$AC11-'SK-ratios'!$AA11))/LOG('SK-ratios'!$U11),IF('SK-ratios'!CR11&gt;'SK-ratios'!$Y11,5-5*LOG(1+('SK-ratios'!$U11-1)*('SK-ratios'!CR11-'SK-ratios'!$AA11)/('SK-ratios'!$Y11-'SK-ratios'!$AA11))/LOG('SK-ratios'!$U11),0)))</f>
        <v>8.2797478865263194</v>
      </c>
      <c r="CJ8" s="455">
        <f t="array" ref="CJ8">IF('SK-ratios'!CS11&gt;'SK-ratios'!$AC11,10,IF('SK-ratios'!CS11&gt;='SK-ratios'!$AA11,5+5*LOG(1+('SK-ratios'!$U11-1)*('SK-ratios'!CS11-'SK-ratios'!$AA11)/('SK-ratios'!$AC11-'SK-ratios'!$AA11))/LOG('SK-ratios'!$U11),IF('SK-ratios'!CS11&gt;'SK-ratios'!$Y11,5-5*LOG(1+('SK-ratios'!$U11-1)*('SK-ratios'!CS11-'SK-ratios'!$AA11)/('SK-ratios'!$Y11-'SK-ratios'!$AA11))/LOG('SK-ratios'!$U11),0)))</f>
        <v>10</v>
      </c>
      <c r="CK8" s="455">
        <f t="array" ref="CK8">IF('SK-ratios'!CT11&gt;'SK-ratios'!$AC11,10,IF('SK-ratios'!CT11&gt;='SK-ratios'!$AA11,5+5*LOG(1+('SK-ratios'!$U11-1)*('SK-ratios'!CT11-'SK-ratios'!$AA11)/('SK-ratios'!$AC11-'SK-ratios'!$AA11))/LOG('SK-ratios'!$U11),IF('SK-ratios'!CT11&gt;'SK-ratios'!$Y11,5-5*LOG(1+('SK-ratios'!$U11-1)*('SK-ratios'!CT11-'SK-ratios'!$AA11)/('SK-ratios'!$Y11-'SK-ratios'!$AA11))/LOG('SK-ratios'!$U11),0)))</f>
        <v>7.697262125682073</v>
      </c>
      <c r="CL8" s="455">
        <f t="array" ref="CL8">IF('SK-ratios'!CU11&gt;'SK-ratios'!$AC11,10,IF('SK-ratios'!CU11&gt;='SK-ratios'!$AA11,5+5*LOG(1+('SK-ratios'!$U11-1)*('SK-ratios'!CU11-'SK-ratios'!$AA11)/('SK-ratios'!$AC11-'SK-ratios'!$AA11))/LOG('SK-ratios'!$U11),IF('SK-ratios'!CU11&gt;'SK-ratios'!$Y11,5-5*LOG(1+('SK-ratios'!$U11-1)*('SK-ratios'!CU11-'SK-ratios'!$AA11)/('SK-ratios'!$Y11-'SK-ratios'!$AA11))/LOG('SK-ratios'!$U11),0)))</f>
        <v>9.4569652949462277</v>
      </c>
      <c r="CM8" s="455">
        <f t="array" ref="CM8">IF('SK-ratios'!CV11&gt;'SK-ratios'!$AC11,10,IF('SK-ratios'!CV11&gt;='SK-ratios'!$AA11,5+5*LOG(1+('SK-ratios'!$U11-1)*('SK-ratios'!CV11-'SK-ratios'!$AA11)/('SK-ratios'!$AC11-'SK-ratios'!$AA11))/LOG('SK-ratios'!$U11),IF('SK-ratios'!CV11&gt;'SK-ratios'!$Y11,5-5*LOG(1+('SK-ratios'!$U11-1)*('SK-ratios'!CV11-'SK-ratios'!$AA11)/('SK-ratios'!$Y11-'SK-ratios'!$AA11))/LOG('SK-ratios'!$U11),0)))</f>
        <v>5.4317739039942952</v>
      </c>
      <c r="CN8" s="455">
        <f t="array" ref="CN8">IF('SK-ratios'!CW11&gt;'SK-ratios'!$AC11,10,IF('SK-ratios'!CW11&gt;='SK-ratios'!$AA11,5+5*LOG(1+('SK-ratios'!$U11-1)*('SK-ratios'!CW11-'SK-ratios'!$AA11)/('SK-ratios'!$AC11-'SK-ratios'!$AA11))/LOG('SK-ratios'!$U11),IF('SK-ratios'!CW11&gt;'SK-ratios'!$Y11,5-5*LOG(1+('SK-ratios'!$U11-1)*('SK-ratios'!CW11-'SK-ratios'!$AA11)/('SK-ratios'!$Y11-'SK-ratios'!$AA11))/LOG('SK-ratios'!$U11),0)))</f>
        <v>5.2529333795204831</v>
      </c>
      <c r="CO8" s="455">
        <f t="array" ref="CO8">IF('SK-ratios'!CX11&gt;'SK-ratios'!$AC11,10,IF('SK-ratios'!CX11&gt;='SK-ratios'!$AA11,5+5*LOG(1+('SK-ratios'!$U11-1)*('SK-ratios'!CX11-'SK-ratios'!$AA11)/('SK-ratios'!$AC11-'SK-ratios'!$AA11))/LOG('SK-ratios'!$U11),IF('SK-ratios'!CX11&gt;'SK-ratios'!$Y11,5-5*LOG(1+('SK-ratios'!$U11-1)*('SK-ratios'!CX11-'SK-ratios'!$AA11)/('SK-ratios'!$Y11-'SK-ratios'!$AA11))/LOG('SK-ratios'!$U11),0)))</f>
        <v>5.778050702634884</v>
      </c>
      <c r="CP8" s="455">
        <f t="array" ref="CP8">IF('SK-ratios'!CY11&gt;'SK-ratios'!$AC11,10,IF('SK-ratios'!CY11&gt;='SK-ratios'!$AA11,5+5*LOG(1+('SK-ratios'!$U11-1)*('SK-ratios'!CY11-'SK-ratios'!$AA11)/('SK-ratios'!$AC11-'SK-ratios'!$AA11))/LOG('SK-ratios'!$U11),IF('SK-ratios'!CY11&gt;'SK-ratios'!$Y11,5-5*LOG(1+('SK-ratios'!$U11-1)*('SK-ratios'!CY11-'SK-ratios'!$AA11)/('SK-ratios'!$Y11-'SK-ratios'!$AA11))/LOG('SK-ratios'!$U11),0)))</f>
        <v>9.2923088067237281</v>
      </c>
      <c r="CQ8" s="455">
        <f t="array" ref="CQ8">IF('SK-ratios'!CZ11&gt;'SK-ratios'!$AC11,10,IF('SK-ratios'!CZ11&gt;='SK-ratios'!$AA11,5+5*LOG(1+('SK-ratios'!$U11-1)*('SK-ratios'!CZ11-'SK-ratios'!$AA11)/('SK-ratios'!$AC11-'SK-ratios'!$AA11))/LOG('SK-ratios'!$U11),IF('SK-ratios'!CZ11&gt;'SK-ratios'!$Y11,5-5*LOG(1+('SK-ratios'!$U11-1)*('SK-ratios'!CZ11-'SK-ratios'!$AA11)/('SK-ratios'!$Y11-'SK-ratios'!$AA11))/LOG('SK-ratios'!$U11),0)))</f>
        <v>7.9656822699032928</v>
      </c>
      <c r="CR8" s="455">
        <f t="array" ref="CR8">IF('SK-ratios'!DA11&gt;'SK-ratios'!$AC11,10,IF('SK-ratios'!DA11&gt;='SK-ratios'!$AA11,5+5*LOG(1+('SK-ratios'!$U11-1)*('SK-ratios'!DA11-'SK-ratios'!$AA11)/('SK-ratios'!$AC11-'SK-ratios'!$AA11))/LOG('SK-ratios'!$U11),IF('SK-ratios'!DA11&gt;'SK-ratios'!$Y11,5-5*LOG(1+('SK-ratios'!$U11-1)*('SK-ratios'!DA11-'SK-ratios'!$AA11)/('SK-ratios'!$Y11-'SK-ratios'!$AA11))/LOG('SK-ratios'!$U11),0)))</f>
        <v>8.6214934305869235</v>
      </c>
      <c r="CS8" s="455">
        <f t="array" ref="CS8">IF('SK-ratios'!DB11&gt;'SK-ratios'!$AC11,10,IF('SK-ratios'!DB11&gt;='SK-ratios'!$AA11,5+5*LOG(1+('SK-ratios'!$U11-1)*('SK-ratios'!DB11-'SK-ratios'!$AA11)/('SK-ratios'!$AC11-'SK-ratios'!$AA11))/LOG('SK-ratios'!$U11),IF('SK-ratios'!DB11&gt;'SK-ratios'!$Y11,5-5*LOG(1+('SK-ratios'!$U11-1)*('SK-ratios'!DB11-'SK-ratios'!$AA11)/('SK-ratios'!$Y11-'SK-ratios'!$AA11))/LOG('SK-ratios'!$U11),0)))</f>
        <v>7.7617225548071911</v>
      </c>
      <c r="CT8" s="455">
        <f t="array" ref="CT8">IF('SK-ratios'!DC11&gt;'SK-ratios'!$AC11,10,IF('SK-ratios'!DC11&gt;='SK-ratios'!$AA11,5+5*LOG(1+('SK-ratios'!$U11-1)*('SK-ratios'!DC11-'SK-ratios'!$AA11)/('SK-ratios'!$AC11-'SK-ratios'!$AA11))/LOG('SK-ratios'!$U11),IF('SK-ratios'!DC11&gt;'SK-ratios'!$Y11,5-5*LOG(1+('SK-ratios'!$U11-1)*('SK-ratios'!DC11-'SK-ratios'!$AA11)/('SK-ratios'!$Y11-'SK-ratios'!$AA11))/LOG('SK-ratios'!$U11),0)))</f>
        <v>9.0925606409354458</v>
      </c>
      <c r="CU8" s="455">
        <f t="array" ref="CU8">IF('SK-ratios'!DD11&gt;'SK-ratios'!$AC11,10,IF('SK-ratios'!DD11&gt;='SK-ratios'!$AA11,5+5*LOG(1+('SK-ratios'!$U11-1)*('SK-ratios'!DD11-'SK-ratios'!$AA11)/('SK-ratios'!$AC11-'SK-ratios'!$AA11))/LOG('SK-ratios'!$U11),IF('SK-ratios'!DD11&gt;'SK-ratios'!$Y11,5-5*LOG(1+('SK-ratios'!$U11-1)*('SK-ratios'!DD11-'SK-ratios'!$AA11)/('SK-ratios'!$Y11-'SK-ratios'!$AA11))/LOG('SK-ratios'!$U11),0)))</f>
        <v>5.2535555024776945</v>
      </c>
      <c r="CV8" s="455">
        <f t="array" ref="CV8">IF('SK-ratios'!DE11&gt;'SK-ratios'!$AC11,10,IF('SK-ratios'!DE11&gt;='SK-ratios'!$AA11,5+5*LOG(1+('SK-ratios'!$U11-1)*('SK-ratios'!DE11-'SK-ratios'!$AA11)/('SK-ratios'!$AC11-'SK-ratios'!$AA11))/LOG('SK-ratios'!$U11),IF('SK-ratios'!DE11&gt;'SK-ratios'!$Y11,5-5*LOG(1+('SK-ratios'!$U11-1)*('SK-ratios'!DE11-'SK-ratios'!$AA11)/('SK-ratios'!$Y11-'SK-ratios'!$AA11))/LOG('SK-ratios'!$U11),0)))</f>
        <v>6.1886120689429829</v>
      </c>
      <c r="CW8" s="455">
        <f t="array" ref="CW8">IF('SK-ratios'!DF11&gt;'SK-ratios'!$AC11,10,IF('SK-ratios'!DF11&gt;='SK-ratios'!$AA11,5+5*LOG(1+('SK-ratios'!$U11-1)*('SK-ratios'!DF11-'SK-ratios'!$AA11)/('SK-ratios'!$AC11-'SK-ratios'!$AA11))/LOG('SK-ratios'!$U11),IF('SK-ratios'!DF11&gt;'SK-ratios'!$Y11,5-5*LOG(1+('SK-ratios'!$U11-1)*('SK-ratios'!DF11-'SK-ratios'!$AA11)/('SK-ratios'!$Y11-'SK-ratios'!$AA11))/LOG('SK-ratios'!$U11),0)))</f>
        <v>5.0775969613220377</v>
      </c>
      <c r="CX8" s="455">
        <f t="array" ref="CX8">IF('SK-ratios'!DG11&gt;'SK-ratios'!$AC11,10,IF('SK-ratios'!DG11&gt;='SK-ratios'!$AA11,5+5*LOG(1+('SK-ratios'!$U11-1)*('SK-ratios'!DG11-'SK-ratios'!$AA11)/('SK-ratios'!$AC11-'SK-ratios'!$AA11))/LOG('SK-ratios'!$U11),IF('SK-ratios'!DG11&gt;'SK-ratios'!$Y11,5-5*LOG(1+('SK-ratios'!$U11-1)*('SK-ratios'!DG11-'SK-ratios'!$AA11)/('SK-ratios'!$Y11-'SK-ratios'!$AA11))/LOG('SK-ratios'!$U11),0)))</f>
        <v>3.6827460076801932</v>
      </c>
      <c r="CZ8" s="546"/>
      <c r="DA8" s="455">
        <f t="array" ref="DA8">SUMPRODUCT(IF(($W$3:$CX$3=DA$3)*($W$2:$CX$2=DA$2),$W8:$CX8),IF(($W$3:$CX$3=DA$3)*($W$2:$CX$2=DA$2),$W$19:$CX$19))/SUM(IF(($W$3:$CX$3=DA$3)*($W$2:$CX$2=DA$2),$W$19:$CX$19))</f>
        <v>6.7096422230997312</v>
      </c>
      <c r="DB8" s="455">
        <f t="array" ref="DB8">SUMPRODUCT(IF(($W$3:$CX$3=DB$3)*($W$2:$CX$2=DB$2),$W8:$CX8),IF(($W$3:$CX$3=DB$3)*($W$2:$CX$2=DB$2),$W$19:$CX$19))/SUM(IF(($W$3:$CX$3=DB$3)*($W$2:$CX$2=DB$2),$W$19:$CX$19))</f>
        <v>9.2598601377954353</v>
      </c>
      <c r="DC8" s="455">
        <f t="array" ref="DC8">SUMPRODUCT(IF(($W$3:$CX$3=DC$3)*($W$2:$CX$2=DC$2),$W8:$CX8),IF(($W$3:$CX$3=DC$3)*($W$2:$CX$2=DC$2),$W$19:$CX$19))/SUM(IF(($W$3:$CX$3=DC$3)*($W$2:$CX$2=DC$2),$W$19:$CX$19))</f>
        <v>5.5482214888588448</v>
      </c>
      <c r="DD8" s="455">
        <f t="array" ref="DD8">SUMPRODUCT(IF(($W$3:$CX$3=DD$3)*($W$2:$CX$2=DD$2),$W8:$CX8),IF(($W$3:$CX$3=DD$3)*($W$2:$CX$2=DD$2),$W$19:$CX$19))/SUM(IF(($W$3:$CX$3=DD$3)*($W$2:$CX$2=DD$2),$W$19:$CX$19))</f>
        <v>6.2756523143570666</v>
      </c>
      <c r="DE8" s="455">
        <f t="array" ref="DE8">SUMPRODUCT(IF(($W$3:$CX$3=DE$3)*($W$2:$CX$2=DE$2),$W8:$CX8),IF(($W$3:$CX$3=DE$3)*($W$2:$CX$2=DE$2),$W$19:$CX$19))/SUM(IF(($W$3:$CX$3=DE$3)*($W$2:$CX$2=DE$2),$W$19:$CX$19))</f>
        <v>7.6326396086391579</v>
      </c>
      <c r="DF8" s="455">
        <f t="array" ref="DF8">SUMPRODUCT(IF(($W$3:$CX$3=DF$3)*($W$2:$CX$2=DF$2),$W8:$CX8),IF(($W$3:$CX$3=DF$3)*($W$2:$CX$2=DF$2),$W$19:$CX$19))/SUM(IF(($W$3:$CX$3=DF$3)*($W$2:$CX$2=DF$2),$W$19:$CX$19))</f>
        <v>6.7816339038336855</v>
      </c>
      <c r="DG8" s="455">
        <f t="array" ref="DG8">SUMPRODUCT(IF(($W$3:$CX$3=DG$3)*($W$2:$CX$2=DG$2),$W8:$CX8),IF(($W$3:$CX$3=DG$3)*($W$2:$CX$2=DG$2),$W$19:$CX$19))/SUM(IF(($W$3:$CX$3=DG$3)*($W$2:$CX$2=DG$2),$W$19:$CX$19))</f>
        <v>8.3402066142737095</v>
      </c>
      <c r="DH8" s="455">
        <f t="array" ref="DH8">SUMPRODUCT(IF(($W$3:$CX$3=DH$3)*($W$2:$CX$2=DH$2),$W8:$CX8),IF(($W$3:$CX$3=DH$3)*($W$2:$CX$2=DH$2),$W$19:$CX$19))/SUM(IF(($W$3:$CX$3=DH$3)*($W$2:$CX$2=DH$2),$W$19:$CX$19))</f>
        <v>7.9138566990395613</v>
      </c>
      <c r="DI8" s="455">
        <f t="array" ref="DI8">SUMPRODUCT(IF(($W$3:$CX$3=DI$3)*($W$2:$CX$2=DI$2),$W8:$CX8),IF(($W$3:$CX$3=DI$3)*($W$2:$CX$2=DI$2),$W$19:$CX$19))/SUM(IF(($W$3:$CX$3=DI$3)*($W$2:$CX$2=DI$2),$W$19:$CX$19))</f>
        <v>8.0798708705009012</v>
      </c>
      <c r="DJ8" s="455">
        <f t="array" ref="DJ8">SUMPRODUCT(IF(($W$3:$CX$3=DJ$3)*($W$2:$CX$2=DJ$2),$W8:$CX8),IF(($W$3:$CX$3=DJ$3)*($W$2:$CX$2=DJ$2),$W$19:$CX$19))/SUM(IF(($W$3:$CX$3=DJ$3)*($W$2:$CX$2=DJ$2),$W$19:$CX$19))</f>
        <v>9.4681131222241124</v>
      </c>
      <c r="DK8" s="455">
        <f t="array" ref="DK8">SUMPRODUCT(IF(($W$3:$CX$3=DK$3)*1,$W8:$CX8),IF(($W$3:$CX$3=DK$3)*1,$W$19:$CX$19))/SUM(IF(($W$3:$CX$3=DK$3)*1,$W$19:$CX$19))</f>
        <v>8.7587085542856311</v>
      </c>
      <c r="DL8" s="455">
        <f t="array" ref="DL8">SUMPRODUCT(IF(($W$3:$CX$3=DL$3)*1,$W8:$CX8),IF(($W$3:$CX$3=DL$3)*1,$W$19:$CX$19))/SUM(IF(($W$3:$CX$3=DL$3)*1,$W$19:$CX$19))</f>
        <v>6.6060901495973576</v>
      </c>
      <c r="DM8" s="455">
        <f t="array" ref="DM8">SUMPRODUCT(IF(($W$3:$CX$3=DM$3)*1,$W8:$CX8),IF(($W$3:$CX$3=DM$3)*1,$W$19:$CX$19))/SUM(IF(($W$3:$CX$3=DM$3)*1,$W$19:$CX$19))</f>
        <v>6.8468999195410341</v>
      </c>
      <c r="DN8" s="455">
        <f t="array" ref="DN8">SUMPRODUCT(IF(1*($W$2:$CX$2=DN$2),$W8:$CX8),IF(1*($W$2:$CX$2=DN$2),$W$19:$CX$19))/SUM(IF(1*($W$2:$CX$2=DN$2),$W$19:$CX$19))</f>
        <v>6.9875542976421956</v>
      </c>
      <c r="DO8" s="455">
        <f t="array" ref="DO8">SUMPRODUCT(IF(1*($W$2:$CX$2=DO$2),$W8:$CX8),IF(1*($W$2:$CX$2=DO$2),$W$19:$CX$19))/SUM(IF(1*($W$2:$CX$2=DO$2),$W$19:$CX$19))</f>
        <v>8.2119825821470904</v>
      </c>
      <c r="DP8" s="455">
        <f t="array" ref="DP8">SUMPRODUCT(IF(1*1,$W8:$CX8),IF(1*1,$W$19:$CX$19))/SUM(IF(1*1,$W$19:$CX$19))</f>
        <v>7.448538952917386</v>
      </c>
    </row>
    <row r="9" spans="1:120" ht="15.75" customHeight="1" thickBot="1" x14ac:dyDescent="0.3">
      <c r="A9" s="640"/>
      <c r="B9" s="669"/>
      <c r="C9" s="418">
        <f>'MD-ratings-year'!C9</f>
        <v>0.05</v>
      </c>
      <c r="D9" s="419" t="str">
        <f>'MD-ratings-year'!D9</f>
        <v>ROE - Return on Equity</v>
      </c>
      <c r="E9" s="420" t="str">
        <f>'MD-ratings-year'!E9</f>
        <v>Net Profit ÷ Equity</v>
      </c>
      <c r="F9" s="422" t="s">
        <v>400</v>
      </c>
      <c r="G9" s="653"/>
      <c r="H9" s="224"/>
      <c r="I9" s="570">
        <f>'SK-ratios'!U12</f>
        <v>31.848480957203769</v>
      </c>
      <c r="J9" s="224"/>
      <c r="K9" s="226">
        <f>'MD-ratings-year'!P9</f>
        <v>-0.28675695733572315</v>
      </c>
      <c r="L9" s="566">
        <f>'MD-ratings-year'!Q9</f>
        <v>-0.14337847866786158</v>
      </c>
      <c r="M9" s="226">
        <f>'MD-ratings-year'!R9</f>
        <v>0</v>
      </c>
      <c r="N9" s="566">
        <f>'MD-ratings-year'!S9</f>
        <v>0.14337847866786158</v>
      </c>
      <c r="O9" s="226">
        <f>'MD-ratings-year'!T9</f>
        <v>0.28675695733572315</v>
      </c>
      <c r="P9" s="226"/>
      <c r="Q9" s="226"/>
      <c r="R9" s="226"/>
      <c r="W9" s="455">
        <f t="array" ref="W9">IF('SK-ratios'!AF12&gt;'SK-ratios'!$AC12,10,IF('SK-ratios'!AF12&gt;='SK-ratios'!$AA12,5+5*LOG(1+('SK-ratios'!$U12-1)*('SK-ratios'!AF12-'SK-ratios'!$AA12)/('SK-ratios'!$AC12-'SK-ratios'!$AA12))/LOG('SK-ratios'!$U12),IF('SK-ratios'!AF12&gt;'SK-ratios'!$Y12,5-5*LOG(1+('SK-ratios'!$U12-1)*('SK-ratios'!AF12-'SK-ratios'!$AA12)/('SK-ratios'!$Y12-'SK-ratios'!$AA12))/LOG('SK-ratios'!$U12),0)))</f>
        <v>4.869863332544039</v>
      </c>
      <c r="X9" s="455">
        <f t="array" ref="X9">IF('SK-ratios'!AG12&gt;'SK-ratios'!$AC12,10,IF('SK-ratios'!AG12&gt;='SK-ratios'!$AA12,5+5*LOG(1+('SK-ratios'!$U12-1)*('SK-ratios'!AG12-'SK-ratios'!$AA12)/('SK-ratios'!$AC12-'SK-ratios'!$AA12))/LOG('SK-ratios'!$U12),IF('SK-ratios'!AG12&gt;'SK-ratios'!$Y12,5-5*LOG(1+('SK-ratios'!$U12-1)*('SK-ratios'!AG12-'SK-ratios'!$AA12)/('SK-ratios'!$Y12-'SK-ratios'!$AA12))/LOG('SK-ratios'!$U12),0)))</f>
        <v>5.4421923810170716</v>
      </c>
      <c r="Y9" s="455">
        <f t="array" ref="Y9">IF('SK-ratios'!AH12&gt;'SK-ratios'!$AC12,10,IF('SK-ratios'!AH12&gt;='SK-ratios'!$AA12,5+5*LOG(1+('SK-ratios'!$U12-1)*('SK-ratios'!AH12-'SK-ratios'!$AA12)/('SK-ratios'!$AC12-'SK-ratios'!$AA12))/LOG('SK-ratios'!$U12),IF('SK-ratios'!AH12&gt;'SK-ratios'!$Y12,5-5*LOG(1+('SK-ratios'!$U12-1)*('SK-ratios'!AH12-'SK-ratios'!$AA12)/('SK-ratios'!$Y12-'SK-ratios'!$AA12))/LOG('SK-ratios'!$U12),0)))</f>
        <v>6.0044500744701086</v>
      </c>
      <c r="Z9" s="455">
        <f t="array" ref="Z9">IF('SK-ratios'!AI12&gt;'SK-ratios'!$AC12,10,IF('SK-ratios'!AI12&gt;='SK-ratios'!$AA12,5+5*LOG(1+('SK-ratios'!$U12-1)*('SK-ratios'!AI12-'SK-ratios'!$AA12)/('SK-ratios'!$AC12-'SK-ratios'!$AA12))/LOG('SK-ratios'!$U12),IF('SK-ratios'!AI12&gt;'SK-ratios'!$Y12,5-5*LOG(1+('SK-ratios'!$U12-1)*('SK-ratios'!AI12-'SK-ratios'!$AA12)/('SK-ratios'!$Y12-'SK-ratios'!$AA12))/LOG('SK-ratios'!$U12),0)))</f>
        <v>8.2110782619142419</v>
      </c>
      <c r="AA9" s="455">
        <f t="array" ref="AA9">IF('SK-ratios'!AJ12&gt;'SK-ratios'!$AC12,10,IF('SK-ratios'!AJ12&gt;='SK-ratios'!$AA12,5+5*LOG(1+('SK-ratios'!$U12-1)*('SK-ratios'!AJ12-'SK-ratios'!$AA12)/('SK-ratios'!$AC12-'SK-ratios'!$AA12))/LOG('SK-ratios'!$U12),IF('SK-ratios'!AJ12&gt;'SK-ratios'!$Y12,5-5*LOG(1+('SK-ratios'!$U12-1)*('SK-ratios'!AJ12-'SK-ratios'!$AA12)/('SK-ratios'!$Y12-'SK-ratios'!$AA12))/LOG('SK-ratios'!$U12),0)))</f>
        <v>8.4896400885119796</v>
      </c>
      <c r="AB9" s="455">
        <f t="array" ref="AB9">IF('SK-ratios'!AK12&gt;'SK-ratios'!$AC12,10,IF('SK-ratios'!AK12&gt;='SK-ratios'!$AA12,5+5*LOG(1+('SK-ratios'!$U12-1)*('SK-ratios'!AK12-'SK-ratios'!$AA12)/('SK-ratios'!$AC12-'SK-ratios'!$AA12))/LOG('SK-ratios'!$U12),IF('SK-ratios'!AK12&gt;'SK-ratios'!$Y12,5-5*LOG(1+('SK-ratios'!$U12-1)*('SK-ratios'!AK12-'SK-ratios'!$AA12)/('SK-ratios'!$Y12-'SK-ratios'!$AA12))/LOG('SK-ratios'!$U12),0)))</f>
        <v>5.0198318682925942</v>
      </c>
      <c r="AC9" s="455">
        <f t="array" ref="AC9">IF('SK-ratios'!AL12&gt;'SK-ratios'!$AC12,10,IF('SK-ratios'!AL12&gt;='SK-ratios'!$AA12,5+5*LOG(1+('SK-ratios'!$U12-1)*('SK-ratios'!AL12-'SK-ratios'!$AA12)/('SK-ratios'!$AC12-'SK-ratios'!$AA12))/LOG('SK-ratios'!$U12),IF('SK-ratios'!AL12&gt;'SK-ratios'!$Y12,5-5*LOG(1+('SK-ratios'!$U12-1)*('SK-ratios'!AL12-'SK-ratios'!$AA12)/('SK-ratios'!$Y12-'SK-ratios'!$AA12))/LOG('SK-ratios'!$U12),0)))</f>
        <v>6.5211495366861332</v>
      </c>
      <c r="AD9" s="455">
        <f t="array" ref="AD9">IF('SK-ratios'!AM12&gt;'SK-ratios'!$AC12,10,IF('SK-ratios'!AM12&gt;='SK-ratios'!$AA12,5+5*LOG(1+('SK-ratios'!$U12-1)*('SK-ratios'!AM12-'SK-ratios'!$AA12)/('SK-ratios'!$AC12-'SK-ratios'!$AA12))/LOG('SK-ratios'!$U12),IF('SK-ratios'!AM12&gt;'SK-ratios'!$Y12,5-5*LOG(1+('SK-ratios'!$U12-1)*('SK-ratios'!AM12-'SK-ratios'!$AA12)/('SK-ratios'!$Y12-'SK-ratios'!$AA12))/LOG('SK-ratios'!$U12),0)))</f>
        <v>9.5001367954054814</v>
      </c>
      <c r="AE9" s="455">
        <f t="array" ref="AE9">IF('SK-ratios'!AN12&gt;'SK-ratios'!$AC12,10,IF('SK-ratios'!AN12&gt;='SK-ratios'!$AA12,5+5*LOG(1+('SK-ratios'!$U12-1)*('SK-ratios'!AN12-'SK-ratios'!$AA12)/('SK-ratios'!$AC12-'SK-ratios'!$AA12))/LOG('SK-ratios'!$U12),IF('SK-ratios'!AN12&gt;'SK-ratios'!$Y12,5-5*LOG(1+('SK-ratios'!$U12-1)*('SK-ratios'!AN12-'SK-ratios'!$AA12)/('SK-ratios'!$Y12-'SK-ratios'!$AA12))/LOG('SK-ratios'!$U12),0)))</f>
        <v>8.2543785025016874</v>
      </c>
      <c r="AF9" s="455">
        <f t="array" ref="AF9">IF('SK-ratios'!AO12&gt;'SK-ratios'!$AC12,10,IF('SK-ratios'!AO12&gt;='SK-ratios'!$AA12,5+5*LOG(1+('SK-ratios'!$U12-1)*('SK-ratios'!AO12-'SK-ratios'!$AA12)/('SK-ratios'!$AC12-'SK-ratios'!$AA12))/LOG('SK-ratios'!$U12),IF('SK-ratios'!AO12&gt;'SK-ratios'!$Y12,5-5*LOG(1+('SK-ratios'!$U12-1)*('SK-ratios'!AO12-'SK-ratios'!$AA12)/('SK-ratios'!$Y12-'SK-ratios'!$AA12))/LOG('SK-ratios'!$U12),0)))</f>
        <v>1.3593812673458183</v>
      </c>
      <c r="AG9" s="455">
        <f t="array" ref="AG9">IF('SK-ratios'!AP12&gt;'SK-ratios'!$AC12,10,IF('SK-ratios'!AP12&gt;='SK-ratios'!$AA12,5+5*LOG(1+('SK-ratios'!$U12-1)*('SK-ratios'!AP12-'SK-ratios'!$AA12)/('SK-ratios'!$AC12-'SK-ratios'!$AA12))/LOG('SK-ratios'!$U12),IF('SK-ratios'!AP12&gt;'SK-ratios'!$Y12,5-5*LOG(1+('SK-ratios'!$U12-1)*('SK-ratios'!AP12-'SK-ratios'!$AA12)/('SK-ratios'!$Y12-'SK-ratios'!$AA12))/LOG('SK-ratios'!$U12),0)))</f>
        <v>9.9199468131458275</v>
      </c>
      <c r="AH9" s="455">
        <f t="array" ref="AH9">IF('SK-ratios'!AQ12&gt;'SK-ratios'!$AC12,10,IF('SK-ratios'!AQ12&gt;='SK-ratios'!$AA12,5+5*LOG(1+('SK-ratios'!$U12-1)*('SK-ratios'!AQ12-'SK-ratios'!$AA12)/('SK-ratios'!$AC12-'SK-ratios'!$AA12))/LOG('SK-ratios'!$U12),IF('SK-ratios'!AQ12&gt;'SK-ratios'!$Y12,5-5*LOG(1+('SK-ratios'!$U12-1)*('SK-ratios'!AQ12-'SK-ratios'!$AA12)/('SK-ratios'!$Y12-'SK-ratios'!$AA12))/LOG('SK-ratios'!$U12),0)))</f>
        <v>2.1347872336572</v>
      </c>
      <c r="AI9" s="455">
        <f t="array" ref="AI9">IF('SK-ratios'!AR12&gt;'SK-ratios'!$AC12,10,IF('SK-ratios'!AR12&gt;='SK-ratios'!$AA12,5+5*LOG(1+('SK-ratios'!$U12-1)*('SK-ratios'!AR12-'SK-ratios'!$AA12)/('SK-ratios'!$AC12-'SK-ratios'!$AA12))/LOG('SK-ratios'!$U12),IF('SK-ratios'!AR12&gt;'SK-ratios'!$Y12,5-5*LOG(1+('SK-ratios'!$U12-1)*('SK-ratios'!AR12-'SK-ratios'!$AA12)/('SK-ratios'!$Y12-'SK-ratios'!$AA12))/LOG('SK-ratios'!$U12),0)))</f>
        <v>9.5148040256894184</v>
      </c>
      <c r="AJ9" s="455">
        <f t="array" ref="AJ9">IF('SK-ratios'!AS12&gt;'SK-ratios'!$AC12,10,IF('SK-ratios'!AS12&gt;='SK-ratios'!$AA12,5+5*LOG(1+('SK-ratios'!$U12-1)*('SK-ratios'!AS12-'SK-ratios'!$AA12)/('SK-ratios'!$AC12-'SK-ratios'!$AA12))/LOG('SK-ratios'!$U12),IF('SK-ratios'!AS12&gt;'SK-ratios'!$Y12,5-5*LOG(1+('SK-ratios'!$U12-1)*('SK-ratios'!AS12-'SK-ratios'!$AA12)/('SK-ratios'!$Y12-'SK-ratios'!$AA12))/LOG('SK-ratios'!$U12),0)))</f>
        <v>10</v>
      </c>
      <c r="AK9" s="455">
        <f t="array" ref="AK9">IF('SK-ratios'!AT12&gt;'SK-ratios'!$AC12,10,IF('SK-ratios'!AT12&gt;='SK-ratios'!$AA12,5+5*LOG(1+('SK-ratios'!$U12-1)*('SK-ratios'!AT12-'SK-ratios'!$AA12)/('SK-ratios'!$AC12-'SK-ratios'!$AA12))/LOG('SK-ratios'!$U12),IF('SK-ratios'!AT12&gt;'SK-ratios'!$Y12,5-5*LOG(1+('SK-ratios'!$U12-1)*('SK-ratios'!AT12-'SK-ratios'!$AA12)/('SK-ratios'!$Y12-'SK-ratios'!$AA12))/LOG('SK-ratios'!$U12),0)))</f>
        <v>6.8044395531748902</v>
      </c>
      <c r="AL9" s="455">
        <f t="array" ref="AL9">IF('SK-ratios'!AU12&gt;'SK-ratios'!$AC12,10,IF('SK-ratios'!AU12&gt;='SK-ratios'!$AA12,5+5*LOG(1+('SK-ratios'!$U12-1)*('SK-ratios'!AU12-'SK-ratios'!$AA12)/('SK-ratios'!$AC12-'SK-ratios'!$AA12))/LOG('SK-ratios'!$U12),IF('SK-ratios'!AU12&gt;'SK-ratios'!$Y12,5-5*LOG(1+('SK-ratios'!$U12-1)*('SK-ratios'!AU12-'SK-ratios'!$AA12)/('SK-ratios'!$Y12-'SK-ratios'!$AA12))/LOG('SK-ratios'!$U12),0)))</f>
        <v>10</v>
      </c>
      <c r="AM9" s="455">
        <f t="array" ref="AM9">IF('SK-ratios'!AV12&gt;'SK-ratios'!$AC12,10,IF('SK-ratios'!AV12&gt;='SK-ratios'!$AA12,5+5*LOG(1+('SK-ratios'!$U12-1)*('SK-ratios'!AV12-'SK-ratios'!$AA12)/('SK-ratios'!$AC12-'SK-ratios'!$AA12))/LOG('SK-ratios'!$U12),IF('SK-ratios'!AV12&gt;'SK-ratios'!$Y12,5-5*LOG(1+('SK-ratios'!$U12-1)*('SK-ratios'!AV12-'SK-ratios'!$AA12)/('SK-ratios'!$Y12-'SK-ratios'!$AA12))/LOG('SK-ratios'!$U12),0)))</f>
        <v>10</v>
      </c>
      <c r="AN9" s="455">
        <f t="array" ref="AN9">IF('SK-ratios'!AW12&gt;'SK-ratios'!$AC12,10,IF('SK-ratios'!AW12&gt;='SK-ratios'!$AA12,5+5*LOG(1+('SK-ratios'!$U12-1)*('SK-ratios'!AW12-'SK-ratios'!$AA12)/('SK-ratios'!$AC12-'SK-ratios'!$AA12))/LOG('SK-ratios'!$U12),IF('SK-ratios'!AW12&gt;'SK-ratios'!$Y12,5-5*LOG(1+('SK-ratios'!$U12-1)*('SK-ratios'!AW12-'SK-ratios'!$AA12)/('SK-ratios'!$Y12-'SK-ratios'!$AA12))/LOG('SK-ratios'!$U12),0)))</f>
        <v>6.1807865592599516</v>
      </c>
      <c r="AO9" s="455">
        <f t="array" ref="AO9">IF('SK-ratios'!AX12&gt;'SK-ratios'!$AC12,10,IF('SK-ratios'!AX12&gt;='SK-ratios'!$AA12,5+5*LOG(1+('SK-ratios'!$U12-1)*('SK-ratios'!AX12-'SK-ratios'!$AA12)/('SK-ratios'!$AC12-'SK-ratios'!$AA12))/LOG('SK-ratios'!$U12),IF('SK-ratios'!AX12&gt;'SK-ratios'!$Y12,5-5*LOG(1+('SK-ratios'!$U12-1)*('SK-ratios'!AX12-'SK-ratios'!$AA12)/('SK-ratios'!$Y12-'SK-ratios'!$AA12))/LOG('SK-ratios'!$U12),0)))</f>
        <v>1.1916075814410214</v>
      </c>
      <c r="AP9" s="455">
        <f t="array" ref="AP9">IF('SK-ratios'!AY12&gt;'SK-ratios'!$AC12,10,IF('SK-ratios'!AY12&gt;='SK-ratios'!$AA12,5+5*LOG(1+('SK-ratios'!$U12-1)*('SK-ratios'!AY12-'SK-ratios'!$AA12)/('SK-ratios'!$AC12-'SK-ratios'!$AA12))/LOG('SK-ratios'!$U12),IF('SK-ratios'!AY12&gt;'SK-ratios'!$Y12,5-5*LOG(1+('SK-ratios'!$U12-1)*('SK-ratios'!AY12-'SK-ratios'!$AA12)/('SK-ratios'!$Y12-'SK-ratios'!$AA12))/LOG('SK-ratios'!$U12),0)))</f>
        <v>10</v>
      </c>
      <c r="AQ9" s="455">
        <f t="array" ref="AQ9">IF('SK-ratios'!AZ12&gt;'SK-ratios'!$AC12,10,IF('SK-ratios'!AZ12&gt;='SK-ratios'!$AA12,5+5*LOG(1+('SK-ratios'!$U12-1)*('SK-ratios'!AZ12-'SK-ratios'!$AA12)/('SK-ratios'!$AC12-'SK-ratios'!$AA12))/LOG('SK-ratios'!$U12),IF('SK-ratios'!AZ12&gt;'SK-ratios'!$Y12,5-5*LOG(1+('SK-ratios'!$U12-1)*('SK-ratios'!AZ12-'SK-ratios'!$AA12)/('SK-ratios'!$Y12-'SK-ratios'!$AA12))/LOG('SK-ratios'!$U12),0)))</f>
        <v>7.9688703081059806</v>
      </c>
      <c r="AR9" s="455">
        <f t="array" ref="AR9">IF('SK-ratios'!BA12&gt;'SK-ratios'!$AC12,10,IF('SK-ratios'!BA12&gt;='SK-ratios'!$AA12,5+5*LOG(1+('SK-ratios'!$U12-1)*('SK-ratios'!BA12-'SK-ratios'!$AA12)/('SK-ratios'!$AC12-'SK-ratios'!$AA12))/LOG('SK-ratios'!$U12),IF('SK-ratios'!BA12&gt;'SK-ratios'!$Y12,5-5*LOG(1+('SK-ratios'!$U12-1)*('SK-ratios'!BA12-'SK-ratios'!$AA12)/('SK-ratios'!$Y12-'SK-ratios'!$AA12))/LOG('SK-ratios'!$U12),0)))</f>
        <v>5.437939331871827</v>
      </c>
      <c r="AS9" s="455">
        <f t="array" ref="AS9">IF('SK-ratios'!BB12&gt;'SK-ratios'!$AC12,10,IF('SK-ratios'!BB12&gt;='SK-ratios'!$AA12,5+5*LOG(1+('SK-ratios'!$U12-1)*('SK-ratios'!BB12-'SK-ratios'!$AA12)/('SK-ratios'!$AC12-'SK-ratios'!$AA12))/LOG('SK-ratios'!$U12),IF('SK-ratios'!BB12&gt;'SK-ratios'!$Y12,5-5*LOG(1+('SK-ratios'!$U12-1)*('SK-ratios'!BB12-'SK-ratios'!$AA12)/('SK-ratios'!$Y12-'SK-ratios'!$AA12))/LOG('SK-ratios'!$U12),0)))</f>
        <v>6.0735346682807467</v>
      </c>
      <c r="AT9" s="455">
        <f t="array" ref="AT9">IF('SK-ratios'!BC12&gt;'SK-ratios'!$AC12,10,IF('SK-ratios'!BC12&gt;='SK-ratios'!$AA12,5+5*LOG(1+('SK-ratios'!$U12-1)*('SK-ratios'!BC12-'SK-ratios'!$AA12)/('SK-ratios'!$AC12-'SK-ratios'!$AA12))/LOG('SK-ratios'!$U12),IF('SK-ratios'!BC12&gt;'SK-ratios'!$Y12,5-5*LOG(1+('SK-ratios'!$U12-1)*('SK-ratios'!BC12-'SK-ratios'!$AA12)/('SK-ratios'!$Y12-'SK-ratios'!$AA12))/LOG('SK-ratios'!$U12),0)))</f>
        <v>0.89387370797101795</v>
      </c>
      <c r="AU9" s="455">
        <f t="array" ref="AU9">IF('SK-ratios'!BD12&gt;'SK-ratios'!$AC12,10,IF('SK-ratios'!BD12&gt;='SK-ratios'!$AA12,5+5*LOG(1+('SK-ratios'!$U12-1)*('SK-ratios'!BD12-'SK-ratios'!$AA12)/('SK-ratios'!$AC12-'SK-ratios'!$AA12))/LOG('SK-ratios'!$U12),IF('SK-ratios'!BD12&gt;'SK-ratios'!$Y12,5-5*LOG(1+('SK-ratios'!$U12-1)*('SK-ratios'!BD12-'SK-ratios'!$AA12)/('SK-ratios'!$Y12-'SK-ratios'!$AA12))/LOG('SK-ratios'!$U12),0)))</f>
        <v>2.5668652691123235</v>
      </c>
      <c r="AV9" s="455">
        <f t="array" ref="AV9">IF('SK-ratios'!BE12&gt;'SK-ratios'!$AC12,10,IF('SK-ratios'!BE12&gt;='SK-ratios'!$AA12,5+5*LOG(1+('SK-ratios'!$U12-1)*('SK-ratios'!BE12-'SK-ratios'!$AA12)/('SK-ratios'!$AC12-'SK-ratios'!$AA12))/LOG('SK-ratios'!$U12),IF('SK-ratios'!BE12&gt;'SK-ratios'!$Y12,5-5*LOG(1+('SK-ratios'!$U12-1)*('SK-ratios'!BE12-'SK-ratios'!$AA12)/('SK-ratios'!$Y12-'SK-ratios'!$AA12))/LOG('SK-ratios'!$U12),0)))</f>
        <v>7.3588805247996962</v>
      </c>
      <c r="AW9" s="455">
        <f t="array" ref="AW9">IF('SK-ratios'!BF12&gt;'SK-ratios'!$AC12,10,IF('SK-ratios'!BF12&gt;='SK-ratios'!$AA12,5+5*LOG(1+('SK-ratios'!$U12-1)*('SK-ratios'!BF12-'SK-ratios'!$AA12)/('SK-ratios'!$AC12-'SK-ratios'!$AA12))/LOG('SK-ratios'!$U12),IF('SK-ratios'!BF12&gt;'SK-ratios'!$Y12,5-5*LOG(1+('SK-ratios'!$U12-1)*('SK-ratios'!BF12-'SK-ratios'!$AA12)/('SK-ratios'!$Y12-'SK-ratios'!$AA12))/LOG('SK-ratios'!$U12),0)))</f>
        <v>2.9059986444047352</v>
      </c>
      <c r="AX9" s="455">
        <f t="array" ref="AX9">IF('SK-ratios'!BG12&gt;'SK-ratios'!$AC12,10,IF('SK-ratios'!BG12&gt;='SK-ratios'!$AA12,5+5*LOG(1+('SK-ratios'!$U12-1)*('SK-ratios'!BG12-'SK-ratios'!$AA12)/('SK-ratios'!$AC12-'SK-ratios'!$AA12))/LOG('SK-ratios'!$U12),IF('SK-ratios'!BG12&gt;'SK-ratios'!$Y12,5-5*LOG(1+('SK-ratios'!$U12-1)*('SK-ratios'!BG12-'SK-ratios'!$AA12)/('SK-ratios'!$Y12-'SK-ratios'!$AA12))/LOG('SK-ratios'!$U12),0)))</f>
        <v>3.2340296015441679</v>
      </c>
      <c r="AY9" s="455">
        <f t="array" ref="AY9">IF('SK-ratios'!BH12&gt;'SK-ratios'!$AC12,10,IF('SK-ratios'!BH12&gt;='SK-ratios'!$AA12,5+5*LOG(1+('SK-ratios'!$U12-1)*('SK-ratios'!BH12-'SK-ratios'!$AA12)/('SK-ratios'!$AC12-'SK-ratios'!$AA12))/LOG('SK-ratios'!$U12),IF('SK-ratios'!BH12&gt;'SK-ratios'!$Y12,5-5*LOG(1+('SK-ratios'!$U12-1)*('SK-ratios'!BH12-'SK-ratios'!$AA12)/('SK-ratios'!$Y12-'SK-ratios'!$AA12))/LOG('SK-ratios'!$U12),0)))</f>
        <v>4.5073935299683976</v>
      </c>
      <c r="AZ9" s="455">
        <f t="array" ref="AZ9">IF('SK-ratios'!BI12&gt;'SK-ratios'!$AC12,10,IF('SK-ratios'!BI12&gt;='SK-ratios'!$AA12,5+5*LOG(1+('SK-ratios'!$U12-1)*('SK-ratios'!BI12-'SK-ratios'!$AA12)/('SK-ratios'!$AC12-'SK-ratios'!$AA12))/LOG('SK-ratios'!$U12),IF('SK-ratios'!BI12&gt;'SK-ratios'!$Y12,5-5*LOG(1+('SK-ratios'!$U12-1)*('SK-ratios'!BI12-'SK-ratios'!$AA12)/('SK-ratios'!$Y12-'SK-ratios'!$AA12))/LOG('SK-ratios'!$U12),0)))</f>
        <v>7.7985250335008178</v>
      </c>
      <c r="BA9" s="455">
        <f t="array" ref="BA9">IF('SK-ratios'!BJ12&gt;'SK-ratios'!$AC12,10,IF('SK-ratios'!BJ12&gt;='SK-ratios'!$AA12,5+5*LOG(1+('SK-ratios'!$U12-1)*('SK-ratios'!BJ12-'SK-ratios'!$AA12)/('SK-ratios'!$AC12-'SK-ratios'!$AA12))/LOG('SK-ratios'!$U12),IF('SK-ratios'!BJ12&gt;'SK-ratios'!$Y12,5-5*LOG(1+('SK-ratios'!$U12-1)*('SK-ratios'!BJ12-'SK-ratios'!$AA12)/('SK-ratios'!$Y12-'SK-ratios'!$AA12))/LOG('SK-ratios'!$U12),0)))</f>
        <v>0.82357314029781747</v>
      </c>
      <c r="BB9" s="455">
        <f t="array" ref="BB9">IF('SK-ratios'!BK12&gt;'SK-ratios'!$AC12,10,IF('SK-ratios'!BK12&gt;='SK-ratios'!$AA12,5+5*LOG(1+('SK-ratios'!$U12-1)*('SK-ratios'!BK12-'SK-ratios'!$AA12)/('SK-ratios'!$AC12-'SK-ratios'!$AA12))/LOG('SK-ratios'!$U12),IF('SK-ratios'!BK12&gt;'SK-ratios'!$Y12,5-5*LOG(1+('SK-ratios'!$U12-1)*('SK-ratios'!BK12-'SK-ratios'!$AA12)/('SK-ratios'!$Y12-'SK-ratios'!$AA12))/LOG('SK-ratios'!$U12),0)))</f>
        <v>7.0718364221475589</v>
      </c>
      <c r="BC9" s="455">
        <f t="array" ref="BC9">IF('SK-ratios'!BL12&gt;'SK-ratios'!$AC12,10,IF('SK-ratios'!BL12&gt;='SK-ratios'!$AA12,5+5*LOG(1+('SK-ratios'!$U12-1)*('SK-ratios'!BL12-'SK-ratios'!$AA12)/('SK-ratios'!$AC12-'SK-ratios'!$AA12))/LOG('SK-ratios'!$U12),IF('SK-ratios'!BL12&gt;'SK-ratios'!$Y12,5-5*LOG(1+('SK-ratios'!$U12-1)*('SK-ratios'!BL12-'SK-ratios'!$AA12)/('SK-ratios'!$Y12-'SK-ratios'!$AA12))/LOG('SK-ratios'!$U12),0)))</f>
        <v>10</v>
      </c>
      <c r="BD9" s="455">
        <f t="array" ref="BD9">IF('SK-ratios'!BM12&gt;'SK-ratios'!$AC12,10,IF('SK-ratios'!BM12&gt;='SK-ratios'!$AA12,5+5*LOG(1+('SK-ratios'!$U12-1)*('SK-ratios'!BM12-'SK-ratios'!$AA12)/('SK-ratios'!$AC12-'SK-ratios'!$AA12))/LOG('SK-ratios'!$U12),IF('SK-ratios'!BM12&gt;'SK-ratios'!$Y12,5-5*LOG(1+('SK-ratios'!$U12-1)*('SK-ratios'!BM12-'SK-ratios'!$AA12)/('SK-ratios'!$Y12-'SK-ratios'!$AA12))/LOG('SK-ratios'!$U12),0)))</f>
        <v>7.8738001623089584</v>
      </c>
      <c r="BE9" s="455">
        <f t="array" ref="BE9">IF('SK-ratios'!BN12&gt;'SK-ratios'!$AC12,10,IF('SK-ratios'!BN12&gt;='SK-ratios'!$AA12,5+5*LOG(1+('SK-ratios'!$U12-1)*('SK-ratios'!BN12-'SK-ratios'!$AA12)/('SK-ratios'!$AC12-'SK-ratios'!$AA12))/LOG('SK-ratios'!$U12),IF('SK-ratios'!BN12&gt;'SK-ratios'!$Y12,5-5*LOG(1+('SK-ratios'!$U12-1)*('SK-ratios'!BN12-'SK-ratios'!$AA12)/('SK-ratios'!$Y12-'SK-ratios'!$AA12))/LOG('SK-ratios'!$U12),0)))</f>
        <v>5.7827307835372164</v>
      </c>
      <c r="BF9" s="455">
        <f t="array" ref="BF9">IF('SK-ratios'!BO12&gt;'SK-ratios'!$AC12,10,IF('SK-ratios'!BO12&gt;='SK-ratios'!$AA12,5+5*LOG(1+('SK-ratios'!$U12-1)*('SK-ratios'!BO12-'SK-ratios'!$AA12)/('SK-ratios'!$AC12-'SK-ratios'!$AA12))/LOG('SK-ratios'!$U12),IF('SK-ratios'!BO12&gt;'SK-ratios'!$Y12,5-5*LOG(1+('SK-ratios'!$U12-1)*('SK-ratios'!BO12-'SK-ratios'!$AA12)/('SK-ratios'!$Y12-'SK-ratios'!$AA12))/LOG('SK-ratios'!$U12),0)))</f>
        <v>5.0730883252416792</v>
      </c>
      <c r="BG9" s="455">
        <f t="array" ref="BG9">IF('SK-ratios'!BP12&gt;'SK-ratios'!$AC12,10,IF('SK-ratios'!BP12&gt;='SK-ratios'!$AA12,5+5*LOG(1+('SK-ratios'!$U12-1)*('SK-ratios'!BP12-'SK-ratios'!$AA12)/('SK-ratios'!$AC12-'SK-ratios'!$AA12))/LOG('SK-ratios'!$U12),IF('SK-ratios'!BP12&gt;'SK-ratios'!$Y12,5-5*LOG(1+('SK-ratios'!$U12-1)*('SK-ratios'!BP12-'SK-ratios'!$AA12)/('SK-ratios'!$Y12-'SK-ratios'!$AA12))/LOG('SK-ratios'!$U12),0)))</f>
        <v>10</v>
      </c>
      <c r="BH9" s="455">
        <f t="array" ref="BH9">IF('SK-ratios'!BQ12&gt;'SK-ratios'!$AC12,10,IF('SK-ratios'!BQ12&gt;='SK-ratios'!$AA12,5+5*LOG(1+('SK-ratios'!$U12-1)*('SK-ratios'!BQ12-'SK-ratios'!$AA12)/('SK-ratios'!$AC12-'SK-ratios'!$AA12))/LOG('SK-ratios'!$U12),IF('SK-ratios'!BQ12&gt;'SK-ratios'!$Y12,5-5*LOG(1+('SK-ratios'!$U12-1)*('SK-ratios'!BQ12-'SK-ratios'!$AA12)/('SK-ratios'!$Y12-'SK-ratios'!$AA12))/LOG('SK-ratios'!$U12),0)))</f>
        <v>7.2772493554279833</v>
      </c>
      <c r="BI9" s="455">
        <f t="array" ref="BI9">IF('SK-ratios'!BR12&gt;'SK-ratios'!$AC12,10,IF('SK-ratios'!BR12&gt;='SK-ratios'!$AA12,5+5*LOG(1+('SK-ratios'!$U12-1)*('SK-ratios'!BR12-'SK-ratios'!$AA12)/('SK-ratios'!$AC12-'SK-ratios'!$AA12))/LOG('SK-ratios'!$U12),IF('SK-ratios'!BR12&gt;'SK-ratios'!$Y12,5-5*LOG(1+('SK-ratios'!$U12-1)*('SK-ratios'!BR12-'SK-ratios'!$AA12)/('SK-ratios'!$Y12-'SK-ratios'!$AA12))/LOG('SK-ratios'!$U12),0)))</f>
        <v>3.9321820885618939</v>
      </c>
      <c r="BJ9" s="455">
        <f t="array" ref="BJ9">IF('SK-ratios'!BS12&gt;'SK-ratios'!$AC12,10,IF('SK-ratios'!BS12&gt;='SK-ratios'!$AA12,5+5*LOG(1+('SK-ratios'!$U12-1)*('SK-ratios'!BS12-'SK-ratios'!$AA12)/('SK-ratios'!$AC12-'SK-ratios'!$AA12))/LOG('SK-ratios'!$U12),IF('SK-ratios'!BS12&gt;'SK-ratios'!$Y12,5-5*LOG(1+('SK-ratios'!$U12-1)*('SK-ratios'!BS12-'SK-ratios'!$AA12)/('SK-ratios'!$Y12-'SK-ratios'!$AA12))/LOG('SK-ratios'!$U12),0)))</f>
        <v>10</v>
      </c>
      <c r="BK9" s="455">
        <f t="array" ref="BK9">IF('SK-ratios'!BT12&gt;'SK-ratios'!$AC12,10,IF('SK-ratios'!BT12&gt;='SK-ratios'!$AA12,5+5*LOG(1+('SK-ratios'!$U12-1)*('SK-ratios'!BT12-'SK-ratios'!$AA12)/('SK-ratios'!$AC12-'SK-ratios'!$AA12))/LOG('SK-ratios'!$U12),IF('SK-ratios'!BT12&gt;'SK-ratios'!$Y12,5-5*LOG(1+('SK-ratios'!$U12-1)*('SK-ratios'!BT12-'SK-ratios'!$AA12)/('SK-ratios'!$Y12-'SK-ratios'!$AA12))/LOG('SK-ratios'!$U12),0)))</f>
        <v>1.8674150203052871</v>
      </c>
      <c r="BL9" s="455">
        <f t="array" ref="BL9">IF('SK-ratios'!BU12&gt;'SK-ratios'!$AC12,10,IF('SK-ratios'!BU12&gt;='SK-ratios'!$AA12,5+5*LOG(1+('SK-ratios'!$U12-1)*('SK-ratios'!BU12-'SK-ratios'!$AA12)/('SK-ratios'!$AC12-'SK-ratios'!$AA12))/LOG('SK-ratios'!$U12),IF('SK-ratios'!BU12&gt;'SK-ratios'!$Y12,5-5*LOG(1+('SK-ratios'!$U12-1)*('SK-ratios'!BU12-'SK-ratios'!$AA12)/('SK-ratios'!$Y12-'SK-ratios'!$AA12))/LOG('SK-ratios'!$U12),0)))</f>
        <v>2.8458197344464353</v>
      </c>
      <c r="BM9" s="455">
        <f t="array" ref="BM9">IF('SK-ratios'!BV12&gt;'SK-ratios'!$AC12,10,IF('SK-ratios'!BV12&gt;='SK-ratios'!$AA12,5+5*LOG(1+('SK-ratios'!$U12-1)*('SK-ratios'!BV12-'SK-ratios'!$AA12)/('SK-ratios'!$AC12-'SK-ratios'!$AA12))/LOG('SK-ratios'!$U12),IF('SK-ratios'!BV12&gt;'SK-ratios'!$Y12,5-5*LOG(1+('SK-ratios'!$U12-1)*('SK-ratios'!BV12-'SK-ratios'!$AA12)/('SK-ratios'!$Y12-'SK-ratios'!$AA12))/LOG('SK-ratios'!$U12),0)))</f>
        <v>7.165813846265304</v>
      </c>
      <c r="BN9" s="455">
        <f t="array" ref="BN9">IF('SK-ratios'!BW12&gt;'SK-ratios'!$AC12,10,IF('SK-ratios'!BW12&gt;='SK-ratios'!$AA12,5+5*LOG(1+('SK-ratios'!$U12-1)*('SK-ratios'!BW12-'SK-ratios'!$AA12)/('SK-ratios'!$AC12-'SK-ratios'!$AA12))/LOG('SK-ratios'!$U12),IF('SK-ratios'!BW12&gt;'SK-ratios'!$Y12,5-5*LOG(1+('SK-ratios'!$U12-1)*('SK-ratios'!BW12-'SK-ratios'!$AA12)/('SK-ratios'!$Y12-'SK-ratios'!$AA12))/LOG('SK-ratios'!$U12),0)))</f>
        <v>6.8284463835001432</v>
      </c>
      <c r="BO9" s="455">
        <f t="array" ref="BO9">IF('SK-ratios'!BX12&gt;'SK-ratios'!$AC12,10,IF('SK-ratios'!BX12&gt;='SK-ratios'!$AA12,5+5*LOG(1+('SK-ratios'!$U12-1)*('SK-ratios'!BX12-'SK-ratios'!$AA12)/('SK-ratios'!$AC12-'SK-ratios'!$AA12))/LOG('SK-ratios'!$U12),IF('SK-ratios'!BX12&gt;'SK-ratios'!$Y12,5-5*LOG(1+('SK-ratios'!$U12-1)*('SK-ratios'!BX12-'SK-ratios'!$AA12)/('SK-ratios'!$Y12-'SK-ratios'!$AA12))/LOG('SK-ratios'!$U12),0)))</f>
        <v>9.5338939269790117</v>
      </c>
      <c r="BP9" s="455">
        <f t="array" ref="BP9">IF('SK-ratios'!BY12&gt;'SK-ratios'!$AC12,10,IF('SK-ratios'!BY12&gt;='SK-ratios'!$AA12,5+5*LOG(1+('SK-ratios'!$U12-1)*('SK-ratios'!BY12-'SK-ratios'!$AA12)/('SK-ratios'!$AC12-'SK-ratios'!$AA12))/LOG('SK-ratios'!$U12),IF('SK-ratios'!BY12&gt;'SK-ratios'!$Y12,5-5*LOG(1+('SK-ratios'!$U12-1)*('SK-ratios'!BY12-'SK-ratios'!$AA12)/('SK-ratios'!$Y12-'SK-ratios'!$AA12))/LOG('SK-ratios'!$U12),0)))</f>
        <v>10</v>
      </c>
      <c r="BQ9" s="455">
        <f t="array" ref="BQ9">IF('SK-ratios'!BZ12&gt;'SK-ratios'!$AC12,10,IF('SK-ratios'!BZ12&gt;='SK-ratios'!$AA12,5+5*LOG(1+('SK-ratios'!$U12-1)*('SK-ratios'!BZ12-'SK-ratios'!$AA12)/('SK-ratios'!$AC12-'SK-ratios'!$AA12))/LOG('SK-ratios'!$U12),IF('SK-ratios'!BZ12&gt;'SK-ratios'!$Y12,5-5*LOG(1+('SK-ratios'!$U12-1)*('SK-ratios'!BZ12-'SK-ratios'!$AA12)/('SK-ratios'!$Y12-'SK-ratios'!$AA12))/LOG('SK-ratios'!$U12),0)))</f>
        <v>5.4849185361402784</v>
      </c>
      <c r="BR9" s="455">
        <f t="array" ref="BR9">IF('SK-ratios'!CA12&gt;'SK-ratios'!$AC12,10,IF('SK-ratios'!CA12&gt;='SK-ratios'!$AA12,5+5*LOG(1+('SK-ratios'!$U12-1)*('SK-ratios'!CA12-'SK-ratios'!$AA12)/('SK-ratios'!$AC12-'SK-ratios'!$AA12))/LOG('SK-ratios'!$U12),IF('SK-ratios'!CA12&gt;'SK-ratios'!$Y12,5-5*LOG(1+('SK-ratios'!$U12-1)*('SK-ratios'!CA12-'SK-ratios'!$AA12)/('SK-ratios'!$Y12-'SK-ratios'!$AA12))/LOG('SK-ratios'!$U12),0)))</f>
        <v>6.454800590963556</v>
      </c>
      <c r="BS9" s="455">
        <f t="array" ref="BS9">IF('SK-ratios'!CB12&gt;'SK-ratios'!$AC12,10,IF('SK-ratios'!CB12&gt;='SK-ratios'!$AA12,5+5*LOG(1+('SK-ratios'!$U12-1)*('SK-ratios'!CB12-'SK-ratios'!$AA12)/('SK-ratios'!$AC12-'SK-ratios'!$AA12))/LOG('SK-ratios'!$U12),IF('SK-ratios'!CB12&gt;'SK-ratios'!$Y12,5-5*LOG(1+('SK-ratios'!$U12-1)*('SK-ratios'!CB12-'SK-ratios'!$AA12)/('SK-ratios'!$Y12-'SK-ratios'!$AA12))/LOG('SK-ratios'!$U12),0)))</f>
        <v>8.6103650244069279</v>
      </c>
      <c r="BT9" s="455">
        <f t="array" ref="BT9">IF('SK-ratios'!CC12&gt;'SK-ratios'!$AC12,10,IF('SK-ratios'!CC12&gt;='SK-ratios'!$AA12,5+5*LOG(1+('SK-ratios'!$U12-1)*('SK-ratios'!CC12-'SK-ratios'!$AA12)/('SK-ratios'!$AC12-'SK-ratios'!$AA12))/LOG('SK-ratios'!$U12),IF('SK-ratios'!CC12&gt;'SK-ratios'!$Y12,5-5*LOG(1+('SK-ratios'!$U12-1)*('SK-ratios'!CC12-'SK-ratios'!$AA12)/('SK-ratios'!$Y12-'SK-ratios'!$AA12))/LOG('SK-ratios'!$U12),0)))</f>
        <v>8.1002506347048211</v>
      </c>
      <c r="BU9" s="455">
        <f t="array" ref="BU9">IF('SK-ratios'!CD12&gt;'SK-ratios'!$AC12,10,IF('SK-ratios'!CD12&gt;='SK-ratios'!$AA12,5+5*LOG(1+('SK-ratios'!$U12-1)*('SK-ratios'!CD12-'SK-ratios'!$AA12)/('SK-ratios'!$AC12-'SK-ratios'!$AA12))/LOG('SK-ratios'!$U12),IF('SK-ratios'!CD12&gt;'SK-ratios'!$Y12,5-5*LOG(1+('SK-ratios'!$U12-1)*('SK-ratios'!CD12-'SK-ratios'!$AA12)/('SK-ratios'!$Y12-'SK-ratios'!$AA12))/LOG('SK-ratios'!$U12),0)))</f>
        <v>8.8221492826300132</v>
      </c>
      <c r="BV9" s="455">
        <f t="array" ref="BV9">IF('SK-ratios'!CE12&gt;'SK-ratios'!$AC12,10,IF('SK-ratios'!CE12&gt;='SK-ratios'!$AA12,5+5*LOG(1+('SK-ratios'!$U12-1)*('SK-ratios'!CE12-'SK-ratios'!$AA12)/('SK-ratios'!$AC12-'SK-ratios'!$AA12))/LOG('SK-ratios'!$U12),IF('SK-ratios'!CE12&gt;'SK-ratios'!$Y12,5-5*LOG(1+('SK-ratios'!$U12-1)*('SK-ratios'!CE12-'SK-ratios'!$AA12)/('SK-ratios'!$Y12-'SK-ratios'!$AA12))/LOG('SK-ratios'!$U12),0)))</f>
        <v>8.7321684126123529</v>
      </c>
      <c r="BW9" s="455">
        <f t="array" ref="BW9">IF('SK-ratios'!CF12&gt;'SK-ratios'!$AC12,10,IF('SK-ratios'!CF12&gt;='SK-ratios'!$AA12,5+5*LOG(1+('SK-ratios'!$U12-1)*('SK-ratios'!CF12-'SK-ratios'!$AA12)/('SK-ratios'!$AC12-'SK-ratios'!$AA12))/LOG('SK-ratios'!$U12),IF('SK-ratios'!CF12&gt;'SK-ratios'!$Y12,5-5*LOG(1+('SK-ratios'!$U12-1)*('SK-ratios'!CF12-'SK-ratios'!$AA12)/('SK-ratios'!$Y12-'SK-ratios'!$AA12))/LOG('SK-ratios'!$U12),0)))</f>
        <v>6.016247451397402</v>
      </c>
      <c r="BX9" s="455">
        <f t="array" ref="BX9">IF('SK-ratios'!CG12&gt;'SK-ratios'!$AC12,10,IF('SK-ratios'!CG12&gt;='SK-ratios'!$AA12,5+5*LOG(1+('SK-ratios'!$U12-1)*('SK-ratios'!CG12-'SK-ratios'!$AA12)/('SK-ratios'!$AC12-'SK-ratios'!$AA12))/LOG('SK-ratios'!$U12),IF('SK-ratios'!CG12&gt;'SK-ratios'!$Y12,5-5*LOG(1+('SK-ratios'!$U12-1)*('SK-ratios'!CG12-'SK-ratios'!$AA12)/('SK-ratios'!$Y12-'SK-ratios'!$AA12))/LOG('SK-ratios'!$U12),0)))</f>
        <v>5.7289308059962325</v>
      </c>
      <c r="BY9" s="455">
        <f t="array" ref="BY9">IF('SK-ratios'!CH12&gt;'SK-ratios'!$AC12,10,IF('SK-ratios'!CH12&gt;='SK-ratios'!$AA12,5+5*LOG(1+('SK-ratios'!$U12-1)*('SK-ratios'!CH12-'SK-ratios'!$AA12)/('SK-ratios'!$AC12-'SK-ratios'!$AA12))/LOG('SK-ratios'!$U12),IF('SK-ratios'!CH12&gt;'SK-ratios'!$Y12,5-5*LOG(1+('SK-ratios'!$U12-1)*('SK-ratios'!CH12-'SK-ratios'!$AA12)/('SK-ratios'!$Y12-'SK-ratios'!$AA12))/LOG('SK-ratios'!$U12),0)))</f>
        <v>9.2608763864219465</v>
      </c>
      <c r="BZ9" s="455">
        <f t="array" ref="BZ9">IF('SK-ratios'!CI12&gt;'SK-ratios'!$AC12,10,IF('SK-ratios'!CI12&gt;='SK-ratios'!$AA12,5+5*LOG(1+('SK-ratios'!$U12-1)*('SK-ratios'!CI12-'SK-ratios'!$AA12)/('SK-ratios'!$AC12-'SK-ratios'!$AA12))/LOG('SK-ratios'!$U12),IF('SK-ratios'!CI12&gt;'SK-ratios'!$Y12,5-5*LOG(1+('SK-ratios'!$U12-1)*('SK-ratios'!CI12-'SK-ratios'!$AA12)/('SK-ratios'!$Y12-'SK-ratios'!$AA12))/LOG('SK-ratios'!$U12),0)))</f>
        <v>4.4066564992547512</v>
      </c>
      <c r="CA9" s="455">
        <f t="array" ref="CA9">IF('SK-ratios'!CJ12&gt;'SK-ratios'!$AC12,10,IF('SK-ratios'!CJ12&gt;='SK-ratios'!$AA12,5+5*LOG(1+('SK-ratios'!$U12-1)*('SK-ratios'!CJ12-'SK-ratios'!$AA12)/('SK-ratios'!$AC12-'SK-ratios'!$AA12))/LOG('SK-ratios'!$U12),IF('SK-ratios'!CJ12&gt;'SK-ratios'!$Y12,5-5*LOG(1+('SK-ratios'!$U12-1)*('SK-ratios'!CJ12-'SK-ratios'!$AA12)/('SK-ratios'!$Y12-'SK-ratios'!$AA12))/LOG('SK-ratios'!$U12),0)))</f>
        <v>7.8333494634001379</v>
      </c>
      <c r="CB9" s="455">
        <f t="array" ref="CB9">IF('SK-ratios'!CK12&gt;'SK-ratios'!$AC12,10,IF('SK-ratios'!CK12&gt;='SK-ratios'!$AA12,5+5*LOG(1+('SK-ratios'!$U12-1)*('SK-ratios'!CK12-'SK-ratios'!$AA12)/('SK-ratios'!$AC12-'SK-ratios'!$AA12))/LOG('SK-ratios'!$U12),IF('SK-ratios'!CK12&gt;'SK-ratios'!$Y12,5-5*LOG(1+('SK-ratios'!$U12-1)*('SK-ratios'!CK12-'SK-ratios'!$AA12)/('SK-ratios'!$Y12-'SK-ratios'!$AA12))/LOG('SK-ratios'!$U12),0)))</f>
        <v>5.9037858416975659</v>
      </c>
      <c r="CC9" s="455">
        <f t="array" ref="CC9">IF('SK-ratios'!CL12&gt;'SK-ratios'!$AC12,10,IF('SK-ratios'!CL12&gt;='SK-ratios'!$AA12,5+5*LOG(1+('SK-ratios'!$U12-1)*('SK-ratios'!CL12-'SK-ratios'!$AA12)/('SK-ratios'!$AC12-'SK-ratios'!$AA12))/LOG('SK-ratios'!$U12),IF('SK-ratios'!CL12&gt;'SK-ratios'!$Y12,5-5*LOG(1+('SK-ratios'!$U12-1)*('SK-ratios'!CL12-'SK-ratios'!$AA12)/('SK-ratios'!$Y12-'SK-ratios'!$AA12))/LOG('SK-ratios'!$U12),0)))</f>
        <v>5.5786402305774798</v>
      </c>
      <c r="CD9" s="455">
        <f t="array" ref="CD9">IF('SK-ratios'!CM12&gt;'SK-ratios'!$AC12,10,IF('SK-ratios'!CM12&gt;='SK-ratios'!$AA12,5+5*LOG(1+('SK-ratios'!$U12-1)*('SK-ratios'!CM12-'SK-ratios'!$AA12)/('SK-ratios'!$AC12-'SK-ratios'!$AA12))/LOG('SK-ratios'!$U12),IF('SK-ratios'!CM12&gt;'SK-ratios'!$Y12,5-5*LOG(1+('SK-ratios'!$U12-1)*('SK-ratios'!CM12-'SK-ratios'!$AA12)/('SK-ratios'!$Y12-'SK-ratios'!$AA12))/LOG('SK-ratios'!$U12),0)))</f>
        <v>8.2345812999890562</v>
      </c>
      <c r="CE9" s="455">
        <f t="array" ref="CE9">IF('SK-ratios'!CN12&gt;'SK-ratios'!$AC12,10,IF('SK-ratios'!CN12&gt;='SK-ratios'!$AA12,5+5*LOG(1+('SK-ratios'!$U12-1)*('SK-ratios'!CN12-'SK-ratios'!$AA12)/('SK-ratios'!$AC12-'SK-ratios'!$AA12))/LOG('SK-ratios'!$U12),IF('SK-ratios'!CN12&gt;'SK-ratios'!$Y12,5-5*LOG(1+('SK-ratios'!$U12-1)*('SK-ratios'!CN12-'SK-ratios'!$AA12)/('SK-ratios'!$Y12-'SK-ratios'!$AA12))/LOG('SK-ratios'!$U12),0)))</f>
        <v>6.9709188956248109</v>
      </c>
      <c r="CF9" s="455">
        <f t="array" ref="CF9">IF('SK-ratios'!CO12&gt;'SK-ratios'!$AC12,10,IF('SK-ratios'!CO12&gt;='SK-ratios'!$AA12,5+5*LOG(1+('SK-ratios'!$U12-1)*('SK-ratios'!CO12-'SK-ratios'!$AA12)/('SK-ratios'!$AC12-'SK-ratios'!$AA12))/LOG('SK-ratios'!$U12),IF('SK-ratios'!CO12&gt;'SK-ratios'!$Y12,5-5*LOG(1+('SK-ratios'!$U12-1)*('SK-ratios'!CO12-'SK-ratios'!$AA12)/('SK-ratios'!$Y12-'SK-ratios'!$AA12))/LOG('SK-ratios'!$U12),0)))</f>
        <v>7.8162935898599741</v>
      </c>
      <c r="CG9" s="455">
        <f t="array" ref="CG9">IF('SK-ratios'!CP12&gt;'SK-ratios'!$AC12,10,IF('SK-ratios'!CP12&gt;='SK-ratios'!$AA12,5+5*LOG(1+('SK-ratios'!$U12-1)*('SK-ratios'!CP12-'SK-ratios'!$AA12)/('SK-ratios'!$AC12-'SK-ratios'!$AA12))/LOG('SK-ratios'!$U12),IF('SK-ratios'!CP12&gt;'SK-ratios'!$Y12,5-5*LOG(1+('SK-ratios'!$U12-1)*('SK-ratios'!CP12-'SK-ratios'!$AA12)/('SK-ratios'!$Y12-'SK-ratios'!$AA12))/LOG('SK-ratios'!$U12),0)))</f>
        <v>7.1775415023568776</v>
      </c>
      <c r="CH9" s="455">
        <f t="array" ref="CH9">IF('SK-ratios'!CQ12&gt;'SK-ratios'!$AC12,10,IF('SK-ratios'!CQ12&gt;='SK-ratios'!$AA12,5+5*LOG(1+('SK-ratios'!$U12-1)*('SK-ratios'!CQ12-'SK-ratios'!$AA12)/('SK-ratios'!$AC12-'SK-ratios'!$AA12))/LOG('SK-ratios'!$U12),IF('SK-ratios'!CQ12&gt;'SK-ratios'!$Y12,5-5*LOG(1+('SK-ratios'!$U12-1)*('SK-ratios'!CQ12-'SK-ratios'!$AA12)/('SK-ratios'!$Y12-'SK-ratios'!$AA12))/LOG('SK-ratios'!$U12),0)))</f>
        <v>7.9989361732805317</v>
      </c>
      <c r="CI9" s="455">
        <f t="array" ref="CI9">IF('SK-ratios'!CR12&gt;'SK-ratios'!$AC12,10,IF('SK-ratios'!CR12&gt;='SK-ratios'!$AA12,5+5*LOG(1+('SK-ratios'!$U12-1)*('SK-ratios'!CR12-'SK-ratios'!$AA12)/('SK-ratios'!$AC12-'SK-ratios'!$AA12))/LOG('SK-ratios'!$U12),IF('SK-ratios'!CR12&gt;'SK-ratios'!$Y12,5-5*LOG(1+('SK-ratios'!$U12-1)*('SK-ratios'!CR12-'SK-ratios'!$AA12)/('SK-ratios'!$Y12-'SK-ratios'!$AA12))/LOG('SK-ratios'!$U12),0)))</f>
        <v>7.4419613692422075</v>
      </c>
      <c r="CJ9" s="455">
        <f t="array" ref="CJ9">IF('SK-ratios'!CS12&gt;'SK-ratios'!$AC12,10,IF('SK-ratios'!CS12&gt;='SK-ratios'!$AA12,5+5*LOG(1+('SK-ratios'!$U12-1)*('SK-ratios'!CS12-'SK-ratios'!$AA12)/('SK-ratios'!$AC12-'SK-ratios'!$AA12))/LOG('SK-ratios'!$U12),IF('SK-ratios'!CS12&gt;'SK-ratios'!$Y12,5-5*LOG(1+('SK-ratios'!$U12-1)*('SK-ratios'!CS12-'SK-ratios'!$AA12)/('SK-ratios'!$Y12-'SK-ratios'!$AA12))/LOG('SK-ratios'!$U12),0)))</f>
        <v>10</v>
      </c>
      <c r="CK9" s="455">
        <f t="array" ref="CK9">IF('SK-ratios'!CT12&gt;'SK-ratios'!$AC12,10,IF('SK-ratios'!CT12&gt;='SK-ratios'!$AA12,5+5*LOG(1+('SK-ratios'!$U12-1)*('SK-ratios'!CT12-'SK-ratios'!$AA12)/('SK-ratios'!$AC12-'SK-ratios'!$AA12))/LOG('SK-ratios'!$U12),IF('SK-ratios'!CT12&gt;'SK-ratios'!$Y12,5-5*LOG(1+('SK-ratios'!$U12-1)*('SK-ratios'!CT12-'SK-ratios'!$AA12)/('SK-ratios'!$Y12-'SK-ratios'!$AA12))/LOG('SK-ratios'!$U12),0)))</f>
        <v>6.7746447866014359</v>
      </c>
      <c r="CL9" s="455">
        <f t="array" ref="CL9">IF('SK-ratios'!CU12&gt;'SK-ratios'!$AC12,10,IF('SK-ratios'!CU12&gt;='SK-ratios'!$AA12,5+5*LOG(1+('SK-ratios'!$U12-1)*('SK-ratios'!CU12-'SK-ratios'!$AA12)/('SK-ratios'!$AC12-'SK-ratios'!$AA12))/LOG('SK-ratios'!$U12),IF('SK-ratios'!CU12&gt;'SK-ratios'!$Y12,5-5*LOG(1+('SK-ratios'!$U12-1)*('SK-ratios'!CU12-'SK-ratios'!$AA12)/('SK-ratios'!$Y12-'SK-ratios'!$AA12))/LOG('SK-ratios'!$U12),0)))</f>
        <v>10</v>
      </c>
      <c r="CM9" s="455">
        <f t="array" ref="CM9">IF('SK-ratios'!CV12&gt;'SK-ratios'!$AC12,10,IF('SK-ratios'!CV12&gt;='SK-ratios'!$AA12,5+5*LOG(1+('SK-ratios'!$U12-1)*('SK-ratios'!CV12-'SK-ratios'!$AA12)/('SK-ratios'!$AC12-'SK-ratios'!$AA12))/LOG('SK-ratios'!$U12),IF('SK-ratios'!CV12&gt;'SK-ratios'!$Y12,5-5*LOG(1+('SK-ratios'!$U12-1)*('SK-ratios'!CV12-'SK-ratios'!$AA12)/('SK-ratios'!$Y12-'SK-ratios'!$AA12))/LOG('SK-ratios'!$U12),0)))</f>
        <v>5.1979067813567701</v>
      </c>
      <c r="CN9" s="455">
        <f t="array" ref="CN9">IF('SK-ratios'!CW12&gt;'SK-ratios'!$AC12,10,IF('SK-ratios'!CW12&gt;='SK-ratios'!$AA12,5+5*LOG(1+('SK-ratios'!$U12-1)*('SK-ratios'!CW12-'SK-ratios'!$AA12)/('SK-ratios'!$AC12-'SK-ratios'!$AA12))/LOG('SK-ratios'!$U12),IF('SK-ratios'!CW12&gt;'SK-ratios'!$Y12,5-5*LOG(1+('SK-ratios'!$U12-1)*('SK-ratios'!CW12-'SK-ratios'!$AA12)/('SK-ratios'!$Y12-'SK-ratios'!$AA12))/LOG('SK-ratios'!$U12),0)))</f>
        <v>5.2880580999945375</v>
      </c>
      <c r="CO9" s="455">
        <f t="array" ref="CO9">IF('SK-ratios'!CX12&gt;'SK-ratios'!$AC12,10,IF('SK-ratios'!CX12&gt;='SK-ratios'!$AA12,5+5*LOG(1+('SK-ratios'!$U12-1)*('SK-ratios'!CX12-'SK-ratios'!$AA12)/('SK-ratios'!$AC12-'SK-ratios'!$AA12))/LOG('SK-ratios'!$U12),IF('SK-ratios'!CX12&gt;'SK-ratios'!$Y12,5-5*LOG(1+('SK-ratios'!$U12-1)*('SK-ratios'!CX12-'SK-ratios'!$AA12)/('SK-ratios'!$Y12-'SK-ratios'!$AA12))/LOG('SK-ratios'!$U12),0)))</f>
        <v>5.466510957702341</v>
      </c>
      <c r="CP9" s="455">
        <f t="array" ref="CP9">IF('SK-ratios'!CY12&gt;'SK-ratios'!$AC12,10,IF('SK-ratios'!CY12&gt;='SK-ratios'!$AA12,5+5*LOG(1+('SK-ratios'!$U12-1)*('SK-ratios'!CY12-'SK-ratios'!$AA12)/('SK-ratios'!$AC12-'SK-ratios'!$AA12))/LOG('SK-ratios'!$U12),IF('SK-ratios'!CY12&gt;'SK-ratios'!$Y12,5-5*LOG(1+('SK-ratios'!$U12-1)*('SK-ratios'!CY12-'SK-ratios'!$AA12)/('SK-ratios'!$Y12-'SK-ratios'!$AA12))/LOG('SK-ratios'!$U12),0)))</f>
        <v>9.5330084653451657</v>
      </c>
      <c r="CQ9" s="455">
        <f t="array" ref="CQ9">IF('SK-ratios'!CZ12&gt;'SK-ratios'!$AC12,10,IF('SK-ratios'!CZ12&gt;='SK-ratios'!$AA12,5+5*LOG(1+('SK-ratios'!$U12-1)*('SK-ratios'!CZ12-'SK-ratios'!$AA12)/('SK-ratios'!$AC12-'SK-ratios'!$AA12))/LOG('SK-ratios'!$U12),IF('SK-ratios'!CZ12&gt;'SK-ratios'!$Y12,5-5*LOG(1+('SK-ratios'!$U12-1)*('SK-ratios'!CZ12-'SK-ratios'!$AA12)/('SK-ratios'!$Y12-'SK-ratios'!$AA12))/LOG('SK-ratios'!$U12),0)))</f>
        <v>7.2597021421596963</v>
      </c>
      <c r="CR9" s="455">
        <f t="array" ref="CR9">IF('SK-ratios'!DA12&gt;'SK-ratios'!$AC12,10,IF('SK-ratios'!DA12&gt;='SK-ratios'!$AA12,5+5*LOG(1+('SK-ratios'!$U12-1)*('SK-ratios'!DA12-'SK-ratios'!$AA12)/('SK-ratios'!$AC12-'SK-ratios'!$AA12))/LOG('SK-ratios'!$U12),IF('SK-ratios'!DA12&gt;'SK-ratios'!$Y12,5-5*LOG(1+('SK-ratios'!$U12-1)*('SK-ratios'!DA12-'SK-ratios'!$AA12)/('SK-ratios'!$Y12-'SK-ratios'!$AA12))/LOG('SK-ratios'!$U12),0)))</f>
        <v>7.6558086833229275</v>
      </c>
      <c r="CS9" s="455">
        <f t="array" ref="CS9">IF('SK-ratios'!DB12&gt;'SK-ratios'!$AC12,10,IF('SK-ratios'!DB12&gt;='SK-ratios'!$AA12,5+5*LOG(1+('SK-ratios'!$U12-1)*('SK-ratios'!DB12-'SK-ratios'!$AA12)/('SK-ratios'!$AC12-'SK-ratios'!$AA12))/LOG('SK-ratios'!$U12),IF('SK-ratios'!DB12&gt;'SK-ratios'!$Y12,5-5*LOG(1+('SK-ratios'!$U12-1)*('SK-ratios'!DB12-'SK-ratios'!$AA12)/('SK-ratios'!$Y12-'SK-ratios'!$AA12))/LOG('SK-ratios'!$U12),0)))</f>
        <v>7.2172812152773975</v>
      </c>
      <c r="CT9" s="455">
        <f t="array" ref="CT9">IF('SK-ratios'!DC12&gt;'SK-ratios'!$AC12,10,IF('SK-ratios'!DC12&gt;='SK-ratios'!$AA12,5+5*LOG(1+('SK-ratios'!$U12-1)*('SK-ratios'!DC12-'SK-ratios'!$AA12)/('SK-ratios'!$AC12-'SK-ratios'!$AA12))/LOG('SK-ratios'!$U12),IF('SK-ratios'!DC12&gt;'SK-ratios'!$Y12,5-5*LOG(1+('SK-ratios'!$U12-1)*('SK-ratios'!DC12-'SK-ratios'!$AA12)/('SK-ratios'!$Y12-'SK-ratios'!$AA12))/LOG('SK-ratios'!$U12),0)))</f>
        <v>9.2743019869938621</v>
      </c>
      <c r="CU9" s="455">
        <f t="array" ref="CU9">IF('SK-ratios'!DD12&gt;'SK-ratios'!$AC12,10,IF('SK-ratios'!DD12&gt;='SK-ratios'!$AA12,5+5*LOG(1+('SK-ratios'!$U12-1)*('SK-ratios'!DD12-'SK-ratios'!$AA12)/('SK-ratios'!$AC12-'SK-ratios'!$AA12))/LOG('SK-ratios'!$U12),IF('SK-ratios'!DD12&gt;'SK-ratios'!$Y12,5-5*LOG(1+('SK-ratios'!$U12-1)*('SK-ratios'!DD12-'SK-ratios'!$AA12)/('SK-ratios'!$Y12-'SK-ratios'!$AA12))/LOG('SK-ratios'!$U12),0)))</f>
        <v>5.1771672447531945</v>
      </c>
      <c r="CV9" s="455">
        <f t="array" ref="CV9">IF('SK-ratios'!DE12&gt;'SK-ratios'!$AC12,10,IF('SK-ratios'!DE12&gt;='SK-ratios'!$AA12,5+5*LOG(1+('SK-ratios'!$U12-1)*('SK-ratios'!DE12-'SK-ratios'!$AA12)/('SK-ratios'!$AC12-'SK-ratios'!$AA12))/LOG('SK-ratios'!$U12),IF('SK-ratios'!DE12&gt;'SK-ratios'!$Y12,5-5*LOG(1+('SK-ratios'!$U12-1)*('SK-ratios'!DE12-'SK-ratios'!$AA12)/('SK-ratios'!$Y12-'SK-ratios'!$AA12))/LOG('SK-ratios'!$U12),0)))</f>
        <v>6.0868613745661149</v>
      </c>
      <c r="CW9" s="455">
        <f t="array" ref="CW9">IF('SK-ratios'!DF12&gt;'SK-ratios'!$AC12,10,IF('SK-ratios'!DF12&gt;='SK-ratios'!$AA12,5+5*LOG(1+('SK-ratios'!$U12-1)*('SK-ratios'!DF12-'SK-ratios'!$AA12)/('SK-ratios'!$AC12-'SK-ratios'!$AA12))/LOG('SK-ratios'!$U12),IF('SK-ratios'!DF12&gt;'SK-ratios'!$Y12,5-5*LOG(1+('SK-ratios'!$U12-1)*('SK-ratios'!DF12-'SK-ratios'!$AA12)/('SK-ratios'!$Y12-'SK-ratios'!$AA12))/LOG('SK-ratios'!$U12),0)))</f>
        <v>5.0988200459328921</v>
      </c>
      <c r="CX9" s="455">
        <f t="array" ref="CX9">IF('SK-ratios'!DG12&gt;'SK-ratios'!$AC12,10,IF('SK-ratios'!DG12&gt;='SK-ratios'!$AA12,5+5*LOG(1+('SK-ratios'!$U12-1)*('SK-ratios'!DG12-'SK-ratios'!$AA12)/('SK-ratios'!$AC12-'SK-ratios'!$AA12))/LOG('SK-ratios'!$U12),IF('SK-ratios'!DG12&gt;'SK-ratios'!$Y12,5-5*LOG(1+('SK-ratios'!$U12-1)*('SK-ratios'!DG12-'SK-ratios'!$AA12)/('SK-ratios'!$Y12-'SK-ratios'!$AA12))/LOG('SK-ratios'!$U12),0)))</f>
        <v>2.6051948486833059</v>
      </c>
      <c r="DA9" s="456">
        <f t="array" ref="DA9">SUMPRODUCT(IF(($W$3:$CX$3=DA$3)*($W$2:$CX$2=DA$2),$W9:$CX9),IF(($W$3:$CX$3=DA$3)*($W$2:$CX$2=DA$2),$W$19:$CX$19))/SUM(IF(($W$3:$CX$3=DA$3)*($W$2:$CX$2=DA$2),$W$19:$CX$19))</f>
        <v>6.0824062057285904</v>
      </c>
      <c r="DB9" s="456">
        <f t="array" ref="DB9">SUMPRODUCT(IF(($W$3:$CX$3=DB$3)*($W$2:$CX$2=DB$2),$W9:$CX9),IF(($W$3:$CX$3=DB$3)*($W$2:$CX$2=DB$2),$W$19:$CX$19))/SUM(IF(($W$3:$CX$3=DB$3)*($W$2:$CX$2=DB$2),$W$19:$CX$19))</f>
        <v>8.6979071579542406</v>
      </c>
      <c r="DC9" s="456">
        <f t="array" ref="DC9">SUMPRODUCT(IF(($W$3:$CX$3=DC$3)*($W$2:$CX$2=DC$2),$W9:$CX9),IF(($W$3:$CX$3=DC$3)*($W$2:$CX$2=DC$2),$W$19:$CX$19))/SUM(IF(($W$3:$CX$3=DC$3)*($W$2:$CX$2=DC$2),$W$19:$CX$19))</f>
        <v>5.2264357647508533</v>
      </c>
      <c r="DD9" s="456">
        <f t="array" ref="DD9">SUMPRODUCT(IF(($W$3:$CX$3=DD$3)*($W$2:$CX$2=DD$2),$W9:$CX9),IF(($W$3:$CX$3=DD$3)*($W$2:$CX$2=DD$2),$W$19:$CX$19))/SUM(IF(($W$3:$CX$3=DD$3)*($W$2:$CX$2=DD$2),$W$19:$CX$19))</f>
        <v>5.9539373761633874</v>
      </c>
      <c r="DE9" s="456">
        <f t="array" ref="DE9">SUMPRODUCT(IF(($W$3:$CX$3=DE$3)*($W$2:$CX$2=DE$2),$W9:$CX9),IF(($W$3:$CX$3=DE$3)*($W$2:$CX$2=DE$2),$W$19:$CX$19))/SUM(IF(($W$3:$CX$3=DE$3)*($W$2:$CX$2=DE$2),$W$19:$CX$19))</f>
        <v>7.3734446158602207</v>
      </c>
      <c r="DF9" s="456">
        <f t="array" ref="DF9">SUMPRODUCT(IF(($W$3:$CX$3=DF$3)*($W$2:$CX$2=DF$2),$W9:$CX9),IF(($W$3:$CX$3=DF$3)*($W$2:$CX$2=DF$2),$W$19:$CX$19))/SUM(IF(($W$3:$CX$3=DF$3)*($W$2:$CX$2=DF$2),$W$19:$CX$19))</f>
        <v>6.8243736194464368</v>
      </c>
      <c r="DG9" s="456">
        <f t="array" ref="DG9">SUMPRODUCT(IF(($W$3:$CX$3=DG$3)*($W$2:$CX$2=DG$2),$W9:$CX9),IF(($W$3:$CX$3=DG$3)*($W$2:$CX$2=DG$2),$W$19:$CX$19))/SUM(IF(($W$3:$CX$3=DG$3)*($W$2:$CX$2=DG$2),$W$19:$CX$19))</f>
        <v>8.4472674232521996</v>
      </c>
      <c r="DH9" s="456">
        <f t="array" ref="DH9">SUMPRODUCT(IF(($W$3:$CX$3=DH$3)*($W$2:$CX$2=DH$2),$W9:$CX9),IF(($W$3:$CX$3=DH$3)*($W$2:$CX$2=DH$2),$W$19:$CX$19))/SUM(IF(($W$3:$CX$3=DH$3)*($W$2:$CX$2=DH$2),$W$19:$CX$19))</f>
        <v>7.4756231464646907</v>
      </c>
      <c r="DI9" s="456">
        <f t="array" ref="DI9">SUMPRODUCT(IF(($W$3:$CX$3=DI$3)*($W$2:$CX$2=DI$2),$W9:$CX9),IF(($W$3:$CX$3=DI$3)*($W$2:$CX$2=DI$2),$W$19:$CX$19))/SUM(IF(($W$3:$CX$3=DI$3)*($W$2:$CX$2=DI$2),$W$19:$CX$19))</f>
        <v>7.4262807388734524</v>
      </c>
      <c r="DJ9" s="456">
        <f t="array" ref="DJ9">SUMPRODUCT(IF(($W$3:$CX$3=DJ$3)*($W$2:$CX$2=DJ$2),$W9:$CX9),IF(($W$3:$CX$3=DJ$3)*($W$2:$CX$2=DJ$2),$W$19:$CX$19))/SUM(IF(($W$3:$CX$3=DJ$3)*($W$2:$CX$2=DJ$2),$W$19:$CX$19))</f>
        <v>9.1251527374198815</v>
      </c>
      <c r="DK9" s="456">
        <f t="array" ref="DK9">SUMPRODUCT(IF(($W$3:$CX$3=DK$3)*1,$W9:$CX9),IF(($W$3:$CX$3=DK$3)*1,$W$19:$CX$19))/SUM(IF(($W$3:$CX$3=DK$3)*1,$W$19:$CX$19))</f>
        <v>8.5613247421598668</v>
      </c>
      <c r="DL9" s="456">
        <f t="array" ref="DL9">SUMPRODUCT(IF(($W$3:$CX$3=DL$3)*1,$W9:$CX9),IF(($W$3:$CX$3=DL$3)*1,$W$19:$CX$19))/SUM(IF(($W$3:$CX$3=DL$3)*1,$W$19:$CX$19))</f>
        <v>6.2322310932122589</v>
      </c>
      <c r="DM9" s="456">
        <f t="array" ref="DM9">SUMPRODUCT(IF(($W$3:$CX$3=DM$3)*1,$W9:$CX9),IF(($W$3:$CX$3=DM$3)*1,$W$19:$CX$19))/SUM(IF(($W$3:$CX$3=DM$3)*1,$W$19:$CX$19))</f>
        <v>6.4201074070017041</v>
      </c>
      <c r="DN9" s="456">
        <f t="array" ref="DN9">SUMPRODUCT(IF(1*($W$2:$CX$2=DN$2),$W9:$CX9),IF(1*($W$2:$CX$2=DN$2),$W$19:$CX$19))/SUM(IF(1*($W$2:$CX$2=DN$2),$W$19:$CX$19))</f>
        <v>6.664722364512186</v>
      </c>
      <c r="DO9" s="456">
        <f t="array" ref="DO9">SUMPRODUCT(IF(1*($W$2:$CX$2=DO$2),$W9:$CX9),IF(1*($W$2:$CX$2=DO$2),$W$19:$CX$19))/SUM(IF(1*($W$2:$CX$2=DO$2),$W$19:$CX$19))</f>
        <v>8.0034769062466697</v>
      </c>
      <c r="DP9" s="456">
        <f t="array" ref="DP9">SUMPRODUCT(IF(1*1,$W9:$CX9),IF(1*1,$W$19:$CX$19))/SUM(IF(1*1,$W$19:$CX$19))</f>
        <v>7.1687496797331098</v>
      </c>
    </row>
    <row r="10" spans="1:120" ht="15.75" customHeight="1" thickBot="1" x14ac:dyDescent="0.3">
      <c r="A10" s="640"/>
      <c r="B10" s="669"/>
      <c r="C10" s="418">
        <f>'MD-ratings-year'!C10</f>
        <v>0.1</v>
      </c>
      <c r="D10" s="419" t="str">
        <f>'MD-ratings-year'!D10</f>
        <v>ROS – Return on Sales</v>
      </c>
      <c r="E10" s="420" t="str">
        <f>'MD-ratings-year'!E10</f>
        <v>Net Profit ÷ Sales</v>
      </c>
      <c r="F10" s="422" t="s">
        <v>400</v>
      </c>
      <c r="G10" s="653"/>
      <c r="H10" s="224"/>
      <c r="I10" s="570">
        <f>'SK-ratios'!U13</f>
        <v>17.296150581224119</v>
      </c>
      <c r="J10" s="224"/>
      <c r="K10" s="226">
        <f>'MD-ratings-year'!P10</f>
        <v>-0.14571660974295453</v>
      </c>
      <c r="L10" s="566">
        <f>'MD-ratings-year'!Q10</f>
        <v>-7.2858304871477264E-2</v>
      </c>
      <c r="M10" s="226">
        <f>'MD-ratings-year'!R10</f>
        <v>0</v>
      </c>
      <c r="N10" s="566">
        <f>'MD-ratings-year'!S10</f>
        <v>7.2858304871477264E-2</v>
      </c>
      <c r="O10" s="226">
        <f>'MD-ratings-year'!T10</f>
        <v>0.14571660974295453</v>
      </c>
      <c r="P10" s="226"/>
      <c r="Q10" s="226"/>
      <c r="R10" s="226"/>
      <c r="W10" s="455">
        <f t="array" ref="W10">IF('SK-ratios'!AF13&gt;'SK-ratios'!$AC13,10,IF('SK-ratios'!AF13&gt;='SK-ratios'!$AA13,5+5*LOG(1+('SK-ratios'!$U13-1)*('SK-ratios'!AF13-'SK-ratios'!$AA13)/('SK-ratios'!$AC13-'SK-ratios'!$AA13))/LOG('SK-ratios'!$U13),IF('SK-ratios'!AF13&gt;'SK-ratios'!$Y13,5-5*LOG(1+('SK-ratios'!$U13-1)*('SK-ratios'!AF13-'SK-ratios'!$AA13)/('SK-ratios'!$Y13-'SK-ratios'!$AA13))/LOG('SK-ratios'!$U13),0)))</f>
        <v>4.6928379112002911</v>
      </c>
      <c r="X10" s="455">
        <f t="array" ref="X10">IF('SK-ratios'!AG13&gt;'SK-ratios'!$AC13,10,IF('SK-ratios'!AG13&gt;='SK-ratios'!$AA13,5+5*LOG(1+('SK-ratios'!$U13-1)*('SK-ratios'!AG13-'SK-ratios'!$AA13)/('SK-ratios'!$AC13-'SK-ratios'!$AA13))/LOG('SK-ratios'!$U13),IF('SK-ratios'!AG13&gt;'SK-ratios'!$Y13,5-5*LOG(1+('SK-ratios'!$U13-1)*('SK-ratios'!AG13-'SK-ratios'!$AA13)/('SK-ratios'!$Y13-'SK-ratios'!$AA13))/LOG('SK-ratios'!$U13),0)))</f>
        <v>6.6591594700702403</v>
      </c>
      <c r="Y10" s="455">
        <f t="array" ref="Y10">IF('SK-ratios'!AH13&gt;'SK-ratios'!$AC13,10,IF('SK-ratios'!AH13&gt;='SK-ratios'!$AA13,5+5*LOG(1+('SK-ratios'!$U13-1)*('SK-ratios'!AH13-'SK-ratios'!$AA13)/('SK-ratios'!$AC13-'SK-ratios'!$AA13))/LOG('SK-ratios'!$U13),IF('SK-ratios'!AH13&gt;'SK-ratios'!$Y13,5-5*LOG(1+('SK-ratios'!$U13-1)*('SK-ratios'!AH13-'SK-ratios'!$AA13)/('SK-ratios'!$Y13-'SK-ratios'!$AA13))/LOG('SK-ratios'!$U13),0)))</f>
        <v>5.9265481424032194</v>
      </c>
      <c r="Z10" s="455">
        <f t="array" ref="Z10">IF('SK-ratios'!AI13&gt;'SK-ratios'!$AC13,10,IF('SK-ratios'!AI13&gt;='SK-ratios'!$AA13,5+5*LOG(1+('SK-ratios'!$U13-1)*('SK-ratios'!AI13-'SK-ratios'!$AA13)/('SK-ratios'!$AC13-'SK-ratios'!$AA13))/LOG('SK-ratios'!$U13),IF('SK-ratios'!AI13&gt;'SK-ratios'!$Y13,5-5*LOG(1+('SK-ratios'!$U13-1)*('SK-ratios'!AI13-'SK-ratios'!$AA13)/('SK-ratios'!$Y13-'SK-ratios'!$AA13))/LOG('SK-ratios'!$U13),0)))</f>
        <v>7.7264282853192778</v>
      </c>
      <c r="AA10" s="455">
        <f t="array" ref="AA10">IF('SK-ratios'!AJ13&gt;'SK-ratios'!$AC13,10,IF('SK-ratios'!AJ13&gt;='SK-ratios'!$AA13,5+5*LOG(1+('SK-ratios'!$U13-1)*('SK-ratios'!AJ13-'SK-ratios'!$AA13)/('SK-ratios'!$AC13-'SK-ratios'!$AA13))/LOG('SK-ratios'!$U13),IF('SK-ratios'!AJ13&gt;'SK-ratios'!$Y13,5-5*LOG(1+('SK-ratios'!$U13-1)*('SK-ratios'!AJ13-'SK-ratios'!$AA13)/('SK-ratios'!$Y13-'SK-ratios'!$AA13))/LOG('SK-ratios'!$U13),0)))</f>
        <v>10</v>
      </c>
      <c r="AB10" s="455">
        <f t="array" ref="AB10">IF('SK-ratios'!AK13&gt;'SK-ratios'!$AC13,10,IF('SK-ratios'!AK13&gt;='SK-ratios'!$AA13,5+5*LOG(1+('SK-ratios'!$U13-1)*('SK-ratios'!AK13-'SK-ratios'!$AA13)/('SK-ratios'!$AC13-'SK-ratios'!$AA13))/LOG('SK-ratios'!$U13),IF('SK-ratios'!AK13&gt;'SK-ratios'!$Y13,5-5*LOG(1+('SK-ratios'!$U13-1)*('SK-ratios'!AK13-'SK-ratios'!$AA13)/('SK-ratios'!$Y13-'SK-ratios'!$AA13))/LOG('SK-ratios'!$U13),0)))</f>
        <v>5.0346030703560674</v>
      </c>
      <c r="AC10" s="455">
        <f t="array" ref="AC10">IF('SK-ratios'!AL13&gt;'SK-ratios'!$AC13,10,IF('SK-ratios'!AL13&gt;='SK-ratios'!$AA13,5+5*LOG(1+('SK-ratios'!$U13-1)*('SK-ratios'!AL13-'SK-ratios'!$AA13)/('SK-ratios'!$AC13-'SK-ratios'!$AA13))/LOG('SK-ratios'!$U13),IF('SK-ratios'!AL13&gt;'SK-ratios'!$Y13,5-5*LOG(1+('SK-ratios'!$U13-1)*('SK-ratios'!AL13-'SK-ratios'!$AA13)/('SK-ratios'!$Y13-'SK-ratios'!$AA13))/LOG('SK-ratios'!$U13),0)))</f>
        <v>6.9395223046095911</v>
      </c>
      <c r="AD10" s="455">
        <f t="array" ref="AD10">IF('SK-ratios'!AM13&gt;'SK-ratios'!$AC13,10,IF('SK-ratios'!AM13&gt;='SK-ratios'!$AA13,5+5*LOG(1+('SK-ratios'!$U13-1)*('SK-ratios'!AM13-'SK-ratios'!$AA13)/('SK-ratios'!$AC13-'SK-ratios'!$AA13))/LOG('SK-ratios'!$U13),IF('SK-ratios'!AM13&gt;'SK-ratios'!$Y13,5-5*LOG(1+('SK-ratios'!$U13-1)*('SK-ratios'!AM13-'SK-ratios'!$AA13)/('SK-ratios'!$Y13-'SK-ratios'!$AA13))/LOG('SK-ratios'!$U13),0)))</f>
        <v>8.52773171727668</v>
      </c>
      <c r="AE10" s="455">
        <f t="array" ref="AE10">IF('SK-ratios'!AN13&gt;'SK-ratios'!$AC13,10,IF('SK-ratios'!AN13&gt;='SK-ratios'!$AA13,5+5*LOG(1+('SK-ratios'!$U13-1)*('SK-ratios'!AN13-'SK-ratios'!$AA13)/('SK-ratios'!$AC13-'SK-ratios'!$AA13))/LOG('SK-ratios'!$U13),IF('SK-ratios'!AN13&gt;'SK-ratios'!$Y13,5-5*LOG(1+('SK-ratios'!$U13-1)*('SK-ratios'!AN13-'SK-ratios'!$AA13)/('SK-ratios'!$Y13-'SK-ratios'!$AA13))/LOG('SK-ratios'!$U13),0)))</f>
        <v>5.879019550799967</v>
      </c>
      <c r="AF10" s="455">
        <f t="array" ref="AF10">IF('SK-ratios'!AO13&gt;'SK-ratios'!$AC13,10,IF('SK-ratios'!AO13&gt;='SK-ratios'!$AA13,5+5*LOG(1+('SK-ratios'!$U13-1)*('SK-ratios'!AO13-'SK-ratios'!$AA13)/('SK-ratios'!$AC13-'SK-ratios'!$AA13))/LOG('SK-ratios'!$U13),IF('SK-ratios'!AO13&gt;'SK-ratios'!$Y13,5-5*LOG(1+('SK-ratios'!$U13-1)*('SK-ratios'!AO13-'SK-ratios'!$AA13)/('SK-ratios'!$Y13-'SK-ratios'!$AA13))/LOG('SK-ratios'!$U13),0)))</f>
        <v>4.7073132593009666</v>
      </c>
      <c r="AG10" s="455">
        <f t="array" ref="AG10">IF('SK-ratios'!AP13&gt;'SK-ratios'!$AC13,10,IF('SK-ratios'!AP13&gt;='SK-ratios'!$AA13,5+5*LOG(1+('SK-ratios'!$U13-1)*('SK-ratios'!AP13-'SK-ratios'!$AA13)/('SK-ratios'!$AC13-'SK-ratios'!$AA13))/LOG('SK-ratios'!$U13),IF('SK-ratios'!AP13&gt;'SK-ratios'!$Y13,5-5*LOG(1+('SK-ratios'!$U13-1)*('SK-ratios'!AP13-'SK-ratios'!$AA13)/('SK-ratios'!$Y13-'SK-ratios'!$AA13))/LOG('SK-ratios'!$U13),0)))</f>
        <v>9.0098740616762036</v>
      </c>
      <c r="AH10" s="455">
        <f t="array" ref="AH10">IF('SK-ratios'!AQ13&gt;'SK-ratios'!$AC13,10,IF('SK-ratios'!AQ13&gt;='SK-ratios'!$AA13,5+5*LOG(1+('SK-ratios'!$U13-1)*('SK-ratios'!AQ13-'SK-ratios'!$AA13)/('SK-ratios'!$AC13-'SK-ratios'!$AA13))/LOG('SK-ratios'!$U13),IF('SK-ratios'!AQ13&gt;'SK-ratios'!$Y13,5-5*LOG(1+('SK-ratios'!$U13-1)*('SK-ratios'!AQ13-'SK-ratios'!$AA13)/('SK-ratios'!$Y13-'SK-ratios'!$AA13))/LOG('SK-ratios'!$U13),0)))</f>
        <v>0</v>
      </c>
      <c r="AI10" s="455">
        <f t="array" ref="AI10">IF('SK-ratios'!AR13&gt;'SK-ratios'!$AC13,10,IF('SK-ratios'!AR13&gt;='SK-ratios'!$AA13,5+5*LOG(1+('SK-ratios'!$U13-1)*('SK-ratios'!AR13-'SK-ratios'!$AA13)/('SK-ratios'!$AC13-'SK-ratios'!$AA13))/LOG('SK-ratios'!$U13),IF('SK-ratios'!AR13&gt;'SK-ratios'!$Y13,5-5*LOG(1+('SK-ratios'!$U13-1)*('SK-ratios'!AR13-'SK-ratios'!$AA13)/('SK-ratios'!$Y13-'SK-ratios'!$AA13))/LOG('SK-ratios'!$U13),0)))</f>
        <v>8.2891388394173173</v>
      </c>
      <c r="AJ10" s="455">
        <f t="array" ref="AJ10">IF('SK-ratios'!AS13&gt;'SK-ratios'!$AC13,10,IF('SK-ratios'!AS13&gt;='SK-ratios'!$AA13,5+5*LOG(1+('SK-ratios'!$U13-1)*('SK-ratios'!AS13-'SK-ratios'!$AA13)/('SK-ratios'!$AC13-'SK-ratios'!$AA13))/LOG('SK-ratios'!$U13),IF('SK-ratios'!AS13&gt;'SK-ratios'!$Y13,5-5*LOG(1+('SK-ratios'!$U13-1)*('SK-ratios'!AS13-'SK-ratios'!$AA13)/('SK-ratios'!$Y13-'SK-ratios'!$AA13))/LOG('SK-ratios'!$U13),0)))</f>
        <v>6.4585223145341368</v>
      </c>
      <c r="AK10" s="455">
        <f t="array" ref="AK10">IF('SK-ratios'!AT13&gt;'SK-ratios'!$AC13,10,IF('SK-ratios'!AT13&gt;='SK-ratios'!$AA13,5+5*LOG(1+('SK-ratios'!$U13-1)*('SK-ratios'!AT13-'SK-ratios'!$AA13)/('SK-ratios'!$AC13-'SK-ratios'!$AA13))/LOG('SK-ratios'!$U13),IF('SK-ratios'!AT13&gt;'SK-ratios'!$Y13,5-5*LOG(1+('SK-ratios'!$U13-1)*('SK-ratios'!AT13-'SK-ratios'!$AA13)/('SK-ratios'!$Y13-'SK-ratios'!$AA13))/LOG('SK-ratios'!$U13),0)))</f>
        <v>7.8606185518596696</v>
      </c>
      <c r="AL10" s="455">
        <f t="array" ref="AL10">IF('SK-ratios'!AU13&gt;'SK-ratios'!$AC13,10,IF('SK-ratios'!AU13&gt;='SK-ratios'!$AA13,5+5*LOG(1+('SK-ratios'!$U13-1)*('SK-ratios'!AU13-'SK-ratios'!$AA13)/('SK-ratios'!$AC13-'SK-ratios'!$AA13))/LOG('SK-ratios'!$U13),IF('SK-ratios'!AU13&gt;'SK-ratios'!$Y13,5-5*LOG(1+('SK-ratios'!$U13-1)*('SK-ratios'!AU13-'SK-ratios'!$AA13)/('SK-ratios'!$Y13-'SK-ratios'!$AA13))/LOG('SK-ratios'!$U13),0)))</f>
        <v>10</v>
      </c>
      <c r="AM10" s="455">
        <f t="array" ref="AM10">IF('SK-ratios'!AV13&gt;'SK-ratios'!$AC13,10,IF('SK-ratios'!AV13&gt;='SK-ratios'!$AA13,5+5*LOG(1+('SK-ratios'!$U13-1)*('SK-ratios'!AV13-'SK-ratios'!$AA13)/('SK-ratios'!$AC13-'SK-ratios'!$AA13))/LOG('SK-ratios'!$U13),IF('SK-ratios'!AV13&gt;'SK-ratios'!$Y13,5-5*LOG(1+('SK-ratios'!$U13-1)*('SK-ratios'!AV13-'SK-ratios'!$AA13)/('SK-ratios'!$Y13-'SK-ratios'!$AA13))/LOG('SK-ratios'!$U13),0)))</f>
        <v>9.7058498180999067</v>
      </c>
      <c r="AN10" s="455">
        <f t="array" ref="AN10">IF('SK-ratios'!AW13&gt;'SK-ratios'!$AC13,10,IF('SK-ratios'!AW13&gt;='SK-ratios'!$AA13,5+5*LOG(1+('SK-ratios'!$U13-1)*('SK-ratios'!AW13-'SK-ratios'!$AA13)/('SK-ratios'!$AC13-'SK-ratios'!$AA13))/LOG('SK-ratios'!$U13),IF('SK-ratios'!AW13&gt;'SK-ratios'!$Y13,5-5*LOG(1+('SK-ratios'!$U13-1)*('SK-ratios'!AW13-'SK-ratios'!$AA13)/('SK-ratios'!$Y13-'SK-ratios'!$AA13))/LOG('SK-ratios'!$U13),0)))</f>
        <v>7.7574269907557625</v>
      </c>
      <c r="AO10" s="455">
        <f t="array" ref="AO10">IF('SK-ratios'!AX13&gt;'SK-ratios'!$AC13,10,IF('SK-ratios'!AX13&gt;='SK-ratios'!$AA13,5+5*LOG(1+('SK-ratios'!$U13-1)*('SK-ratios'!AX13-'SK-ratios'!$AA13)/('SK-ratios'!$AC13-'SK-ratios'!$AA13))/LOG('SK-ratios'!$U13),IF('SK-ratios'!AX13&gt;'SK-ratios'!$Y13,5-5*LOG(1+('SK-ratios'!$U13-1)*('SK-ratios'!AX13-'SK-ratios'!$AA13)/('SK-ratios'!$Y13-'SK-ratios'!$AA13))/LOG('SK-ratios'!$U13),0)))</f>
        <v>0</v>
      </c>
      <c r="AP10" s="455">
        <f t="array" ref="AP10">IF('SK-ratios'!AY13&gt;'SK-ratios'!$AC13,10,IF('SK-ratios'!AY13&gt;='SK-ratios'!$AA13,5+5*LOG(1+('SK-ratios'!$U13-1)*('SK-ratios'!AY13-'SK-ratios'!$AA13)/('SK-ratios'!$AC13-'SK-ratios'!$AA13))/LOG('SK-ratios'!$U13),IF('SK-ratios'!AY13&gt;'SK-ratios'!$Y13,5-5*LOG(1+('SK-ratios'!$U13-1)*('SK-ratios'!AY13-'SK-ratios'!$AA13)/('SK-ratios'!$Y13-'SK-ratios'!$AA13))/LOG('SK-ratios'!$U13),0)))</f>
        <v>6.8188272026666921</v>
      </c>
      <c r="AQ10" s="455">
        <f t="array" ref="AQ10">IF('SK-ratios'!AZ13&gt;'SK-ratios'!$AC13,10,IF('SK-ratios'!AZ13&gt;='SK-ratios'!$AA13,5+5*LOG(1+('SK-ratios'!$U13-1)*('SK-ratios'!AZ13-'SK-ratios'!$AA13)/('SK-ratios'!$AC13-'SK-ratios'!$AA13))/LOG('SK-ratios'!$U13),IF('SK-ratios'!AZ13&gt;'SK-ratios'!$Y13,5-5*LOG(1+('SK-ratios'!$U13-1)*('SK-ratios'!AZ13-'SK-ratios'!$AA13)/('SK-ratios'!$Y13-'SK-ratios'!$AA13))/LOG('SK-ratios'!$U13),0)))</f>
        <v>10</v>
      </c>
      <c r="AR10" s="455">
        <f t="array" ref="AR10">IF('SK-ratios'!BA13&gt;'SK-ratios'!$AC13,10,IF('SK-ratios'!BA13&gt;='SK-ratios'!$AA13,5+5*LOG(1+('SK-ratios'!$U13-1)*('SK-ratios'!BA13-'SK-ratios'!$AA13)/('SK-ratios'!$AC13-'SK-ratios'!$AA13))/LOG('SK-ratios'!$U13),IF('SK-ratios'!BA13&gt;'SK-ratios'!$Y13,5-5*LOG(1+('SK-ratios'!$U13-1)*('SK-ratios'!BA13-'SK-ratios'!$AA13)/('SK-ratios'!$Y13-'SK-ratios'!$AA13))/LOG('SK-ratios'!$U13),0)))</f>
        <v>6.6494505187389139</v>
      </c>
      <c r="AS10" s="455">
        <f t="array" ref="AS10">IF('SK-ratios'!BB13&gt;'SK-ratios'!$AC13,10,IF('SK-ratios'!BB13&gt;='SK-ratios'!$AA13,5+5*LOG(1+('SK-ratios'!$U13-1)*('SK-ratios'!BB13-'SK-ratios'!$AA13)/('SK-ratios'!$AC13-'SK-ratios'!$AA13))/LOG('SK-ratios'!$U13),IF('SK-ratios'!BB13&gt;'SK-ratios'!$Y13,5-5*LOG(1+('SK-ratios'!$U13-1)*('SK-ratios'!BB13-'SK-ratios'!$AA13)/('SK-ratios'!$Y13-'SK-ratios'!$AA13))/LOG('SK-ratios'!$U13),0)))</f>
        <v>7.8413523149395195</v>
      </c>
      <c r="AT10" s="455">
        <f t="array" ref="AT10">IF('SK-ratios'!BC13&gt;'SK-ratios'!$AC13,10,IF('SK-ratios'!BC13&gt;='SK-ratios'!$AA13,5+5*LOG(1+('SK-ratios'!$U13-1)*('SK-ratios'!BC13-'SK-ratios'!$AA13)/('SK-ratios'!$AC13-'SK-ratios'!$AA13))/LOG('SK-ratios'!$U13),IF('SK-ratios'!BC13&gt;'SK-ratios'!$Y13,5-5*LOG(1+('SK-ratios'!$U13-1)*('SK-ratios'!BC13-'SK-ratios'!$AA13)/('SK-ratios'!$Y13-'SK-ratios'!$AA13))/LOG('SK-ratios'!$U13),0)))</f>
        <v>0.67146456173547531</v>
      </c>
      <c r="AU10" s="455">
        <f t="array" ref="AU10">IF('SK-ratios'!BD13&gt;'SK-ratios'!$AC13,10,IF('SK-ratios'!BD13&gt;='SK-ratios'!$AA13,5+5*LOG(1+('SK-ratios'!$U13-1)*('SK-ratios'!BD13-'SK-ratios'!$AA13)/('SK-ratios'!$AC13-'SK-ratios'!$AA13))/LOG('SK-ratios'!$U13),IF('SK-ratios'!BD13&gt;'SK-ratios'!$Y13,5-5*LOG(1+('SK-ratios'!$U13-1)*('SK-ratios'!BD13-'SK-ratios'!$AA13)/('SK-ratios'!$Y13-'SK-ratios'!$AA13))/LOG('SK-ratios'!$U13),0)))</f>
        <v>0.23721561414989889</v>
      </c>
      <c r="AV10" s="455">
        <f t="array" ref="AV10">IF('SK-ratios'!BE13&gt;'SK-ratios'!$AC13,10,IF('SK-ratios'!BE13&gt;='SK-ratios'!$AA13,5+5*LOG(1+('SK-ratios'!$U13-1)*('SK-ratios'!BE13-'SK-ratios'!$AA13)/('SK-ratios'!$AC13-'SK-ratios'!$AA13))/LOG('SK-ratios'!$U13),IF('SK-ratios'!BE13&gt;'SK-ratios'!$Y13,5-5*LOG(1+('SK-ratios'!$U13-1)*('SK-ratios'!BE13-'SK-ratios'!$AA13)/('SK-ratios'!$Y13-'SK-ratios'!$AA13))/LOG('SK-ratios'!$U13),0)))</f>
        <v>10</v>
      </c>
      <c r="AW10" s="455">
        <f t="array" ref="AW10">IF('SK-ratios'!BF13&gt;'SK-ratios'!$AC13,10,IF('SK-ratios'!BF13&gt;='SK-ratios'!$AA13,5+5*LOG(1+('SK-ratios'!$U13-1)*('SK-ratios'!BF13-'SK-ratios'!$AA13)/('SK-ratios'!$AC13-'SK-ratios'!$AA13))/LOG('SK-ratios'!$U13),IF('SK-ratios'!BF13&gt;'SK-ratios'!$Y13,5-5*LOG(1+('SK-ratios'!$U13-1)*('SK-ratios'!BF13-'SK-ratios'!$AA13)/('SK-ratios'!$Y13-'SK-ratios'!$AA13))/LOG('SK-ratios'!$U13),0)))</f>
        <v>0</v>
      </c>
      <c r="AX10" s="455">
        <f t="array" ref="AX10">IF('SK-ratios'!BG13&gt;'SK-ratios'!$AC13,10,IF('SK-ratios'!BG13&gt;='SK-ratios'!$AA13,5+5*LOG(1+('SK-ratios'!$U13-1)*('SK-ratios'!BG13-'SK-ratios'!$AA13)/('SK-ratios'!$AC13-'SK-ratios'!$AA13))/LOG('SK-ratios'!$U13),IF('SK-ratios'!BG13&gt;'SK-ratios'!$Y13,5-5*LOG(1+('SK-ratios'!$U13-1)*('SK-ratios'!BG13-'SK-ratios'!$AA13)/('SK-ratios'!$Y13-'SK-ratios'!$AA13))/LOG('SK-ratios'!$U13),0)))</f>
        <v>0</v>
      </c>
      <c r="AY10" s="455">
        <f t="array" ref="AY10">IF('SK-ratios'!BH13&gt;'SK-ratios'!$AC13,10,IF('SK-ratios'!BH13&gt;='SK-ratios'!$AA13,5+5*LOG(1+('SK-ratios'!$U13-1)*('SK-ratios'!BH13-'SK-ratios'!$AA13)/('SK-ratios'!$AC13-'SK-ratios'!$AA13))/LOG('SK-ratios'!$U13),IF('SK-ratios'!BH13&gt;'SK-ratios'!$Y13,5-5*LOG(1+('SK-ratios'!$U13-1)*('SK-ratios'!BH13-'SK-ratios'!$AA13)/('SK-ratios'!$Y13-'SK-ratios'!$AA13))/LOG('SK-ratios'!$U13),0)))</f>
        <v>1.6233855448255796</v>
      </c>
      <c r="AZ10" s="455">
        <f t="array" ref="AZ10">IF('SK-ratios'!BI13&gt;'SK-ratios'!$AC13,10,IF('SK-ratios'!BI13&gt;='SK-ratios'!$AA13,5+5*LOG(1+('SK-ratios'!$U13-1)*('SK-ratios'!BI13-'SK-ratios'!$AA13)/('SK-ratios'!$AC13-'SK-ratios'!$AA13))/LOG('SK-ratios'!$U13),IF('SK-ratios'!BI13&gt;'SK-ratios'!$Y13,5-5*LOG(1+('SK-ratios'!$U13-1)*('SK-ratios'!BI13-'SK-ratios'!$AA13)/('SK-ratios'!$Y13-'SK-ratios'!$AA13))/LOG('SK-ratios'!$U13),0)))</f>
        <v>8.6846650426211216</v>
      </c>
      <c r="BA10" s="455">
        <f t="array" ref="BA10">IF('SK-ratios'!BJ13&gt;'SK-ratios'!$AC13,10,IF('SK-ratios'!BJ13&gt;='SK-ratios'!$AA13,5+5*LOG(1+('SK-ratios'!$U13-1)*('SK-ratios'!BJ13-'SK-ratios'!$AA13)/('SK-ratios'!$AC13-'SK-ratios'!$AA13))/LOG('SK-ratios'!$U13),IF('SK-ratios'!BJ13&gt;'SK-ratios'!$Y13,5-5*LOG(1+('SK-ratios'!$U13-1)*('SK-ratios'!BJ13-'SK-ratios'!$AA13)/('SK-ratios'!$Y13-'SK-ratios'!$AA13))/LOG('SK-ratios'!$U13),0)))</f>
        <v>0</v>
      </c>
      <c r="BB10" s="455">
        <f t="array" ref="BB10">IF('SK-ratios'!BK13&gt;'SK-ratios'!$AC13,10,IF('SK-ratios'!BK13&gt;='SK-ratios'!$AA13,5+5*LOG(1+('SK-ratios'!$U13-1)*('SK-ratios'!BK13-'SK-ratios'!$AA13)/('SK-ratios'!$AC13-'SK-ratios'!$AA13))/LOG('SK-ratios'!$U13),IF('SK-ratios'!BK13&gt;'SK-ratios'!$Y13,5-5*LOG(1+('SK-ratios'!$U13-1)*('SK-ratios'!BK13-'SK-ratios'!$AA13)/('SK-ratios'!$Y13-'SK-ratios'!$AA13))/LOG('SK-ratios'!$U13),0)))</f>
        <v>7.6446101716308021</v>
      </c>
      <c r="BC10" s="455">
        <f t="array" ref="BC10">IF('SK-ratios'!BL13&gt;'SK-ratios'!$AC13,10,IF('SK-ratios'!BL13&gt;='SK-ratios'!$AA13,5+5*LOG(1+('SK-ratios'!$U13-1)*('SK-ratios'!BL13-'SK-ratios'!$AA13)/('SK-ratios'!$AC13-'SK-ratios'!$AA13))/LOG('SK-ratios'!$U13),IF('SK-ratios'!BL13&gt;'SK-ratios'!$Y13,5-5*LOG(1+('SK-ratios'!$U13-1)*('SK-ratios'!BL13-'SK-ratios'!$AA13)/('SK-ratios'!$Y13-'SK-ratios'!$AA13))/LOG('SK-ratios'!$U13),0)))</f>
        <v>6.5727400443889881</v>
      </c>
      <c r="BD10" s="455">
        <f t="array" ref="BD10">IF('SK-ratios'!BM13&gt;'SK-ratios'!$AC13,10,IF('SK-ratios'!BM13&gt;='SK-ratios'!$AA13,5+5*LOG(1+('SK-ratios'!$U13-1)*('SK-ratios'!BM13-'SK-ratios'!$AA13)/('SK-ratios'!$AC13-'SK-ratios'!$AA13))/LOG('SK-ratios'!$U13),IF('SK-ratios'!BM13&gt;'SK-ratios'!$Y13,5-5*LOG(1+('SK-ratios'!$U13-1)*('SK-ratios'!BM13-'SK-ratios'!$AA13)/('SK-ratios'!$Y13-'SK-ratios'!$AA13))/LOG('SK-ratios'!$U13),0)))</f>
        <v>8.058524991068662</v>
      </c>
      <c r="BE10" s="455">
        <f t="array" ref="BE10">IF('SK-ratios'!BN13&gt;'SK-ratios'!$AC13,10,IF('SK-ratios'!BN13&gt;='SK-ratios'!$AA13,5+5*LOG(1+('SK-ratios'!$U13-1)*('SK-ratios'!BN13-'SK-ratios'!$AA13)/('SK-ratios'!$AC13-'SK-ratios'!$AA13))/LOG('SK-ratios'!$U13),IF('SK-ratios'!BN13&gt;'SK-ratios'!$Y13,5-5*LOG(1+('SK-ratios'!$U13-1)*('SK-ratios'!BN13-'SK-ratios'!$AA13)/('SK-ratios'!$Y13-'SK-ratios'!$AA13))/LOG('SK-ratios'!$U13),0)))</f>
        <v>8.9048682137054822</v>
      </c>
      <c r="BF10" s="455">
        <f t="array" ref="BF10">IF('SK-ratios'!BO13&gt;'SK-ratios'!$AC13,10,IF('SK-ratios'!BO13&gt;='SK-ratios'!$AA13,5+5*LOG(1+('SK-ratios'!$U13-1)*('SK-ratios'!BO13-'SK-ratios'!$AA13)/('SK-ratios'!$AC13-'SK-ratios'!$AA13))/LOG('SK-ratios'!$U13),IF('SK-ratios'!BO13&gt;'SK-ratios'!$Y13,5-5*LOG(1+('SK-ratios'!$U13-1)*('SK-ratios'!BO13-'SK-ratios'!$AA13)/('SK-ratios'!$Y13-'SK-ratios'!$AA13))/LOG('SK-ratios'!$U13),0)))</f>
        <v>5.1156239322309478</v>
      </c>
      <c r="BG10" s="455">
        <f t="array" ref="BG10">IF('SK-ratios'!BP13&gt;'SK-ratios'!$AC13,10,IF('SK-ratios'!BP13&gt;='SK-ratios'!$AA13,5+5*LOG(1+('SK-ratios'!$U13-1)*('SK-ratios'!BP13-'SK-ratios'!$AA13)/('SK-ratios'!$AC13-'SK-ratios'!$AA13))/LOG('SK-ratios'!$U13),IF('SK-ratios'!BP13&gt;'SK-ratios'!$Y13,5-5*LOG(1+('SK-ratios'!$U13-1)*('SK-ratios'!BP13-'SK-ratios'!$AA13)/('SK-ratios'!$Y13-'SK-ratios'!$AA13))/LOG('SK-ratios'!$U13),0)))</f>
        <v>9.00286475512309</v>
      </c>
      <c r="BH10" s="455">
        <f t="array" ref="BH10">IF('SK-ratios'!BQ13&gt;'SK-ratios'!$AC13,10,IF('SK-ratios'!BQ13&gt;='SK-ratios'!$AA13,5+5*LOG(1+('SK-ratios'!$U13-1)*('SK-ratios'!BQ13-'SK-ratios'!$AA13)/('SK-ratios'!$AC13-'SK-ratios'!$AA13))/LOG('SK-ratios'!$U13),IF('SK-ratios'!BQ13&gt;'SK-ratios'!$Y13,5-5*LOG(1+('SK-ratios'!$U13-1)*('SK-ratios'!BQ13-'SK-ratios'!$AA13)/('SK-ratios'!$Y13-'SK-ratios'!$AA13))/LOG('SK-ratios'!$U13),0)))</f>
        <v>7.447501125929394</v>
      </c>
      <c r="BI10" s="455">
        <f t="array" ref="BI10">IF('SK-ratios'!BR13&gt;'SK-ratios'!$AC13,10,IF('SK-ratios'!BR13&gt;='SK-ratios'!$AA13,5+5*LOG(1+('SK-ratios'!$U13-1)*('SK-ratios'!BR13-'SK-ratios'!$AA13)/('SK-ratios'!$AC13-'SK-ratios'!$AA13))/LOG('SK-ratios'!$U13),IF('SK-ratios'!BR13&gt;'SK-ratios'!$Y13,5-5*LOG(1+('SK-ratios'!$U13-1)*('SK-ratios'!BR13-'SK-ratios'!$AA13)/('SK-ratios'!$Y13-'SK-ratios'!$AA13))/LOG('SK-ratios'!$U13),0)))</f>
        <v>4.5487381677019796</v>
      </c>
      <c r="BJ10" s="455">
        <f t="array" ref="BJ10">IF('SK-ratios'!BS13&gt;'SK-ratios'!$AC13,10,IF('SK-ratios'!BS13&gt;='SK-ratios'!$AA13,5+5*LOG(1+('SK-ratios'!$U13-1)*('SK-ratios'!BS13-'SK-ratios'!$AA13)/('SK-ratios'!$AC13-'SK-ratios'!$AA13))/LOG('SK-ratios'!$U13),IF('SK-ratios'!BS13&gt;'SK-ratios'!$Y13,5-5*LOG(1+('SK-ratios'!$U13-1)*('SK-ratios'!BS13-'SK-ratios'!$AA13)/('SK-ratios'!$Y13-'SK-ratios'!$AA13))/LOG('SK-ratios'!$U13),0)))</f>
        <v>6.746706823646865</v>
      </c>
      <c r="BK10" s="455">
        <f t="array" ref="BK10">IF('SK-ratios'!BT13&gt;'SK-ratios'!$AC13,10,IF('SK-ratios'!BT13&gt;='SK-ratios'!$AA13,5+5*LOG(1+('SK-ratios'!$U13-1)*('SK-ratios'!BT13-'SK-ratios'!$AA13)/('SK-ratios'!$AC13-'SK-ratios'!$AA13))/LOG('SK-ratios'!$U13),IF('SK-ratios'!BT13&gt;'SK-ratios'!$Y13,5-5*LOG(1+('SK-ratios'!$U13-1)*('SK-ratios'!BT13-'SK-ratios'!$AA13)/('SK-ratios'!$Y13-'SK-ratios'!$AA13))/LOG('SK-ratios'!$U13),0)))</f>
        <v>0</v>
      </c>
      <c r="BL10" s="455">
        <f t="array" ref="BL10">IF('SK-ratios'!BU13&gt;'SK-ratios'!$AC13,10,IF('SK-ratios'!BU13&gt;='SK-ratios'!$AA13,5+5*LOG(1+('SK-ratios'!$U13-1)*('SK-ratios'!BU13-'SK-ratios'!$AA13)/('SK-ratios'!$AC13-'SK-ratios'!$AA13))/LOG('SK-ratios'!$U13),IF('SK-ratios'!BU13&gt;'SK-ratios'!$Y13,5-5*LOG(1+('SK-ratios'!$U13-1)*('SK-ratios'!BU13-'SK-ratios'!$AA13)/('SK-ratios'!$Y13-'SK-ratios'!$AA13))/LOG('SK-ratios'!$U13),0)))</f>
        <v>5.5325748786306015</v>
      </c>
      <c r="BM10" s="455">
        <f t="array" ref="BM10">IF('SK-ratios'!BV13&gt;'SK-ratios'!$AC13,10,IF('SK-ratios'!BV13&gt;='SK-ratios'!$AA13,5+5*LOG(1+('SK-ratios'!$U13-1)*('SK-ratios'!BV13-'SK-ratios'!$AA13)/('SK-ratios'!$AC13-'SK-ratios'!$AA13))/LOG('SK-ratios'!$U13),IF('SK-ratios'!BV13&gt;'SK-ratios'!$Y13,5-5*LOG(1+('SK-ratios'!$U13-1)*('SK-ratios'!BV13-'SK-ratios'!$AA13)/('SK-ratios'!$Y13-'SK-ratios'!$AA13))/LOG('SK-ratios'!$U13),0)))</f>
        <v>6.400805423471648</v>
      </c>
      <c r="BN10" s="455">
        <f t="array" ref="BN10">IF('SK-ratios'!BW13&gt;'SK-ratios'!$AC13,10,IF('SK-ratios'!BW13&gt;='SK-ratios'!$AA13,5+5*LOG(1+('SK-ratios'!$U13-1)*('SK-ratios'!BW13-'SK-ratios'!$AA13)/('SK-ratios'!$AC13-'SK-ratios'!$AA13))/LOG('SK-ratios'!$U13),IF('SK-ratios'!BW13&gt;'SK-ratios'!$Y13,5-5*LOG(1+('SK-ratios'!$U13-1)*('SK-ratios'!BW13-'SK-ratios'!$AA13)/('SK-ratios'!$Y13-'SK-ratios'!$AA13))/LOG('SK-ratios'!$U13),0)))</f>
        <v>5.6774851172918392</v>
      </c>
      <c r="BO10" s="455">
        <f t="array" ref="BO10">IF('SK-ratios'!BX13&gt;'SK-ratios'!$AC13,10,IF('SK-ratios'!BX13&gt;='SK-ratios'!$AA13,5+5*LOG(1+('SK-ratios'!$U13-1)*('SK-ratios'!BX13-'SK-ratios'!$AA13)/('SK-ratios'!$AC13-'SK-ratios'!$AA13))/LOG('SK-ratios'!$U13),IF('SK-ratios'!BX13&gt;'SK-ratios'!$Y13,5-5*LOG(1+('SK-ratios'!$U13-1)*('SK-ratios'!BX13-'SK-ratios'!$AA13)/('SK-ratios'!$Y13-'SK-ratios'!$AA13))/LOG('SK-ratios'!$U13),0)))</f>
        <v>9.0752359899382249</v>
      </c>
      <c r="BP10" s="455">
        <f t="array" ref="BP10">IF('SK-ratios'!BY13&gt;'SK-ratios'!$AC13,10,IF('SK-ratios'!BY13&gt;='SK-ratios'!$AA13,5+5*LOG(1+('SK-ratios'!$U13-1)*('SK-ratios'!BY13-'SK-ratios'!$AA13)/('SK-ratios'!$AC13-'SK-ratios'!$AA13))/LOG('SK-ratios'!$U13),IF('SK-ratios'!BY13&gt;'SK-ratios'!$Y13,5-5*LOG(1+('SK-ratios'!$U13-1)*('SK-ratios'!BY13-'SK-ratios'!$AA13)/('SK-ratios'!$Y13-'SK-ratios'!$AA13))/LOG('SK-ratios'!$U13),0)))</f>
        <v>8.1692601027612035</v>
      </c>
      <c r="BQ10" s="455">
        <f t="array" ref="BQ10">IF('SK-ratios'!BZ13&gt;'SK-ratios'!$AC13,10,IF('SK-ratios'!BZ13&gt;='SK-ratios'!$AA13,5+5*LOG(1+('SK-ratios'!$U13-1)*('SK-ratios'!BZ13-'SK-ratios'!$AA13)/('SK-ratios'!$AC13-'SK-ratios'!$AA13))/LOG('SK-ratios'!$U13),IF('SK-ratios'!BZ13&gt;'SK-ratios'!$Y13,5-5*LOG(1+('SK-ratios'!$U13-1)*('SK-ratios'!BZ13-'SK-ratios'!$AA13)/('SK-ratios'!$Y13-'SK-ratios'!$AA13))/LOG('SK-ratios'!$U13),0)))</f>
        <v>5.753436705470877</v>
      </c>
      <c r="BR10" s="455">
        <f t="array" ref="BR10">IF('SK-ratios'!CA13&gt;'SK-ratios'!$AC13,10,IF('SK-ratios'!CA13&gt;='SK-ratios'!$AA13,5+5*LOG(1+('SK-ratios'!$U13-1)*('SK-ratios'!CA13-'SK-ratios'!$AA13)/('SK-ratios'!$AC13-'SK-ratios'!$AA13))/LOG('SK-ratios'!$U13),IF('SK-ratios'!CA13&gt;'SK-ratios'!$Y13,5-5*LOG(1+('SK-ratios'!$U13-1)*('SK-ratios'!CA13-'SK-ratios'!$AA13)/('SK-ratios'!$Y13-'SK-ratios'!$AA13))/LOG('SK-ratios'!$U13),0)))</f>
        <v>7.8569826744609017</v>
      </c>
      <c r="BS10" s="455">
        <f t="array" ref="BS10">IF('SK-ratios'!CB13&gt;'SK-ratios'!$AC13,10,IF('SK-ratios'!CB13&gt;='SK-ratios'!$AA13,5+5*LOG(1+('SK-ratios'!$U13-1)*('SK-ratios'!CB13-'SK-ratios'!$AA13)/('SK-ratios'!$AC13-'SK-ratios'!$AA13))/LOG('SK-ratios'!$U13),IF('SK-ratios'!CB13&gt;'SK-ratios'!$Y13,5-5*LOG(1+('SK-ratios'!$U13-1)*('SK-ratios'!CB13-'SK-ratios'!$AA13)/('SK-ratios'!$Y13-'SK-ratios'!$AA13))/LOG('SK-ratios'!$U13),0)))</f>
        <v>8.2351731169308771</v>
      </c>
      <c r="BT10" s="455">
        <f t="array" ref="BT10">IF('SK-ratios'!CC13&gt;'SK-ratios'!$AC13,10,IF('SK-ratios'!CC13&gt;='SK-ratios'!$AA13,5+5*LOG(1+('SK-ratios'!$U13-1)*('SK-ratios'!CC13-'SK-ratios'!$AA13)/('SK-ratios'!$AC13-'SK-ratios'!$AA13))/LOG('SK-ratios'!$U13),IF('SK-ratios'!CC13&gt;'SK-ratios'!$Y13,5-5*LOG(1+('SK-ratios'!$U13-1)*('SK-ratios'!CC13-'SK-ratios'!$AA13)/('SK-ratios'!$Y13-'SK-ratios'!$AA13))/LOG('SK-ratios'!$U13),0)))</f>
        <v>7.7842181536260888</v>
      </c>
      <c r="BU10" s="455">
        <f t="array" ref="BU10">IF('SK-ratios'!CD13&gt;'SK-ratios'!$AC13,10,IF('SK-ratios'!CD13&gt;='SK-ratios'!$AA13,5+5*LOG(1+('SK-ratios'!$U13-1)*('SK-ratios'!CD13-'SK-ratios'!$AA13)/('SK-ratios'!$AC13-'SK-ratios'!$AA13))/LOG('SK-ratios'!$U13),IF('SK-ratios'!CD13&gt;'SK-ratios'!$Y13,5-5*LOG(1+('SK-ratios'!$U13-1)*('SK-ratios'!CD13-'SK-ratios'!$AA13)/('SK-ratios'!$Y13-'SK-ratios'!$AA13))/LOG('SK-ratios'!$U13),0)))</f>
        <v>10</v>
      </c>
      <c r="BV10" s="455">
        <f t="array" ref="BV10">IF('SK-ratios'!CE13&gt;'SK-ratios'!$AC13,10,IF('SK-ratios'!CE13&gt;='SK-ratios'!$AA13,5+5*LOG(1+('SK-ratios'!$U13-1)*('SK-ratios'!CE13-'SK-ratios'!$AA13)/('SK-ratios'!$AC13-'SK-ratios'!$AA13))/LOG('SK-ratios'!$U13),IF('SK-ratios'!CE13&gt;'SK-ratios'!$Y13,5-5*LOG(1+('SK-ratios'!$U13-1)*('SK-ratios'!CE13-'SK-ratios'!$AA13)/('SK-ratios'!$Y13-'SK-ratios'!$AA13))/LOG('SK-ratios'!$U13),0)))</f>
        <v>10</v>
      </c>
      <c r="BW10" s="455">
        <f t="array" ref="BW10">IF('SK-ratios'!CF13&gt;'SK-ratios'!$AC13,10,IF('SK-ratios'!CF13&gt;='SK-ratios'!$AA13,5+5*LOG(1+('SK-ratios'!$U13-1)*('SK-ratios'!CF13-'SK-ratios'!$AA13)/('SK-ratios'!$AC13-'SK-ratios'!$AA13))/LOG('SK-ratios'!$U13),IF('SK-ratios'!CF13&gt;'SK-ratios'!$Y13,5-5*LOG(1+('SK-ratios'!$U13-1)*('SK-ratios'!CF13-'SK-ratios'!$AA13)/('SK-ratios'!$Y13-'SK-ratios'!$AA13))/LOG('SK-ratios'!$U13),0)))</f>
        <v>6.028007683370217</v>
      </c>
      <c r="BX10" s="455">
        <f t="array" ref="BX10">IF('SK-ratios'!CG13&gt;'SK-ratios'!$AC13,10,IF('SK-ratios'!CG13&gt;='SK-ratios'!$AA13,5+5*LOG(1+('SK-ratios'!$U13-1)*('SK-ratios'!CG13-'SK-ratios'!$AA13)/('SK-ratios'!$AC13-'SK-ratios'!$AA13))/LOG('SK-ratios'!$U13),IF('SK-ratios'!CG13&gt;'SK-ratios'!$Y13,5-5*LOG(1+('SK-ratios'!$U13-1)*('SK-ratios'!CG13-'SK-ratios'!$AA13)/('SK-ratios'!$Y13-'SK-ratios'!$AA13))/LOG('SK-ratios'!$U13),0)))</f>
        <v>6.3955670781153824</v>
      </c>
      <c r="BY10" s="455">
        <f t="array" ref="BY10">IF('SK-ratios'!CH13&gt;'SK-ratios'!$AC13,10,IF('SK-ratios'!CH13&gt;='SK-ratios'!$AA13,5+5*LOG(1+('SK-ratios'!$U13-1)*('SK-ratios'!CH13-'SK-ratios'!$AA13)/('SK-ratios'!$AC13-'SK-ratios'!$AA13))/LOG('SK-ratios'!$U13),IF('SK-ratios'!CH13&gt;'SK-ratios'!$Y13,5-5*LOG(1+('SK-ratios'!$U13-1)*('SK-ratios'!CH13-'SK-ratios'!$AA13)/('SK-ratios'!$Y13-'SK-ratios'!$AA13))/LOG('SK-ratios'!$U13),0)))</f>
        <v>10</v>
      </c>
      <c r="BZ10" s="455">
        <f t="array" ref="BZ10">IF('SK-ratios'!CI13&gt;'SK-ratios'!$AC13,10,IF('SK-ratios'!CI13&gt;='SK-ratios'!$AA13,5+5*LOG(1+('SK-ratios'!$U13-1)*('SK-ratios'!CI13-'SK-ratios'!$AA13)/('SK-ratios'!$AC13-'SK-ratios'!$AA13))/LOG('SK-ratios'!$U13),IF('SK-ratios'!CI13&gt;'SK-ratios'!$Y13,5-5*LOG(1+('SK-ratios'!$U13-1)*('SK-ratios'!CI13-'SK-ratios'!$AA13)/('SK-ratios'!$Y13-'SK-ratios'!$AA13))/LOG('SK-ratios'!$U13),0)))</f>
        <v>1.3387520760150293</v>
      </c>
      <c r="CA10" s="455">
        <f t="array" ref="CA10">IF('SK-ratios'!CJ13&gt;'SK-ratios'!$AC13,10,IF('SK-ratios'!CJ13&gt;='SK-ratios'!$AA13,5+5*LOG(1+('SK-ratios'!$U13-1)*('SK-ratios'!CJ13-'SK-ratios'!$AA13)/('SK-ratios'!$AC13-'SK-ratios'!$AA13))/LOG('SK-ratios'!$U13),IF('SK-ratios'!CJ13&gt;'SK-ratios'!$Y13,5-5*LOG(1+('SK-ratios'!$U13-1)*('SK-ratios'!CJ13-'SK-ratios'!$AA13)/('SK-ratios'!$Y13-'SK-ratios'!$AA13))/LOG('SK-ratios'!$U13),0)))</f>
        <v>8.2689993761661889</v>
      </c>
      <c r="CB10" s="455">
        <f t="array" ref="CB10">IF('SK-ratios'!CK13&gt;'SK-ratios'!$AC13,10,IF('SK-ratios'!CK13&gt;='SK-ratios'!$AA13,5+5*LOG(1+('SK-ratios'!$U13-1)*('SK-ratios'!CK13-'SK-ratios'!$AA13)/('SK-ratios'!$AC13-'SK-ratios'!$AA13))/LOG('SK-ratios'!$U13),IF('SK-ratios'!CK13&gt;'SK-ratios'!$Y13,5-5*LOG(1+('SK-ratios'!$U13-1)*('SK-ratios'!CK13-'SK-ratios'!$AA13)/('SK-ratios'!$Y13-'SK-ratios'!$AA13))/LOG('SK-ratios'!$U13),0)))</f>
        <v>6.8444118689208544</v>
      </c>
      <c r="CC10" s="455">
        <f t="array" ref="CC10">IF('SK-ratios'!CL13&gt;'SK-ratios'!$AC13,10,IF('SK-ratios'!CL13&gt;='SK-ratios'!$AA13,5+5*LOG(1+('SK-ratios'!$U13-1)*('SK-ratios'!CL13-'SK-ratios'!$AA13)/('SK-ratios'!$AC13-'SK-ratios'!$AA13))/LOG('SK-ratios'!$U13),IF('SK-ratios'!CL13&gt;'SK-ratios'!$Y13,5-5*LOG(1+('SK-ratios'!$U13-1)*('SK-ratios'!CL13-'SK-ratios'!$AA13)/('SK-ratios'!$Y13-'SK-ratios'!$AA13))/LOG('SK-ratios'!$U13),0)))</f>
        <v>8.5592218300024854</v>
      </c>
      <c r="CD10" s="455">
        <f t="array" ref="CD10">IF('SK-ratios'!CM13&gt;'SK-ratios'!$AC13,10,IF('SK-ratios'!CM13&gt;='SK-ratios'!$AA13,5+5*LOG(1+('SK-ratios'!$U13-1)*('SK-ratios'!CM13-'SK-ratios'!$AA13)/('SK-ratios'!$AC13-'SK-ratios'!$AA13))/LOG('SK-ratios'!$U13),IF('SK-ratios'!CM13&gt;'SK-ratios'!$Y13,5-5*LOG(1+('SK-ratios'!$U13-1)*('SK-ratios'!CM13-'SK-ratios'!$AA13)/('SK-ratios'!$Y13-'SK-ratios'!$AA13))/LOG('SK-ratios'!$U13),0)))</f>
        <v>9.3233376137042967</v>
      </c>
      <c r="CE10" s="455">
        <f t="array" ref="CE10">IF('SK-ratios'!CN13&gt;'SK-ratios'!$AC13,10,IF('SK-ratios'!CN13&gt;='SK-ratios'!$AA13,5+5*LOG(1+('SK-ratios'!$U13-1)*('SK-ratios'!CN13-'SK-ratios'!$AA13)/('SK-ratios'!$AC13-'SK-ratios'!$AA13))/LOG('SK-ratios'!$U13),IF('SK-ratios'!CN13&gt;'SK-ratios'!$Y13,5-5*LOG(1+('SK-ratios'!$U13-1)*('SK-ratios'!CN13-'SK-ratios'!$AA13)/('SK-ratios'!$Y13-'SK-ratios'!$AA13))/LOG('SK-ratios'!$U13),0)))</f>
        <v>6.8734948958311008</v>
      </c>
      <c r="CF10" s="455">
        <f t="array" ref="CF10">IF('SK-ratios'!CO13&gt;'SK-ratios'!$AC13,10,IF('SK-ratios'!CO13&gt;='SK-ratios'!$AA13,5+5*LOG(1+('SK-ratios'!$U13-1)*('SK-ratios'!CO13-'SK-ratios'!$AA13)/('SK-ratios'!$AC13-'SK-ratios'!$AA13))/LOG('SK-ratios'!$U13),IF('SK-ratios'!CO13&gt;'SK-ratios'!$Y13,5-5*LOG(1+('SK-ratios'!$U13-1)*('SK-ratios'!CO13-'SK-ratios'!$AA13)/('SK-ratios'!$Y13-'SK-ratios'!$AA13))/LOG('SK-ratios'!$U13),0)))</f>
        <v>8.7243752714882739</v>
      </c>
      <c r="CG10" s="455">
        <f t="array" ref="CG10">IF('SK-ratios'!CP13&gt;'SK-ratios'!$AC13,10,IF('SK-ratios'!CP13&gt;='SK-ratios'!$AA13,5+5*LOG(1+('SK-ratios'!$U13-1)*('SK-ratios'!CP13-'SK-ratios'!$AA13)/('SK-ratios'!$AC13-'SK-ratios'!$AA13))/LOG('SK-ratios'!$U13),IF('SK-ratios'!CP13&gt;'SK-ratios'!$Y13,5-5*LOG(1+('SK-ratios'!$U13-1)*('SK-ratios'!CP13-'SK-ratios'!$AA13)/('SK-ratios'!$Y13-'SK-ratios'!$AA13))/LOG('SK-ratios'!$U13),0)))</f>
        <v>6.8840132614253466</v>
      </c>
      <c r="CH10" s="455">
        <f t="array" ref="CH10">IF('SK-ratios'!CQ13&gt;'SK-ratios'!$AC13,10,IF('SK-ratios'!CQ13&gt;='SK-ratios'!$AA13,5+5*LOG(1+('SK-ratios'!$U13-1)*('SK-ratios'!CQ13-'SK-ratios'!$AA13)/('SK-ratios'!$AC13-'SK-ratios'!$AA13))/LOG('SK-ratios'!$U13),IF('SK-ratios'!CQ13&gt;'SK-ratios'!$Y13,5-5*LOG(1+('SK-ratios'!$U13-1)*('SK-ratios'!CQ13-'SK-ratios'!$AA13)/('SK-ratios'!$Y13-'SK-ratios'!$AA13))/LOG('SK-ratios'!$U13),0)))</f>
        <v>9.4846278780956634</v>
      </c>
      <c r="CI10" s="455">
        <f t="array" ref="CI10">IF('SK-ratios'!CR13&gt;'SK-ratios'!$AC13,10,IF('SK-ratios'!CR13&gt;='SK-ratios'!$AA13,5+5*LOG(1+('SK-ratios'!$U13-1)*('SK-ratios'!CR13-'SK-ratios'!$AA13)/('SK-ratios'!$AC13-'SK-ratios'!$AA13))/LOG('SK-ratios'!$U13),IF('SK-ratios'!CR13&gt;'SK-ratios'!$Y13,5-5*LOG(1+('SK-ratios'!$U13-1)*('SK-ratios'!CR13-'SK-ratios'!$AA13)/('SK-ratios'!$Y13-'SK-ratios'!$AA13))/LOG('SK-ratios'!$U13),0)))</f>
        <v>8.1810155861925171</v>
      </c>
      <c r="CJ10" s="455">
        <f t="array" ref="CJ10">IF('SK-ratios'!CS13&gt;'SK-ratios'!$AC13,10,IF('SK-ratios'!CS13&gt;='SK-ratios'!$AA13,5+5*LOG(1+('SK-ratios'!$U13-1)*('SK-ratios'!CS13-'SK-ratios'!$AA13)/('SK-ratios'!$AC13-'SK-ratios'!$AA13))/LOG('SK-ratios'!$U13),IF('SK-ratios'!CS13&gt;'SK-ratios'!$Y13,5-5*LOG(1+('SK-ratios'!$U13-1)*('SK-ratios'!CS13-'SK-ratios'!$AA13)/('SK-ratios'!$Y13-'SK-ratios'!$AA13))/LOG('SK-ratios'!$U13),0)))</f>
        <v>6.8831377057976706</v>
      </c>
      <c r="CK10" s="455">
        <f t="array" ref="CK10">IF('SK-ratios'!CT13&gt;'SK-ratios'!$AC13,10,IF('SK-ratios'!CT13&gt;='SK-ratios'!$AA13,5+5*LOG(1+('SK-ratios'!$U13-1)*('SK-ratios'!CT13-'SK-ratios'!$AA13)/('SK-ratios'!$AC13-'SK-ratios'!$AA13))/LOG('SK-ratios'!$U13),IF('SK-ratios'!CT13&gt;'SK-ratios'!$Y13,5-5*LOG(1+('SK-ratios'!$U13-1)*('SK-ratios'!CT13-'SK-ratios'!$AA13)/('SK-ratios'!$Y13-'SK-ratios'!$AA13))/LOG('SK-ratios'!$U13),0)))</f>
        <v>9.7854824917859933</v>
      </c>
      <c r="CL10" s="455">
        <f t="array" ref="CL10">IF('SK-ratios'!CU13&gt;'SK-ratios'!$AC13,10,IF('SK-ratios'!CU13&gt;='SK-ratios'!$AA13,5+5*LOG(1+('SK-ratios'!$U13-1)*('SK-ratios'!CU13-'SK-ratios'!$AA13)/('SK-ratios'!$AC13-'SK-ratios'!$AA13))/LOG('SK-ratios'!$U13),IF('SK-ratios'!CU13&gt;'SK-ratios'!$Y13,5-5*LOG(1+('SK-ratios'!$U13-1)*('SK-ratios'!CU13-'SK-ratios'!$AA13)/('SK-ratios'!$Y13-'SK-ratios'!$AA13))/LOG('SK-ratios'!$U13),0)))</f>
        <v>6.8039578471735052</v>
      </c>
      <c r="CM10" s="455">
        <f t="array" ref="CM10">IF('SK-ratios'!CV13&gt;'SK-ratios'!$AC13,10,IF('SK-ratios'!CV13&gt;='SK-ratios'!$AA13,5+5*LOG(1+('SK-ratios'!$U13-1)*('SK-ratios'!CV13-'SK-ratios'!$AA13)/('SK-ratios'!$AC13-'SK-ratios'!$AA13))/LOG('SK-ratios'!$U13),IF('SK-ratios'!CV13&gt;'SK-ratios'!$Y13,5-5*LOG(1+('SK-ratios'!$U13-1)*('SK-ratios'!CV13-'SK-ratios'!$AA13)/('SK-ratios'!$Y13-'SK-ratios'!$AA13))/LOG('SK-ratios'!$U13),0)))</f>
        <v>10</v>
      </c>
      <c r="CN10" s="455">
        <f t="array" ref="CN10">IF('SK-ratios'!CW13&gt;'SK-ratios'!$AC13,10,IF('SK-ratios'!CW13&gt;='SK-ratios'!$AA13,5+5*LOG(1+('SK-ratios'!$U13-1)*('SK-ratios'!CW13-'SK-ratios'!$AA13)/('SK-ratios'!$AC13-'SK-ratios'!$AA13))/LOG('SK-ratios'!$U13),IF('SK-ratios'!CW13&gt;'SK-ratios'!$Y13,5-5*LOG(1+('SK-ratios'!$U13-1)*('SK-ratios'!CW13-'SK-ratios'!$AA13)/('SK-ratios'!$Y13-'SK-ratios'!$AA13))/LOG('SK-ratios'!$U13),0)))</f>
        <v>6.3928117939545501</v>
      </c>
      <c r="CO10" s="455">
        <f t="array" ref="CO10">IF('SK-ratios'!CX13&gt;'SK-ratios'!$AC13,10,IF('SK-ratios'!CX13&gt;='SK-ratios'!$AA13,5+5*LOG(1+('SK-ratios'!$U13-1)*('SK-ratios'!CX13-'SK-ratios'!$AA13)/('SK-ratios'!$AC13-'SK-ratios'!$AA13))/LOG('SK-ratios'!$U13),IF('SK-ratios'!CX13&gt;'SK-ratios'!$Y13,5-5*LOG(1+('SK-ratios'!$U13-1)*('SK-ratios'!CX13-'SK-ratios'!$AA13)/('SK-ratios'!$Y13-'SK-ratios'!$AA13))/LOG('SK-ratios'!$U13),0)))</f>
        <v>6.7990751492137038</v>
      </c>
      <c r="CP10" s="455">
        <f t="array" ref="CP10">IF('SK-ratios'!CY13&gt;'SK-ratios'!$AC13,10,IF('SK-ratios'!CY13&gt;='SK-ratios'!$AA13,5+5*LOG(1+('SK-ratios'!$U13-1)*('SK-ratios'!CY13-'SK-ratios'!$AA13)/('SK-ratios'!$AC13-'SK-ratios'!$AA13))/LOG('SK-ratios'!$U13),IF('SK-ratios'!CY13&gt;'SK-ratios'!$Y13,5-5*LOG(1+('SK-ratios'!$U13-1)*('SK-ratios'!CY13-'SK-ratios'!$AA13)/('SK-ratios'!$Y13-'SK-ratios'!$AA13))/LOG('SK-ratios'!$U13),0)))</f>
        <v>7.3458567601512019</v>
      </c>
      <c r="CQ10" s="455">
        <f t="array" ref="CQ10">IF('SK-ratios'!CZ13&gt;'SK-ratios'!$AC13,10,IF('SK-ratios'!CZ13&gt;='SK-ratios'!$AA13,5+5*LOG(1+('SK-ratios'!$U13-1)*('SK-ratios'!CZ13-'SK-ratios'!$AA13)/('SK-ratios'!$AC13-'SK-ratios'!$AA13))/LOG('SK-ratios'!$U13),IF('SK-ratios'!CZ13&gt;'SK-ratios'!$Y13,5-5*LOG(1+('SK-ratios'!$U13-1)*('SK-ratios'!CZ13-'SK-ratios'!$AA13)/('SK-ratios'!$Y13-'SK-ratios'!$AA13))/LOG('SK-ratios'!$U13),0)))</f>
        <v>10</v>
      </c>
      <c r="CR10" s="455">
        <f t="array" ref="CR10">IF('SK-ratios'!DA13&gt;'SK-ratios'!$AC13,10,IF('SK-ratios'!DA13&gt;='SK-ratios'!$AA13,5+5*LOG(1+('SK-ratios'!$U13-1)*('SK-ratios'!DA13-'SK-ratios'!$AA13)/('SK-ratios'!$AC13-'SK-ratios'!$AA13))/LOG('SK-ratios'!$U13),IF('SK-ratios'!DA13&gt;'SK-ratios'!$Y13,5-5*LOG(1+('SK-ratios'!$U13-1)*('SK-ratios'!DA13-'SK-ratios'!$AA13)/('SK-ratios'!$Y13-'SK-ratios'!$AA13))/LOG('SK-ratios'!$U13),0)))</f>
        <v>8.3892147962596404</v>
      </c>
      <c r="CS10" s="455">
        <f t="array" ref="CS10">IF('SK-ratios'!DB13&gt;'SK-ratios'!$AC13,10,IF('SK-ratios'!DB13&gt;='SK-ratios'!$AA13,5+5*LOG(1+('SK-ratios'!$U13-1)*('SK-ratios'!DB13-'SK-ratios'!$AA13)/('SK-ratios'!$AC13-'SK-ratios'!$AA13))/LOG('SK-ratios'!$U13),IF('SK-ratios'!DB13&gt;'SK-ratios'!$Y13,5-5*LOG(1+('SK-ratios'!$U13-1)*('SK-ratios'!DB13-'SK-ratios'!$AA13)/('SK-ratios'!$Y13-'SK-ratios'!$AA13))/LOG('SK-ratios'!$U13),0)))</f>
        <v>6.9731579561714359</v>
      </c>
      <c r="CT10" s="455">
        <f t="array" ref="CT10">IF('SK-ratios'!DC13&gt;'SK-ratios'!$AC13,10,IF('SK-ratios'!DC13&gt;='SK-ratios'!$AA13,5+5*LOG(1+('SK-ratios'!$U13-1)*('SK-ratios'!DC13-'SK-ratios'!$AA13)/('SK-ratios'!$AC13-'SK-ratios'!$AA13))/LOG('SK-ratios'!$U13),IF('SK-ratios'!DC13&gt;'SK-ratios'!$Y13,5-5*LOG(1+('SK-ratios'!$U13-1)*('SK-ratios'!DC13-'SK-ratios'!$AA13)/('SK-ratios'!$Y13-'SK-ratios'!$AA13))/LOG('SK-ratios'!$U13),0)))</f>
        <v>10</v>
      </c>
      <c r="CU10" s="455">
        <f t="array" ref="CU10">IF('SK-ratios'!DD13&gt;'SK-ratios'!$AC13,10,IF('SK-ratios'!DD13&gt;='SK-ratios'!$AA13,5+5*LOG(1+('SK-ratios'!$U13-1)*('SK-ratios'!DD13-'SK-ratios'!$AA13)/('SK-ratios'!$AC13-'SK-ratios'!$AA13))/LOG('SK-ratios'!$U13),IF('SK-ratios'!DD13&gt;'SK-ratios'!$Y13,5-5*LOG(1+('SK-ratios'!$U13-1)*('SK-ratios'!DD13-'SK-ratios'!$AA13)/('SK-ratios'!$Y13-'SK-ratios'!$AA13))/LOG('SK-ratios'!$U13),0)))</f>
        <v>5.6834954196591223</v>
      </c>
      <c r="CV10" s="455">
        <f t="array" ref="CV10">IF('SK-ratios'!DE13&gt;'SK-ratios'!$AC13,10,IF('SK-ratios'!DE13&gt;='SK-ratios'!$AA13,5+5*LOG(1+('SK-ratios'!$U13-1)*('SK-ratios'!DE13-'SK-ratios'!$AA13)/('SK-ratios'!$AC13-'SK-ratios'!$AA13))/LOG('SK-ratios'!$U13),IF('SK-ratios'!DE13&gt;'SK-ratios'!$Y13,5-5*LOG(1+('SK-ratios'!$U13-1)*('SK-ratios'!DE13-'SK-ratios'!$AA13)/('SK-ratios'!$Y13-'SK-ratios'!$AA13))/LOG('SK-ratios'!$U13),0)))</f>
        <v>9.4489397343973263</v>
      </c>
      <c r="CW10" s="455">
        <f t="array" ref="CW10">IF('SK-ratios'!DF13&gt;'SK-ratios'!$AC13,10,IF('SK-ratios'!DF13&gt;='SK-ratios'!$AA13,5+5*LOG(1+('SK-ratios'!$U13-1)*('SK-ratios'!DF13-'SK-ratios'!$AA13)/('SK-ratios'!$AC13-'SK-ratios'!$AA13))/LOG('SK-ratios'!$U13),IF('SK-ratios'!DF13&gt;'SK-ratios'!$Y13,5-5*LOG(1+('SK-ratios'!$U13-1)*('SK-ratios'!DF13-'SK-ratios'!$AA13)/('SK-ratios'!$Y13-'SK-ratios'!$AA13))/LOG('SK-ratios'!$U13),0)))</f>
        <v>5.055310492455269</v>
      </c>
      <c r="CX10" s="455">
        <f t="array" ref="CX10">IF('SK-ratios'!DG13&gt;'SK-ratios'!$AC13,10,IF('SK-ratios'!DG13&gt;='SK-ratios'!$AA13,5+5*LOG(1+('SK-ratios'!$U13-1)*('SK-ratios'!DG13-'SK-ratios'!$AA13)/('SK-ratios'!$AC13-'SK-ratios'!$AA13))/LOG('SK-ratios'!$U13),IF('SK-ratios'!DG13&gt;'SK-ratios'!$Y13,5-5*LOG(1+('SK-ratios'!$U13-1)*('SK-ratios'!DG13-'SK-ratios'!$AA13)/('SK-ratios'!$Y13-'SK-ratios'!$AA13))/LOG('SK-ratios'!$U13),0)))</f>
        <v>3.0248172757745557</v>
      </c>
      <c r="DA10" s="456">
        <f t="array" ref="DA10">SUMPRODUCT(IF(($W$3:$CX$3=DA$3)*($W$2:$CX$2=DA$2),$W10:$CX10),IF(($W$3:$CX$3=DA$3)*($W$2:$CX$2=DA$2),$W$19:$CX$19))/SUM(IF(($W$3:$CX$3=DA$3)*($W$2:$CX$2=DA$2),$W$19:$CX$19))</f>
        <v>7.1820081620501846</v>
      </c>
      <c r="DB10" s="456">
        <f t="array" ref="DB10">SUMPRODUCT(IF(($W$3:$CX$3=DB$3)*($W$2:$CX$2=DB$2),$W10:$CX10),IF(($W$3:$CX$3=DB$3)*($W$2:$CX$2=DB$2),$W$19:$CX$19))/SUM(IF(($W$3:$CX$3=DB$3)*($W$2:$CX$2=DB$2),$W$19:$CX$19))</f>
        <v>9.4646939070922329</v>
      </c>
      <c r="DC10" s="456">
        <f t="array" ref="DC10">SUMPRODUCT(IF(($W$3:$CX$3=DC$3)*($W$2:$CX$2=DC$2),$W10:$CX10),IF(($W$3:$CX$3=DC$3)*($W$2:$CX$2=DC$2),$W$19:$CX$19))/SUM(IF(($W$3:$CX$3=DC$3)*($W$2:$CX$2=DC$2),$W$19:$CX$19))</f>
        <v>6.3137441341889833</v>
      </c>
      <c r="DD10" s="456">
        <f t="array" ref="DD10">SUMPRODUCT(IF(($W$3:$CX$3=DD$3)*($W$2:$CX$2=DD$2),$W10:$CX10),IF(($W$3:$CX$3=DD$3)*($W$2:$CX$2=DD$2),$W$19:$CX$19))/SUM(IF(($W$3:$CX$3=DD$3)*($W$2:$CX$2=DD$2),$W$19:$CX$19))</f>
        <v>6.0645410982623424</v>
      </c>
      <c r="DE10" s="456">
        <f t="array" ref="DE10">SUMPRODUCT(IF(($W$3:$CX$3=DE$3)*($W$2:$CX$2=DE$2),$W10:$CX10),IF(($W$3:$CX$3=DE$3)*($W$2:$CX$2=DE$2),$W$19:$CX$19))/SUM(IF(($W$3:$CX$3=DE$3)*($W$2:$CX$2=DE$2),$W$19:$CX$19))</f>
        <v>8.3129652652398693</v>
      </c>
      <c r="DF10" s="456">
        <f t="array" ref="DF10">SUMPRODUCT(IF(($W$3:$CX$3=DF$3)*($W$2:$CX$2=DF$2),$W10:$CX10),IF(($W$3:$CX$3=DF$3)*($W$2:$CX$2=DF$2),$W$19:$CX$19))/SUM(IF(($W$3:$CX$3=DF$3)*($W$2:$CX$2=DF$2),$W$19:$CX$19))</f>
        <v>6.1142535955256747</v>
      </c>
      <c r="DG10" s="456">
        <f t="array" ref="DG10">SUMPRODUCT(IF(($W$3:$CX$3=DG$3)*($W$2:$CX$2=DG$2),$W10:$CX10),IF(($W$3:$CX$3=DG$3)*($W$2:$CX$2=DG$2),$W$19:$CX$19))/SUM(IF(($W$3:$CX$3=DG$3)*($W$2:$CX$2=DG$2),$W$19:$CX$19))</f>
        <v>6.8405691587922766</v>
      </c>
      <c r="DH10" s="456">
        <f t="array" ref="DH10">SUMPRODUCT(IF(($W$3:$CX$3=DH$3)*($W$2:$CX$2=DH$2),$W10:$CX10),IF(($W$3:$CX$3=DH$3)*($W$2:$CX$2=DH$2),$W$19:$CX$19))/SUM(IF(($W$3:$CX$3=DH$3)*($W$2:$CX$2=DH$2),$W$19:$CX$19))</f>
        <v>7.630634944751475</v>
      </c>
      <c r="DI10" s="456">
        <f t="array" ref="DI10">SUMPRODUCT(IF(($W$3:$CX$3=DI$3)*($W$2:$CX$2=DI$2),$W10:$CX10),IF(($W$3:$CX$3=DI$3)*($W$2:$CX$2=DI$2),$W$19:$CX$19))/SUM(IF(($W$3:$CX$3=DI$3)*($W$2:$CX$2=DI$2),$W$19:$CX$19))</f>
        <v>6.7532708550203342</v>
      </c>
      <c r="DJ10" s="456">
        <f t="array" ref="DJ10">SUMPRODUCT(IF(($W$3:$CX$3=DJ$3)*($W$2:$CX$2=DJ$2),$W10:$CX10),IF(($W$3:$CX$3=DJ$3)*($W$2:$CX$2=DJ$2),$W$19:$CX$19))/SUM(IF(($W$3:$CX$3=DJ$3)*($W$2:$CX$2=DJ$2),$W$19:$CX$19))</f>
        <v>8.9394145963921474</v>
      </c>
      <c r="DK10" s="456">
        <f t="array" ref="DK10">SUMPRODUCT(IF(($W$3:$CX$3=DK$3)*1,$W10:$CX10),IF(($W$3:$CX$3=DK$3)*1,$W$19:$CX$19))/SUM(IF(($W$3:$CX$3=DK$3)*1,$W$19:$CX$19))</f>
        <v>8.0347159433240947</v>
      </c>
      <c r="DL10" s="456">
        <f t="array" ref="DL10">SUMPRODUCT(IF(($W$3:$CX$3=DL$3)*1,$W10:$CX10),IF(($W$3:$CX$3=DL$3)*1,$W$19:$CX$19))/SUM(IF(($W$3:$CX$3=DL$3)*1,$W$19:$CX$19))</f>
        <v>6.9026335420373623</v>
      </c>
      <c r="DM10" s="456">
        <f t="array" ref="DM10">SUMPRODUCT(IF(($W$3:$CX$3=DM$3)*1,$W10:$CX10),IF(($W$3:$CX$3=DM$3)*1,$W$19:$CX$19))/SUM(IF(($W$3:$CX$3=DM$3)*1,$W$19:$CX$19))</f>
        <v>6.2826051586430482</v>
      </c>
      <c r="DN10" s="456">
        <f t="array" ref="DN10">SUMPRODUCT(IF(1*($W$2:$CX$2=DN$2),$W10:$CX10),IF(1*($W$2:$CX$2=DN$2),$W$19:$CX$19))/SUM(IF(1*($W$2:$CX$2=DN$2),$W$19:$CX$19))</f>
        <v>7.1499763029775449</v>
      </c>
      <c r="DO10" s="456">
        <f t="array" ref="DO10">SUMPRODUCT(IF(1*($W$2:$CX$2=DO$2),$W10:$CX10),IF(1*($W$2:$CX$2=DO$2),$W$19:$CX$19))/SUM(IF(1*($W$2:$CX$2=DO$2),$W$19:$CX$19))</f>
        <v>7.2263715055447566</v>
      </c>
      <c r="DP10" s="456">
        <f t="array" ref="DP10">SUMPRODUCT(IF(1*1,$W10:$CX10),IF(1*1,$W$19:$CX$19))/SUM(IF(1*1,$W$19:$CX$19))</f>
        <v>7.1787383109822596</v>
      </c>
    </row>
    <row r="11" spans="1:120" s="463" customFormat="1" ht="15.75" customHeight="1" thickBot="1" x14ac:dyDescent="0.3">
      <c r="A11" s="641"/>
      <c r="B11" s="670"/>
      <c r="C11" s="647" t="str">
        <f>'MD-ratings-year'!C11:E11</f>
        <v>Profitability total</v>
      </c>
      <c r="D11" s="648"/>
      <c r="E11" s="649"/>
      <c r="F11" s="424" t="s">
        <v>400</v>
      </c>
      <c r="G11" s="653"/>
      <c r="H11" s="270"/>
      <c r="I11" s="270"/>
      <c r="J11" s="270"/>
      <c r="K11" s="271"/>
      <c r="L11" s="271"/>
      <c r="M11" s="271"/>
      <c r="N11" s="271"/>
      <c r="O11" s="271"/>
      <c r="P11" s="271"/>
      <c r="Q11" s="271"/>
      <c r="R11" s="271"/>
      <c r="S11" s="270"/>
      <c r="T11" s="270"/>
      <c r="U11" s="270"/>
      <c r="V11" s="254"/>
      <c r="W11" s="462">
        <f>SUMPRODUCT(W8:W10,$C8:$C10)/SUM($C8:$C10)</f>
        <v>4.7443344937006415</v>
      </c>
      <c r="X11" s="462">
        <f t="shared" ref="X11:CI11" si="2">SUMPRODUCT(X8:X10,$C8:$C10)/SUM($C8:$C10)</f>
        <v>6.1043387839695136</v>
      </c>
      <c r="Y11" s="462">
        <f t="shared" si="2"/>
        <v>6.0400246523061449</v>
      </c>
      <c r="Z11" s="462">
        <f t="shared" si="2"/>
        <v>7.9034940437644483</v>
      </c>
      <c r="AA11" s="462">
        <f t="shared" si="2"/>
        <v>9.2654134484857114</v>
      </c>
      <c r="AB11" s="462">
        <f t="shared" si="2"/>
        <v>5.0343360925382354</v>
      </c>
      <c r="AC11" s="462">
        <f t="shared" si="2"/>
        <v>6.9675445635465643</v>
      </c>
      <c r="AD11" s="462">
        <f t="shared" si="2"/>
        <v>9.3111200459917676</v>
      </c>
      <c r="AE11" s="462">
        <f t="shared" si="2"/>
        <v>7.1956671244012949</v>
      </c>
      <c r="AF11" s="462">
        <f t="shared" si="2"/>
        <v>3.4905105305932458</v>
      </c>
      <c r="AG11" s="462">
        <f t="shared" si="2"/>
        <v>9.5879389872996477</v>
      </c>
      <c r="AH11" s="462">
        <f t="shared" si="2"/>
        <v>0.77602184545856989</v>
      </c>
      <c r="AI11" s="462">
        <f t="shared" si="2"/>
        <v>9.1406027257610827</v>
      </c>
      <c r="AJ11" s="462">
        <f t="shared" si="2"/>
        <v>8.3962472578959098</v>
      </c>
      <c r="AK11" s="462">
        <f t="shared" si="2"/>
        <v>7.2938081153484955</v>
      </c>
      <c r="AL11" s="462">
        <f t="shared" si="2"/>
        <v>10</v>
      </c>
      <c r="AM11" s="462">
        <f t="shared" si="2"/>
        <v>9.882339927239963</v>
      </c>
      <c r="AN11" s="462">
        <f t="shared" si="2"/>
        <v>7.1253904067582958</v>
      </c>
      <c r="AO11" s="462">
        <f t="shared" si="2"/>
        <v>0.2383215162882043</v>
      </c>
      <c r="AP11" s="462">
        <f t="shared" si="2"/>
        <v>8.6510634275618141</v>
      </c>
      <c r="AQ11" s="462">
        <f t="shared" si="2"/>
        <v>8.3035580518422769</v>
      </c>
      <c r="AR11" s="462">
        <f t="shared" si="2"/>
        <v>6.0934132945666022</v>
      </c>
      <c r="AS11" s="462">
        <f t="shared" si="2"/>
        <v>7.0560988941199447</v>
      </c>
      <c r="AT11" s="462">
        <f t="shared" si="2"/>
        <v>0.44736056628839371</v>
      </c>
      <c r="AU11" s="462">
        <f t="shared" si="2"/>
        <v>1.2491708723338686</v>
      </c>
      <c r="AV11" s="462">
        <f t="shared" si="2"/>
        <v>8.8632782505265322</v>
      </c>
      <c r="AW11" s="462">
        <f t="shared" si="2"/>
        <v>1.443409075440502</v>
      </c>
      <c r="AX11" s="462">
        <f t="shared" si="2"/>
        <v>1.5731108974492098</v>
      </c>
      <c r="AY11" s="462">
        <f t="shared" si="2"/>
        <v>3.2080058274600534</v>
      </c>
      <c r="AZ11" s="462">
        <f t="shared" si="2"/>
        <v>8.3565232223033359</v>
      </c>
      <c r="BA11" s="462">
        <f t="shared" si="2"/>
        <v>1.0604913527676247</v>
      </c>
      <c r="BB11" s="462">
        <f t="shared" si="2"/>
        <v>7.5815265565263115</v>
      </c>
      <c r="BC11" s="462">
        <f t="shared" si="2"/>
        <v>8.4455585701143256</v>
      </c>
      <c r="BD11" s="462">
        <f t="shared" si="2"/>
        <v>8.2029732675178764</v>
      </c>
      <c r="BE11" s="462">
        <f t="shared" si="2"/>
        <v>7.048574147663544</v>
      </c>
      <c r="BF11" s="462">
        <f t="shared" si="2"/>
        <v>5.1200999256940447</v>
      </c>
      <c r="BG11" s="462">
        <f t="shared" si="2"/>
        <v>9.601145902049236</v>
      </c>
      <c r="BH11" s="462">
        <f t="shared" si="2"/>
        <v>7.545826134342426</v>
      </c>
      <c r="BI11" s="462">
        <f t="shared" si="2"/>
        <v>4.1568259818178213</v>
      </c>
      <c r="BJ11" s="462">
        <f t="shared" si="2"/>
        <v>8.4517518913422283</v>
      </c>
      <c r="BK11" s="462">
        <f t="shared" si="2"/>
        <v>0.64517412017891573</v>
      </c>
      <c r="BL11" s="462">
        <f t="shared" si="2"/>
        <v>5.6696788654032426</v>
      </c>
      <c r="BM11" s="462">
        <f t="shared" si="2"/>
        <v>7.2341325379288346</v>
      </c>
      <c r="BN11" s="462">
        <f t="shared" si="2"/>
        <v>6.6917694713942826</v>
      </c>
      <c r="BO11" s="462">
        <f t="shared" si="2"/>
        <v>9.5368731813710923</v>
      </c>
      <c r="BP11" s="462">
        <f t="shared" si="2"/>
        <v>9.2677040411044818</v>
      </c>
      <c r="BQ11" s="462">
        <f t="shared" si="2"/>
        <v>5.7567649536779957</v>
      </c>
      <c r="BR11" s="462">
        <f t="shared" si="2"/>
        <v>7.2051156777065941</v>
      </c>
      <c r="BS11" s="462">
        <f t="shared" si="2"/>
        <v>8.7045928382962003</v>
      </c>
      <c r="BT11" s="462">
        <f t="shared" si="2"/>
        <v>7.9512474448589217</v>
      </c>
      <c r="BU11" s="462">
        <f t="shared" si="2"/>
        <v>9.6067101314987724</v>
      </c>
      <c r="BV11" s="462">
        <f t="shared" si="2"/>
        <v>9.2441783841656839</v>
      </c>
      <c r="BW11" s="462">
        <f t="shared" si="2"/>
        <v>6.0860319064017769</v>
      </c>
      <c r="BX11" s="462">
        <f t="shared" si="2"/>
        <v>6.0015230659475041</v>
      </c>
      <c r="BY11" s="462">
        <f t="shared" si="2"/>
        <v>9.8521752772843882</v>
      </c>
      <c r="BZ11" s="462">
        <f t="shared" si="2"/>
        <v>3.0712993073419534</v>
      </c>
      <c r="CA11" s="462">
        <f t="shared" si="2"/>
        <v>8.2774592377147513</v>
      </c>
      <c r="CB11" s="462">
        <f t="shared" si="2"/>
        <v>6.5453511020196427</v>
      </c>
      <c r="CC11" s="462">
        <f t="shared" si="2"/>
        <v>6.9734949910870689</v>
      </c>
      <c r="CD11" s="462">
        <f t="shared" si="2"/>
        <v>9.0860563755726655</v>
      </c>
      <c r="CE11" s="462">
        <f t="shared" si="2"/>
        <v>7.0793093803232505</v>
      </c>
      <c r="CF11" s="462">
        <f t="shared" si="2"/>
        <v>8.627042334716668</v>
      </c>
      <c r="CG11" s="462">
        <f t="shared" si="2"/>
        <v>7.3587098910970123</v>
      </c>
      <c r="CH11" s="462">
        <f t="shared" si="2"/>
        <v>9.0194189230713722</v>
      </c>
      <c r="CI11" s="462">
        <f t="shared" si="2"/>
        <v>8.0726976629359761</v>
      </c>
      <c r="CJ11" s="462">
        <f t="shared" ref="CJ11:CX11" si="3">SUMPRODUCT(CJ8:CJ10,$C8:$C10)/SUM($C8:$C10)</f>
        <v>8.7532550823190682</v>
      </c>
      <c r="CK11" s="462">
        <f t="shared" si="3"/>
        <v>8.3480268043075139</v>
      </c>
      <c r="CL11" s="462">
        <f t="shared" si="3"/>
        <v>8.5043692568478928</v>
      </c>
      <c r="CM11" s="462">
        <f t="shared" si="3"/>
        <v>7.2122909178690726</v>
      </c>
      <c r="CN11" s="462">
        <f t="shared" si="3"/>
        <v>5.715909689388921</v>
      </c>
      <c r="CO11" s="462">
        <f t="shared" si="3"/>
        <v>6.1241525322799033</v>
      </c>
      <c r="CP11" s="462">
        <f t="shared" si="3"/>
        <v>8.5618679198190062</v>
      </c>
      <c r="CQ11" s="462">
        <f t="shared" si="3"/>
        <v>8.6382133363932567</v>
      </c>
      <c r="CR11" s="462">
        <f t="shared" si="3"/>
        <v>8.3354450274032104</v>
      </c>
      <c r="CS11" s="462">
        <f t="shared" si="3"/>
        <v>7.3374084474469301</v>
      </c>
      <c r="CT11" s="462">
        <f t="shared" si="3"/>
        <v>9.4918846537729511</v>
      </c>
      <c r="CU11" s="462">
        <f t="shared" si="3"/>
        <v>5.4102538178053656</v>
      </c>
      <c r="CV11" s="462">
        <f t="shared" si="3"/>
        <v>7.4723929962493472</v>
      </c>
      <c r="CW11" s="462">
        <f t="shared" si="3"/>
        <v>5.0729269906975016</v>
      </c>
      <c r="CX11" s="462">
        <f t="shared" si="3"/>
        <v>3.2040642831185608</v>
      </c>
      <c r="CZ11" s="584"/>
      <c r="DA11" s="464">
        <f t="array" ref="DA11">SUMPRODUCT(IF(($W$3:$CX$3=DA$3)*($W$2:$CX$2=DA$2),$W11:$CX11),IF(($W$3:$CX$3=DA$3)*($W$2:$CX$2=DA$2),$W$19:$CX$19))/SUM(IF(($W$3:$CX$3=DA$3)*($W$2:$CX$2=DA$2),$W$19:$CX$19))</f>
        <v>6.7731413952056849</v>
      </c>
      <c r="DB11" s="464">
        <f t="array" ref="DB11">SUMPRODUCT(IF(($W$3:$CX$3=DB$3)*($W$2:$CX$2=DB$2),$W11:$CX11),IF(($W$3:$CX$3=DB$3)*($W$2:$CX$2=DB$2),$W$19:$CX$19))/SUM(IF(($W$3:$CX$3=DB$3)*($W$2:$CX$2=DB$2),$W$19:$CX$19))</f>
        <v>9.2294030495459136</v>
      </c>
      <c r="DC11" s="464">
        <f t="array" ref="DC11">SUMPRODUCT(IF(($W$3:$CX$3=DC$3)*($W$2:$CX$2=DC$2),$W11:$CX11),IF(($W$3:$CX$3=DC$3)*($W$2:$CX$2=DC$2),$W$19:$CX$19))/SUM(IF(($W$3:$CX$3=DC$3)*($W$2:$CX$2=DC$2),$W$19:$CX$19))</f>
        <v>5.7900734021693019</v>
      </c>
      <c r="DD11" s="464">
        <f t="array" ref="DD11">SUMPRODUCT(IF(($W$3:$CX$3=DD$3)*($W$2:$CX$2=DD$2),$W11:$CX11),IF(($W$3:$CX$3=DD$3)*($W$2:$CX$2=DD$2),$W$19:$CX$19))/SUM(IF(($W$3:$CX$3=DD$3)*($W$2:$CX$2=DD$2),$W$19:$CX$19))</f>
        <v>6.126864840280442</v>
      </c>
      <c r="DE11" s="464">
        <f t="array" ref="DE11">SUMPRODUCT(IF(($W$3:$CX$3=DE$3)*($W$2:$CX$2=DE$2),$W11:$CX11),IF(($W$3:$CX$3=DE$3)*($W$2:$CX$2=DE$2),$W$19:$CX$19))/SUM(IF(($W$3:$CX$3=DE$3)*($W$2:$CX$2=DE$2),$W$19:$CX$19))</f>
        <v>7.8529308727236549</v>
      </c>
      <c r="DF11" s="464">
        <f t="array" ref="DF11">SUMPRODUCT(IF(($W$3:$CX$3=DF$3)*($W$2:$CX$2=DF$2),$W11:$CX11),IF(($W$3:$CX$3=DF$3)*($W$2:$CX$2=DF$2),$W$19:$CX$19))/SUM(IF(($W$3:$CX$3=DF$3)*($W$2:$CX$2=DF$2),$W$19:$CX$19))</f>
        <v>6.5232297236330314</v>
      </c>
      <c r="DG11" s="464">
        <f t="array" ref="DG11">SUMPRODUCT(IF(($W$3:$CX$3=DG$3)*($W$2:$CX$2=DG$2),$W11:$CX11),IF(($W$3:$CX$3=DG$3)*($W$2:$CX$2=DG$2),$W$19:$CX$19))/SUM(IF(($W$3:$CX$3=DG$3)*($W$2:$CX$2=DG$2),$W$19:$CX$19))</f>
        <v>7.7617637938768347</v>
      </c>
      <c r="DH11" s="464">
        <f t="array" ref="DH11">SUMPRODUCT(IF(($W$3:$CX$3=DH$3)*($W$2:$CX$2=DH$2),$W11:$CX11),IF(($W$3:$CX$3=DH$3)*($W$2:$CX$2=DH$2),$W$19:$CX$19))/SUM(IF(($W$3:$CX$3=DH$3)*($W$2:$CX$2=DH$2),$W$19:$CX$19))</f>
        <v>7.7129212868093528</v>
      </c>
      <c r="DI11" s="464">
        <f t="array" ref="DI11">SUMPRODUCT(IF(($W$3:$CX$3=DI$3)*($W$2:$CX$2=DI$2),$W11:$CX11),IF(($W$3:$CX$3=DI$3)*($W$2:$CX$2=DI$2),$W$19:$CX$19))/SUM(IF(($W$3:$CX$3=DI$3)*($W$2:$CX$2=DI$2),$W$19:$CX$19))</f>
        <v>7.4185128379831848</v>
      </c>
      <c r="DJ11" s="464">
        <f t="array" ref="DJ11">SUMPRODUCT(IF(($W$3:$CX$3=DJ$3)*($W$2:$CX$2=DJ$2),$W11:$CX11),IF(($W$3:$CX$3=DJ$3)*($W$2:$CX$2=DJ$2),$W$19:$CX$19))/SUM(IF(($W$3:$CX$3=DJ$3)*($W$2:$CX$2=DJ$2),$W$19:$CX$19))</f>
        <v>9.1880416349304816</v>
      </c>
      <c r="DK11" s="464">
        <f t="array" ref="DK11">SUMPRODUCT(IF(($W$3:$CX$3=DK$3)*1,$W11:$CX11),IF(($W$3:$CX$3=DK$3)*1,$W$19:$CX$19))/SUM(IF(($W$3:$CX$3=DK$3)*1,$W$19:$CX$19))</f>
        <v>8.4296347474758644</v>
      </c>
      <c r="DL11" s="464">
        <f t="array" ref="DL11">SUMPRODUCT(IF(($W$3:$CX$3=DL$3)*1,$W11:$CX11),IF(($W$3:$CX$3=DL$3)*1,$W$19:$CX$19))/SUM(IF(($W$3:$CX$3=DL$3)*1,$W$19:$CX$19))</f>
        <v>6.6499356952963424</v>
      </c>
      <c r="DM11" s="464">
        <f t="array" ref="DM11">SUMPRODUCT(IF(($W$3:$CX$3=DM$3)*1,$W11:$CX11),IF(($W$3:$CX$3=DM$3)*1,$W$19:$CX$19))/SUM(IF(($W$3:$CX$3=DM$3)*1,$W$19:$CX$19))</f>
        <v>6.5358235126739741</v>
      </c>
      <c r="DN11" s="464">
        <f t="array" ref="DN11">SUMPRODUCT(IF(1*($W$2:$CX$2=DN$2),$W11:$CX11),IF(1*($W$2:$CX$2=DN$2),$W$19:$CX$19))/SUM(IF(1*($W$2:$CX$2=DN$2),$W$19:$CX$19))</f>
        <v>6.9879567131503348</v>
      </c>
      <c r="DO11" s="464">
        <f t="array" ref="DO11">SUMPRODUCT(IF(1*($W$2:$CX$2=DO$2),$W11:$CX11),IF(1*($W$2:$CX$2=DO$2),$W$19:$CX$19))/SUM(IF(1*($W$2:$CX$2=DO$2),$W$19:$CX$19))</f>
        <v>7.7760370163260726</v>
      </c>
      <c r="DP11" s="464">
        <f t="array" ref="DP11">SUMPRODUCT(IF(1*1,$W11:$CX11),IF(1*1,$W$19:$CX$19))/SUM(IF(1*1,$W$19:$CX$19))</f>
        <v>7.2846608415064811</v>
      </c>
    </row>
    <row r="12" spans="1:120" s="429" customFormat="1" ht="15.75" customHeight="1" thickBot="1" x14ac:dyDescent="0.3">
      <c r="A12" s="639">
        <f>'MD-ratings-year'!A12</f>
        <v>0.3</v>
      </c>
      <c r="B12" s="668" t="str">
        <f>'MD-ratings-year'!B12</f>
        <v>Leverage</v>
      </c>
      <c r="C12" s="418">
        <f>'MD-ratings-year'!C12</f>
        <v>0.15</v>
      </c>
      <c r="D12" s="419" t="str">
        <f>'MD-ratings-year'!D12</f>
        <v>Total Debt to Total Assets</v>
      </c>
      <c r="E12" s="420" t="str">
        <f>'MD-ratings-year'!E12</f>
        <v>Total Debt ÷ Total Assets</v>
      </c>
      <c r="F12" s="421" t="s">
        <v>400</v>
      </c>
      <c r="G12" s="653"/>
      <c r="H12" s="259"/>
      <c r="I12" s="576">
        <f>'SK-ratios'!U15</f>
        <v>47.086287214144001</v>
      </c>
      <c r="J12" s="259"/>
      <c r="K12" s="260">
        <f>'MD-ratings-year'!P12</f>
        <v>0.42915244238690342</v>
      </c>
      <c r="L12" s="567">
        <f>'MD-ratings-year'!Q12</f>
        <v>7.2526757140747924E-2</v>
      </c>
      <c r="M12" s="567">
        <f>'MD-ratings-year'!R12</f>
        <v>2.2741136275318621E-2</v>
      </c>
      <c r="N12" s="567">
        <f>'MD-ratings-year'!S12</f>
        <v>7.1305997880064496E-3</v>
      </c>
      <c r="O12" s="260">
        <f>'MD-ratings-year'!T12</f>
        <v>0</v>
      </c>
      <c r="P12" s="260"/>
      <c r="Q12" s="260"/>
      <c r="R12" s="260"/>
      <c r="S12" s="259"/>
      <c r="T12" s="259"/>
      <c r="U12" s="259"/>
      <c r="V12" s="261"/>
      <c r="W12" s="454">
        <f>IF('SK-ratios'!AF15&lt;0,IF(ABS('SK-ratios'!AF15)&gt;'SK-ratios'!$Y15,0,10-10*LOG(1+('SK-ratios'!$U15-1)*(ABS('SK-ratios'!AF15)-'SK-ratios'!$AC15)/('SK-ratios'!$Y15-'SK-ratios'!$AC15))/LOG('SK-ratios'!$U15))/2,IF('SK-ratios'!AF15&gt;'SK-ratios'!$Y15,0,10-10*LOG(1+('SK-ratios'!$U15-1)*('SK-ratios'!AF15-'SK-ratios'!$AC15)/('SK-ratios'!$Y15-'SK-ratios'!$AC15))/LOG('SK-ratios'!$U15)))</f>
        <v>3.8357540524917182</v>
      </c>
      <c r="X12" s="454">
        <f>IF('SK-ratios'!AG15&lt;0,IF(ABS('SK-ratios'!AG15)&gt;'SK-ratios'!$Y15,0,10-10*LOG(1+('SK-ratios'!$U15-1)*(ABS('SK-ratios'!AG15)-'SK-ratios'!$AC15)/('SK-ratios'!$Y15-'SK-ratios'!$AC15))/LOG('SK-ratios'!$U15))/2,IF('SK-ratios'!AG15&gt;'SK-ratios'!$Y15,0,10-10*LOG(1+('SK-ratios'!$U15-1)*('SK-ratios'!AG15-'SK-ratios'!$AC15)/('SK-ratios'!$Y15-'SK-ratios'!$AC15))/LOG('SK-ratios'!$U15)))</f>
        <v>6.8533755045032478</v>
      </c>
      <c r="Y12" s="454">
        <f>IF('SK-ratios'!AH15&lt;0,IF(ABS('SK-ratios'!AH15)&gt;'SK-ratios'!$Y15,0,10-10*LOG(1+('SK-ratios'!$U15-1)*(ABS('SK-ratios'!AH15)-'SK-ratios'!$AC15)/('SK-ratios'!$Y15-'SK-ratios'!$AC15))/LOG('SK-ratios'!$U15))/2,IF('SK-ratios'!AH15&gt;'SK-ratios'!$Y15,0,10-10*LOG(1+('SK-ratios'!$U15-1)*('SK-ratios'!AH15-'SK-ratios'!$AC15)/('SK-ratios'!$Y15-'SK-ratios'!$AC15))/LOG('SK-ratios'!$U15)))</f>
        <v>0</v>
      </c>
      <c r="Z12" s="454">
        <f>IF('SK-ratios'!AI15&lt;0,IF(ABS('SK-ratios'!AI15)&gt;'SK-ratios'!$Y15,0,10-10*LOG(1+('SK-ratios'!$U15-1)*(ABS('SK-ratios'!AI15)-'SK-ratios'!$AC15)/('SK-ratios'!$Y15-'SK-ratios'!$AC15))/LOG('SK-ratios'!$U15))/2,IF('SK-ratios'!AI15&gt;'SK-ratios'!$Y15,0,10-10*LOG(1+('SK-ratios'!$U15-1)*('SK-ratios'!AI15-'SK-ratios'!$AC15)/('SK-ratios'!$Y15-'SK-ratios'!$AC15))/LOG('SK-ratios'!$U15)))</f>
        <v>0</v>
      </c>
      <c r="AA12" s="454">
        <f>IF('SK-ratios'!AJ15&lt;0,IF(ABS('SK-ratios'!AJ15)&gt;'SK-ratios'!$Y15,0,10-10*LOG(1+('SK-ratios'!$U15-1)*(ABS('SK-ratios'!AJ15)-'SK-ratios'!$AC15)/('SK-ratios'!$Y15-'SK-ratios'!$AC15))/LOG('SK-ratios'!$U15))/2,IF('SK-ratios'!AJ15&gt;'SK-ratios'!$Y15,0,10-10*LOG(1+('SK-ratios'!$U15-1)*('SK-ratios'!AJ15-'SK-ratios'!$AC15)/('SK-ratios'!$Y15-'SK-ratios'!$AC15))/LOG('SK-ratios'!$U15)))</f>
        <v>0</v>
      </c>
      <c r="AB12" s="454">
        <f>IF('SK-ratios'!AK15&lt;0,IF(ABS('SK-ratios'!AK15)&gt;'SK-ratios'!$Y15,0,10-10*LOG(1+('SK-ratios'!$U15-1)*(ABS('SK-ratios'!AK15)-'SK-ratios'!$AC15)/('SK-ratios'!$Y15-'SK-ratios'!$AC15))/LOG('SK-ratios'!$U15))/2,IF('SK-ratios'!AK15&gt;'SK-ratios'!$Y15,0,10-10*LOG(1+('SK-ratios'!$U15-1)*('SK-ratios'!AK15-'SK-ratios'!$AC15)/('SK-ratios'!$Y15-'SK-ratios'!$AC15))/LOG('SK-ratios'!$U15)))</f>
        <v>3.393285023758871</v>
      </c>
      <c r="AC12" s="454">
        <f>IF('SK-ratios'!AL15&lt;0,IF(ABS('SK-ratios'!AL15)&gt;'SK-ratios'!$Y15,0,10-10*LOG(1+('SK-ratios'!$U15-1)*(ABS('SK-ratios'!AL15)-'SK-ratios'!$AC15)/('SK-ratios'!$Y15-'SK-ratios'!$AC15))/LOG('SK-ratios'!$U15))/2,IF('SK-ratios'!AL15&gt;'SK-ratios'!$Y15,0,10-10*LOG(1+('SK-ratios'!$U15-1)*('SK-ratios'!AL15-'SK-ratios'!$AC15)/('SK-ratios'!$Y15-'SK-ratios'!$AC15))/LOG('SK-ratios'!$U15)))</f>
        <v>1.768803885568861</v>
      </c>
      <c r="AD12" s="454">
        <f>IF('SK-ratios'!AM15&lt;0,IF(ABS('SK-ratios'!AM15)&gt;'SK-ratios'!$Y15,0,10-10*LOG(1+('SK-ratios'!$U15-1)*(ABS('SK-ratios'!AM15)-'SK-ratios'!$AC15)/('SK-ratios'!$Y15-'SK-ratios'!$AC15))/LOG('SK-ratios'!$U15))/2,IF('SK-ratios'!AM15&gt;'SK-ratios'!$Y15,0,10-10*LOG(1+('SK-ratios'!$U15-1)*('SK-ratios'!AM15-'SK-ratios'!$AC15)/('SK-ratios'!$Y15-'SK-ratios'!$AC15))/LOG('SK-ratios'!$U15)))</f>
        <v>0.60872762599126595</v>
      </c>
      <c r="AE12" s="454">
        <f>IF('SK-ratios'!AN15&lt;0,IF(ABS('SK-ratios'!AN15)&gt;'SK-ratios'!$Y15,0,10-10*LOG(1+('SK-ratios'!$U15-1)*(ABS('SK-ratios'!AN15)-'SK-ratios'!$AC15)/('SK-ratios'!$Y15-'SK-ratios'!$AC15))/LOG('SK-ratios'!$U15))/2,IF('SK-ratios'!AN15&gt;'SK-ratios'!$Y15,0,10-10*LOG(1+('SK-ratios'!$U15-1)*('SK-ratios'!AN15-'SK-ratios'!$AC15)/('SK-ratios'!$Y15-'SK-ratios'!$AC15))/LOG('SK-ratios'!$U15)))</f>
        <v>0</v>
      </c>
      <c r="AF12" s="454">
        <f>IF('SK-ratios'!AO15&lt;0,IF(ABS('SK-ratios'!AO15)&gt;'SK-ratios'!$Y15,0,10-10*LOG(1+('SK-ratios'!$U15-1)*(ABS('SK-ratios'!AO15)-'SK-ratios'!$AC15)/('SK-ratios'!$Y15-'SK-ratios'!$AC15))/LOG('SK-ratios'!$U15))/2,IF('SK-ratios'!AO15&gt;'SK-ratios'!$Y15,0,10-10*LOG(1+('SK-ratios'!$U15-1)*('SK-ratios'!AO15-'SK-ratios'!$AC15)/('SK-ratios'!$Y15-'SK-ratios'!$AC15))/LOG('SK-ratios'!$U15)))</f>
        <v>0</v>
      </c>
      <c r="AG12" s="454">
        <f>IF('SK-ratios'!AP15&lt;0,IF(ABS('SK-ratios'!AP15)&gt;'SK-ratios'!$Y15,0,10-10*LOG(1+('SK-ratios'!$U15-1)*(ABS('SK-ratios'!AP15)-'SK-ratios'!$AC15)/('SK-ratios'!$Y15-'SK-ratios'!$AC15))/LOG('SK-ratios'!$U15))/2,IF('SK-ratios'!AP15&gt;'SK-ratios'!$Y15,0,10-10*LOG(1+('SK-ratios'!$U15-1)*('SK-ratios'!AP15-'SK-ratios'!$AC15)/('SK-ratios'!$Y15-'SK-ratios'!$AC15))/LOG('SK-ratios'!$U15)))</f>
        <v>0.22442457055135634</v>
      </c>
      <c r="AH12" s="454">
        <f>IF('SK-ratios'!AQ15&lt;0,IF(ABS('SK-ratios'!AQ15)&gt;'SK-ratios'!$Y15,0,10-10*LOG(1+('SK-ratios'!$U15-1)*(ABS('SK-ratios'!AQ15)-'SK-ratios'!$AC15)/('SK-ratios'!$Y15-'SK-ratios'!$AC15))/LOG('SK-ratios'!$U15))/2,IF('SK-ratios'!AQ15&gt;'SK-ratios'!$Y15,0,10-10*LOG(1+('SK-ratios'!$U15-1)*('SK-ratios'!AQ15-'SK-ratios'!$AC15)/('SK-ratios'!$Y15-'SK-ratios'!$AC15))/LOG('SK-ratios'!$U15)))</f>
        <v>9.0724441026908469</v>
      </c>
      <c r="AI12" s="454">
        <f>IF('SK-ratios'!AR15&lt;0,IF(ABS('SK-ratios'!AR15)&gt;'SK-ratios'!$Y15,0,10-10*LOG(1+('SK-ratios'!$U15-1)*(ABS('SK-ratios'!AR15)-'SK-ratios'!$AC15)/('SK-ratios'!$Y15-'SK-ratios'!$AC15))/LOG('SK-ratios'!$U15))/2,IF('SK-ratios'!AR15&gt;'SK-ratios'!$Y15,0,10-10*LOG(1+('SK-ratios'!$U15-1)*('SK-ratios'!AR15-'SK-ratios'!$AC15)/('SK-ratios'!$Y15-'SK-ratios'!$AC15))/LOG('SK-ratios'!$U15)))</f>
        <v>0</v>
      </c>
      <c r="AJ12" s="454">
        <f>IF('SK-ratios'!AS15&lt;0,IF(ABS('SK-ratios'!AS15)&gt;'SK-ratios'!$Y15,0,10-10*LOG(1+('SK-ratios'!$U15-1)*(ABS('SK-ratios'!AS15)-'SK-ratios'!$AC15)/('SK-ratios'!$Y15-'SK-ratios'!$AC15))/LOG('SK-ratios'!$U15))/2,IF('SK-ratios'!AS15&gt;'SK-ratios'!$Y15,0,10-10*LOG(1+('SK-ratios'!$U15-1)*('SK-ratios'!AS15-'SK-ratios'!$AC15)/('SK-ratios'!$Y15-'SK-ratios'!$AC15))/LOG('SK-ratios'!$U15)))</f>
        <v>0</v>
      </c>
      <c r="AK12" s="454">
        <f>IF('SK-ratios'!AT15&lt;0,IF(ABS('SK-ratios'!AT15)&gt;'SK-ratios'!$Y15,0,10-10*LOG(1+('SK-ratios'!$U15-1)*(ABS('SK-ratios'!AT15)-'SK-ratios'!$AC15)/('SK-ratios'!$Y15-'SK-ratios'!$AC15))/LOG('SK-ratios'!$U15))/2,IF('SK-ratios'!AT15&gt;'SK-ratios'!$Y15,0,10-10*LOG(1+('SK-ratios'!$U15-1)*('SK-ratios'!AT15-'SK-ratios'!$AC15)/('SK-ratios'!$Y15-'SK-ratios'!$AC15))/LOG('SK-ratios'!$U15)))</f>
        <v>0</v>
      </c>
      <c r="AL12" s="454">
        <f>IF('SK-ratios'!AU15&lt;0,IF(ABS('SK-ratios'!AU15)&gt;'SK-ratios'!$Y15,0,10-10*LOG(1+('SK-ratios'!$U15-1)*(ABS('SK-ratios'!AU15)-'SK-ratios'!$AC15)/('SK-ratios'!$Y15-'SK-ratios'!$AC15))/LOG('SK-ratios'!$U15))/2,IF('SK-ratios'!AU15&gt;'SK-ratios'!$Y15,0,10-10*LOG(1+('SK-ratios'!$U15-1)*('SK-ratios'!AU15-'SK-ratios'!$AC15)/('SK-ratios'!$Y15-'SK-ratios'!$AC15))/LOG('SK-ratios'!$U15)))</f>
        <v>0</v>
      </c>
      <c r="AM12" s="454">
        <f>IF('SK-ratios'!AV15&lt;0,IF(ABS('SK-ratios'!AV15)&gt;'SK-ratios'!$Y15,0,10-10*LOG(1+('SK-ratios'!$U15-1)*(ABS('SK-ratios'!AV15)-'SK-ratios'!$AC15)/('SK-ratios'!$Y15-'SK-ratios'!$AC15))/LOG('SK-ratios'!$U15))/2,IF('SK-ratios'!AV15&gt;'SK-ratios'!$Y15,0,10-10*LOG(1+('SK-ratios'!$U15-1)*('SK-ratios'!AV15-'SK-ratios'!$AC15)/('SK-ratios'!$Y15-'SK-ratios'!$AC15))/LOG('SK-ratios'!$U15)))</f>
        <v>0</v>
      </c>
      <c r="AN12" s="454">
        <f>IF('SK-ratios'!AW15&lt;0,IF(ABS('SK-ratios'!AW15)&gt;'SK-ratios'!$Y15,0,10-10*LOG(1+('SK-ratios'!$U15-1)*(ABS('SK-ratios'!AW15)-'SK-ratios'!$AC15)/('SK-ratios'!$Y15-'SK-ratios'!$AC15))/LOG('SK-ratios'!$U15))/2,IF('SK-ratios'!AW15&gt;'SK-ratios'!$Y15,0,10-10*LOG(1+('SK-ratios'!$U15-1)*('SK-ratios'!AW15-'SK-ratios'!$AC15)/('SK-ratios'!$Y15-'SK-ratios'!$AC15))/LOG('SK-ratios'!$U15)))</f>
        <v>4.5027037827764094</v>
      </c>
      <c r="AO12" s="454">
        <f>IF('SK-ratios'!AX15&lt;0,IF(ABS('SK-ratios'!AX15)&gt;'SK-ratios'!$Y15,0,10-10*LOG(1+('SK-ratios'!$U15-1)*(ABS('SK-ratios'!AX15)-'SK-ratios'!$AC15)/('SK-ratios'!$Y15-'SK-ratios'!$AC15))/LOG('SK-ratios'!$U15))/2,IF('SK-ratios'!AX15&gt;'SK-ratios'!$Y15,0,10-10*LOG(1+('SK-ratios'!$U15-1)*('SK-ratios'!AX15-'SK-ratios'!$AC15)/('SK-ratios'!$Y15-'SK-ratios'!$AC15))/LOG('SK-ratios'!$U15)))</f>
        <v>6.6988110490628436</v>
      </c>
      <c r="AP12" s="454">
        <f>IF('SK-ratios'!AY15&lt;0,IF(ABS('SK-ratios'!AY15)&gt;'SK-ratios'!$Y15,0,10-10*LOG(1+('SK-ratios'!$U15-1)*(ABS('SK-ratios'!AY15)-'SK-ratios'!$AC15)/('SK-ratios'!$Y15-'SK-ratios'!$AC15))/LOG('SK-ratios'!$U15))/2,IF('SK-ratios'!AY15&gt;'SK-ratios'!$Y15,0,10-10*LOG(1+('SK-ratios'!$U15-1)*('SK-ratios'!AY15-'SK-ratios'!$AC15)/('SK-ratios'!$Y15-'SK-ratios'!$AC15))/LOG('SK-ratios'!$U15)))</f>
        <v>0</v>
      </c>
      <c r="AQ12" s="454">
        <f>IF('SK-ratios'!AZ15&lt;0,IF(ABS('SK-ratios'!AZ15)&gt;'SK-ratios'!$Y15,0,10-10*LOG(1+('SK-ratios'!$U15-1)*(ABS('SK-ratios'!AZ15)-'SK-ratios'!$AC15)/('SK-ratios'!$Y15-'SK-ratios'!$AC15))/LOG('SK-ratios'!$U15))/2,IF('SK-ratios'!AZ15&gt;'SK-ratios'!$Y15,0,10-10*LOG(1+('SK-ratios'!$U15-1)*('SK-ratios'!AZ15-'SK-ratios'!$AC15)/('SK-ratios'!$Y15-'SK-ratios'!$AC15))/LOG('SK-ratios'!$U15)))</f>
        <v>0</v>
      </c>
      <c r="AR12" s="454">
        <f>IF('SK-ratios'!BA15&lt;0,IF(ABS('SK-ratios'!BA15)&gt;'SK-ratios'!$Y15,0,10-10*LOG(1+('SK-ratios'!$U15-1)*(ABS('SK-ratios'!BA15)-'SK-ratios'!$AC15)/('SK-ratios'!$Y15-'SK-ratios'!$AC15))/LOG('SK-ratios'!$U15))/2,IF('SK-ratios'!BA15&gt;'SK-ratios'!$Y15,0,10-10*LOG(1+('SK-ratios'!$U15-1)*('SK-ratios'!BA15-'SK-ratios'!$AC15)/('SK-ratios'!$Y15-'SK-ratios'!$AC15))/LOG('SK-ratios'!$U15)))</f>
        <v>5.9794538131832464</v>
      </c>
      <c r="AS12" s="454">
        <f>IF('SK-ratios'!BB15&lt;0,IF(ABS('SK-ratios'!BB15)&gt;'SK-ratios'!$Y15,0,10-10*LOG(1+('SK-ratios'!$U15-1)*(ABS('SK-ratios'!BB15)-'SK-ratios'!$AC15)/('SK-ratios'!$Y15-'SK-ratios'!$AC15))/LOG('SK-ratios'!$U15))/2,IF('SK-ratios'!BB15&gt;'SK-ratios'!$Y15,0,10-10*LOG(1+('SK-ratios'!$U15-1)*('SK-ratios'!BB15-'SK-ratios'!$AC15)/('SK-ratios'!$Y15-'SK-ratios'!$AC15))/LOG('SK-ratios'!$U15)))</f>
        <v>4.0287908558818124</v>
      </c>
      <c r="AT12" s="454">
        <f>IF('SK-ratios'!BC15&lt;0,IF(ABS('SK-ratios'!BC15)&gt;'SK-ratios'!$Y15,0,10-10*LOG(1+('SK-ratios'!$U15-1)*(ABS('SK-ratios'!BC15)-'SK-ratios'!$AC15)/('SK-ratios'!$Y15-'SK-ratios'!$AC15))/LOG('SK-ratios'!$U15))/2,IF('SK-ratios'!BC15&gt;'SK-ratios'!$Y15,0,10-10*LOG(1+('SK-ratios'!$U15-1)*('SK-ratios'!BC15-'SK-ratios'!$AC15)/('SK-ratios'!$Y15-'SK-ratios'!$AC15))/LOG('SK-ratios'!$U15)))</f>
        <v>1.8783326898543358</v>
      </c>
      <c r="AU12" s="454">
        <f>IF('SK-ratios'!BD15&lt;0,IF(ABS('SK-ratios'!BD15)&gt;'SK-ratios'!$Y15,0,10-10*LOG(1+('SK-ratios'!$U15-1)*(ABS('SK-ratios'!BD15)-'SK-ratios'!$AC15)/('SK-ratios'!$Y15-'SK-ratios'!$AC15))/LOG('SK-ratios'!$U15))/2,IF('SK-ratios'!BD15&gt;'SK-ratios'!$Y15,0,10-10*LOG(1+('SK-ratios'!$U15-1)*('SK-ratios'!BD15-'SK-ratios'!$AC15)/('SK-ratios'!$Y15-'SK-ratios'!$AC15))/LOG('SK-ratios'!$U15)))</f>
        <v>2.5296465286426422</v>
      </c>
      <c r="AV12" s="454">
        <f>IF('SK-ratios'!BE15&lt;0,IF(ABS('SK-ratios'!BE15)&gt;'SK-ratios'!$Y15,0,10-10*LOG(1+('SK-ratios'!$U15-1)*(ABS('SK-ratios'!BE15)-'SK-ratios'!$AC15)/('SK-ratios'!$Y15-'SK-ratios'!$AC15))/LOG('SK-ratios'!$U15))/2,IF('SK-ratios'!BE15&gt;'SK-ratios'!$Y15,0,10-10*LOG(1+('SK-ratios'!$U15-1)*('SK-ratios'!BE15-'SK-ratios'!$AC15)/('SK-ratios'!$Y15-'SK-ratios'!$AC15))/LOG('SK-ratios'!$U15)))</f>
        <v>5.4796848796843793</v>
      </c>
      <c r="AW12" s="454">
        <f>IF('SK-ratios'!BF15&lt;0,IF(ABS('SK-ratios'!BF15)&gt;'SK-ratios'!$Y15,0,10-10*LOG(1+('SK-ratios'!$U15-1)*(ABS('SK-ratios'!BF15)-'SK-ratios'!$AC15)/('SK-ratios'!$Y15-'SK-ratios'!$AC15))/LOG('SK-ratios'!$U15))/2,IF('SK-ratios'!BF15&gt;'SK-ratios'!$Y15,0,10-10*LOG(1+('SK-ratios'!$U15-1)*('SK-ratios'!BF15-'SK-ratios'!$AC15)/('SK-ratios'!$Y15-'SK-ratios'!$AC15))/LOG('SK-ratios'!$U15)))</f>
        <v>1.6555388508424027</v>
      </c>
      <c r="AX12" s="454">
        <f>IF('SK-ratios'!BG15&lt;0,IF(ABS('SK-ratios'!BG15)&gt;'SK-ratios'!$Y15,0,10-10*LOG(1+('SK-ratios'!$U15-1)*(ABS('SK-ratios'!BG15)-'SK-ratios'!$AC15)/('SK-ratios'!$Y15-'SK-ratios'!$AC15))/LOG('SK-ratios'!$U15))/2,IF('SK-ratios'!BG15&gt;'SK-ratios'!$Y15,0,10-10*LOG(1+('SK-ratios'!$U15-1)*('SK-ratios'!BG15-'SK-ratios'!$AC15)/('SK-ratios'!$Y15-'SK-ratios'!$AC15))/LOG('SK-ratios'!$U15)))</f>
        <v>4.2615586634005007</v>
      </c>
      <c r="AY12" s="454">
        <f>IF('SK-ratios'!BH15&lt;0,IF(ABS('SK-ratios'!BH15)&gt;'SK-ratios'!$Y15,0,10-10*LOG(1+('SK-ratios'!$U15-1)*(ABS('SK-ratios'!BH15)-'SK-ratios'!$AC15)/('SK-ratios'!$Y15-'SK-ratios'!$AC15))/LOG('SK-ratios'!$U15))/2,IF('SK-ratios'!BH15&gt;'SK-ratios'!$Y15,0,10-10*LOG(1+('SK-ratios'!$U15-1)*('SK-ratios'!BH15-'SK-ratios'!$AC15)/('SK-ratios'!$Y15-'SK-ratios'!$AC15))/LOG('SK-ratios'!$U15)))</f>
        <v>7.9861461484658935</v>
      </c>
      <c r="AZ12" s="454">
        <f>IF('SK-ratios'!BI15&lt;0,IF(ABS('SK-ratios'!BI15)&gt;'SK-ratios'!$Y15,0,10-10*LOG(1+('SK-ratios'!$U15-1)*(ABS('SK-ratios'!BI15)-'SK-ratios'!$AC15)/('SK-ratios'!$Y15-'SK-ratios'!$AC15))/LOG('SK-ratios'!$U15))/2,IF('SK-ratios'!BI15&gt;'SK-ratios'!$Y15,0,10-10*LOG(1+('SK-ratios'!$U15-1)*('SK-ratios'!BI15-'SK-ratios'!$AC15)/('SK-ratios'!$Y15-'SK-ratios'!$AC15))/LOG('SK-ratios'!$U15)))</f>
        <v>3.065136102585277</v>
      </c>
      <c r="BA12" s="454">
        <f>IF('SK-ratios'!BJ15&lt;0,IF(ABS('SK-ratios'!BJ15)&gt;'SK-ratios'!$Y15,0,10-10*LOG(1+('SK-ratios'!$U15-1)*(ABS('SK-ratios'!BJ15)-'SK-ratios'!$AC15)/('SK-ratios'!$Y15-'SK-ratios'!$AC15))/LOG('SK-ratios'!$U15))/2,IF('SK-ratios'!BJ15&gt;'SK-ratios'!$Y15,0,10-10*LOG(1+('SK-ratios'!$U15-1)*('SK-ratios'!BJ15-'SK-ratios'!$AC15)/('SK-ratios'!$Y15-'SK-ratios'!$AC15))/LOG('SK-ratios'!$U15)))</f>
        <v>4.3563160968518515</v>
      </c>
      <c r="BB12" s="454">
        <f>IF('SK-ratios'!BK15&lt;0,IF(ABS('SK-ratios'!BK15)&gt;'SK-ratios'!$Y15,0,10-10*LOG(1+('SK-ratios'!$U15-1)*(ABS('SK-ratios'!BK15)-'SK-ratios'!$AC15)/('SK-ratios'!$Y15-'SK-ratios'!$AC15))/LOG('SK-ratios'!$U15))/2,IF('SK-ratios'!BK15&gt;'SK-ratios'!$Y15,0,10-10*LOG(1+('SK-ratios'!$U15-1)*('SK-ratios'!BK15-'SK-ratios'!$AC15)/('SK-ratios'!$Y15-'SK-ratios'!$AC15))/LOG('SK-ratios'!$U15)))</f>
        <v>1.110191895430324</v>
      </c>
      <c r="BC12" s="454">
        <f>IF('SK-ratios'!BL15&lt;0,IF(ABS('SK-ratios'!BL15)&gt;'SK-ratios'!$Y15,0,10-10*LOG(1+('SK-ratios'!$U15-1)*(ABS('SK-ratios'!BL15)-'SK-ratios'!$AC15)/('SK-ratios'!$Y15-'SK-ratios'!$AC15))/LOG('SK-ratios'!$U15))/2,IF('SK-ratios'!BL15&gt;'SK-ratios'!$Y15,0,10-10*LOG(1+('SK-ratios'!$U15-1)*('SK-ratios'!BL15-'SK-ratios'!$AC15)/('SK-ratios'!$Y15-'SK-ratios'!$AC15))/LOG('SK-ratios'!$U15)))</f>
        <v>0</v>
      </c>
      <c r="BD12" s="454">
        <f>IF('SK-ratios'!BM15&lt;0,IF(ABS('SK-ratios'!BM15)&gt;'SK-ratios'!$Y15,0,10-10*LOG(1+('SK-ratios'!$U15-1)*(ABS('SK-ratios'!BM15)-'SK-ratios'!$AC15)/('SK-ratios'!$Y15-'SK-ratios'!$AC15))/LOG('SK-ratios'!$U15))/2,IF('SK-ratios'!BM15&gt;'SK-ratios'!$Y15,0,10-10*LOG(1+('SK-ratios'!$U15-1)*('SK-ratios'!BM15-'SK-ratios'!$AC15)/('SK-ratios'!$Y15-'SK-ratios'!$AC15))/LOG('SK-ratios'!$U15)))</f>
        <v>0.43107077007642225</v>
      </c>
      <c r="BE12" s="454">
        <f>IF('SK-ratios'!BN15&lt;0,IF(ABS('SK-ratios'!BN15)&gt;'SK-ratios'!$Y15,0,10-10*LOG(1+('SK-ratios'!$U15-1)*(ABS('SK-ratios'!BN15)-'SK-ratios'!$AC15)/('SK-ratios'!$Y15-'SK-ratios'!$AC15))/LOG('SK-ratios'!$U15))/2,IF('SK-ratios'!BN15&gt;'SK-ratios'!$Y15,0,10-10*LOG(1+('SK-ratios'!$U15-1)*('SK-ratios'!BN15-'SK-ratios'!$AC15)/('SK-ratios'!$Y15-'SK-ratios'!$AC15))/LOG('SK-ratios'!$U15)))</f>
        <v>4.064480582454344</v>
      </c>
      <c r="BF12" s="454">
        <f>IF('SK-ratios'!BO15&lt;0,IF(ABS('SK-ratios'!BO15)&gt;'SK-ratios'!$Y15,0,10-10*LOG(1+('SK-ratios'!$U15-1)*(ABS('SK-ratios'!BO15)-'SK-ratios'!$AC15)/('SK-ratios'!$Y15-'SK-ratios'!$AC15))/LOG('SK-ratios'!$U15))/2,IF('SK-ratios'!BO15&gt;'SK-ratios'!$Y15,0,10-10*LOG(1+('SK-ratios'!$U15-1)*('SK-ratios'!BO15-'SK-ratios'!$AC15)/('SK-ratios'!$Y15-'SK-ratios'!$AC15))/LOG('SK-ratios'!$U15)))</f>
        <v>3.2089196826906692</v>
      </c>
      <c r="BG12" s="454">
        <f>IF('SK-ratios'!BP15&lt;0,IF(ABS('SK-ratios'!BP15)&gt;'SK-ratios'!$Y15,0,10-10*LOG(1+('SK-ratios'!$U15-1)*(ABS('SK-ratios'!BP15)-'SK-ratios'!$AC15)/('SK-ratios'!$Y15-'SK-ratios'!$AC15))/LOG('SK-ratios'!$U15))/2,IF('SK-ratios'!BP15&gt;'SK-ratios'!$Y15,0,10-10*LOG(1+('SK-ratios'!$U15-1)*('SK-ratios'!BP15-'SK-ratios'!$AC15)/('SK-ratios'!$Y15-'SK-ratios'!$AC15))/LOG('SK-ratios'!$U15)))</f>
        <v>0</v>
      </c>
      <c r="BH12" s="454">
        <f>IF('SK-ratios'!BQ15&lt;0,IF(ABS('SK-ratios'!BQ15)&gt;'SK-ratios'!$Y15,0,10-10*LOG(1+('SK-ratios'!$U15-1)*(ABS('SK-ratios'!BQ15)-'SK-ratios'!$AC15)/('SK-ratios'!$Y15-'SK-ratios'!$AC15))/LOG('SK-ratios'!$U15))/2,IF('SK-ratios'!BQ15&gt;'SK-ratios'!$Y15,0,10-10*LOG(1+('SK-ratios'!$U15-1)*('SK-ratios'!BQ15-'SK-ratios'!$AC15)/('SK-ratios'!$Y15-'SK-ratios'!$AC15))/LOG('SK-ratios'!$U15)))</f>
        <v>2.3874321344912817</v>
      </c>
      <c r="BI12" s="454">
        <f>IF('SK-ratios'!BR15&lt;0,IF(ABS('SK-ratios'!BR15)&gt;'SK-ratios'!$Y15,0,10-10*LOG(1+('SK-ratios'!$U15-1)*(ABS('SK-ratios'!BR15)-'SK-ratios'!$AC15)/('SK-ratios'!$Y15-'SK-ratios'!$AC15))/LOG('SK-ratios'!$U15))/2,IF('SK-ratios'!BR15&gt;'SK-ratios'!$Y15,0,10-10*LOG(1+('SK-ratios'!$U15-1)*('SK-ratios'!BR15-'SK-ratios'!$AC15)/('SK-ratios'!$Y15-'SK-ratios'!$AC15))/LOG('SK-ratios'!$U15)))</f>
        <v>0</v>
      </c>
      <c r="BJ12" s="454">
        <f>IF('SK-ratios'!BS15&lt;0,IF(ABS('SK-ratios'!BS15)&gt;'SK-ratios'!$Y15,0,10-10*LOG(1+('SK-ratios'!$U15-1)*(ABS('SK-ratios'!BS15)-'SK-ratios'!$AC15)/('SK-ratios'!$Y15-'SK-ratios'!$AC15))/LOG('SK-ratios'!$U15))/2,IF('SK-ratios'!BS15&gt;'SK-ratios'!$Y15,0,10-10*LOG(1+('SK-ratios'!$U15-1)*('SK-ratios'!BS15-'SK-ratios'!$AC15)/('SK-ratios'!$Y15-'SK-ratios'!$AC15))/LOG('SK-ratios'!$U15)))</f>
        <v>0</v>
      </c>
      <c r="BK12" s="454">
        <f>IF('SK-ratios'!BT15&lt;0,IF(ABS('SK-ratios'!BT15)&gt;'SK-ratios'!$Y15,0,10-10*LOG(1+('SK-ratios'!$U15-1)*(ABS('SK-ratios'!BT15)-'SK-ratios'!$AC15)/('SK-ratios'!$Y15-'SK-ratios'!$AC15))/LOG('SK-ratios'!$U15))/2,IF('SK-ratios'!BT15&gt;'SK-ratios'!$Y15,0,10-10*LOG(1+('SK-ratios'!$U15-1)*('SK-ratios'!BT15-'SK-ratios'!$AC15)/('SK-ratios'!$Y15-'SK-ratios'!$AC15))/LOG('SK-ratios'!$U15)))</f>
        <v>4.2200580816441997</v>
      </c>
      <c r="BL12" s="454">
        <f>IF('SK-ratios'!BU15&lt;0,IF(ABS('SK-ratios'!BU15)&gt;'SK-ratios'!$Y15,0,10-10*LOG(1+('SK-ratios'!$U15-1)*(ABS('SK-ratios'!BU15)-'SK-ratios'!$AC15)/('SK-ratios'!$Y15-'SK-ratios'!$AC15))/LOG('SK-ratios'!$U15))/2,IF('SK-ratios'!BU15&gt;'SK-ratios'!$Y15,0,10-10*LOG(1+('SK-ratios'!$U15-1)*('SK-ratios'!BU15-'SK-ratios'!$AC15)/('SK-ratios'!$Y15-'SK-ratios'!$AC15))/LOG('SK-ratios'!$U15)))</f>
        <v>0</v>
      </c>
      <c r="BM12" s="454">
        <f>IF('SK-ratios'!BV15&lt;0,IF(ABS('SK-ratios'!BV15)&gt;'SK-ratios'!$Y15,0,10-10*LOG(1+('SK-ratios'!$U15-1)*(ABS('SK-ratios'!BV15)-'SK-ratios'!$AC15)/('SK-ratios'!$Y15-'SK-ratios'!$AC15))/LOG('SK-ratios'!$U15))/2,IF('SK-ratios'!BV15&gt;'SK-ratios'!$Y15,0,10-10*LOG(1+('SK-ratios'!$U15-1)*('SK-ratios'!BV15-'SK-ratios'!$AC15)/('SK-ratios'!$Y15-'SK-ratios'!$AC15))/LOG('SK-ratios'!$U15)))</f>
        <v>3.1769931185925202</v>
      </c>
      <c r="BN12" s="454">
        <f>IF('SK-ratios'!BW15&lt;0,IF(ABS('SK-ratios'!BW15)&gt;'SK-ratios'!$Y15,0,10-10*LOG(1+('SK-ratios'!$U15-1)*(ABS('SK-ratios'!BW15)-'SK-ratios'!$AC15)/('SK-ratios'!$Y15-'SK-ratios'!$AC15))/LOG('SK-ratios'!$U15))/2,IF('SK-ratios'!BW15&gt;'SK-ratios'!$Y15,0,10-10*LOG(1+('SK-ratios'!$U15-1)*('SK-ratios'!BW15-'SK-ratios'!$AC15)/('SK-ratios'!$Y15-'SK-ratios'!$AC15))/LOG('SK-ratios'!$U15)))</f>
        <v>2.1159227885460927</v>
      </c>
      <c r="BO12" s="454">
        <f>IF('SK-ratios'!BX15&lt;0,IF(ABS('SK-ratios'!BX15)&gt;'SK-ratios'!$Y15,0,10-10*LOG(1+('SK-ratios'!$U15-1)*(ABS('SK-ratios'!BX15)-'SK-ratios'!$AC15)/('SK-ratios'!$Y15-'SK-ratios'!$AC15))/LOG('SK-ratios'!$U15))/2,IF('SK-ratios'!BX15&gt;'SK-ratios'!$Y15,0,10-10*LOG(1+('SK-ratios'!$U15-1)*('SK-ratios'!BX15-'SK-ratios'!$AC15)/('SK-ratios'!$Y15-'SK-ratios'!$AC15))/LOG('SK-ratios'!$U15)))</f>
        <v>0</v>
      </c>
      <c r="BP12" s="454">
        <f>IF('SK-ratios'!BY15&lt;0,IF(ABS('SK-ratios'!BY15)&gt;'SK-ratios'!$Y15,0,10-10*LOG(1+('SK-ratios'!$U15-1)*(ABS('SK-ratios'!BY15)-'SK-ratios'!$AC15)/('SK-ratios'!$Y15-'SK-ratios'!$AC15))/LOG('SK-ratios'!$U15))/2,IF('SK-ratios'!BY15&gt;'SK-ratios'!$Y15,0,10-10*LOG(1+('SK-ratios'!$U15-1)*('SK-ratios'!BY15-'SK-ratios'!$AC15)/('SK-ratios'!$Y15-'SK-ratios'!$AC15))/LOG('SK-ratios'!$U15)))</f>
        <v>0</v>
      </c>
      <c r="BQ12" s="454">
        <f>IF('SK-ratios'!BZ15&lt;0,IF(ABS('SK-ratios'!BZ15)&gt;'SK-ratios'!$Y15,0,10-10*LOG(1+('SK-ratios'!$U15-1)*(ABS('SK-ratios'!BZ15)-'SK-ratios'!$AC15)/('SK-ratios'!$Y15-'SK-ratios'!$AC15))/LOG('SK-ratios'!$U15))/2,IF('SK-ratios'!BZ15&gt;'SK-ratios'!$Y15,0,10-10*LOG(1+('SK-ratios'!$U15-1)*('SK-ratios'!BZ15-'SK-ratios'!$AC15)/('SK-ratios'!$Y15-'SK-ratios'!$AC15))/LOG('SK-ratios'!$U15)))</f>
        <v>3.5514112776603719</v>
      </c>
      <c r="BR12" s="454">
        <f>IF('SK-ratios'!CA15&lt;0,IF(ABS('SK-ratios'!CA15)&gt;'SK-ratios'!$Y15,0,10-10*LOG(1+('SK-ratios'!$U15-1)*(ABS('SK-ratios'!CA15)-'SK-ratios'!$AC15)/('SK-ratios'!$Y15-'SK-ratios'!$AC15))/LOG('SK-ratios'!$U15))/2,IF('SK-ratios'!CA15&gt;'SK-ratios'!$Y15,0,10-10*LOG(1+('SK-ratios'!$U15-1)*('SK-ratios'!CA15-'SK-ratios'!$AC15)/('SK-ratios'!$Y15-'SK-ratios'!$AC15))/LOG('SK-ratios'!$U15)))</f>
        <v>0.60780020451283434</v>
      </c>
      <c r="BS12" s="454">
        <f>IF('SK-ratios'!CB15&lt;0,IF(ABS('SK-ratios'!CB15)&gt;'SK-ratios'!$Y15,0,10-10*LOG(1+('SK-ratios'!$U15-1)*(ABS('SK-ratios'!CB15)-'SK-ratios'!$AC15)/('SK-ratios'!$Y15-'SK-ratios'!$AC15))/LOG('SK-ratios'!$U15))/2,IF('SK-ratios'!CB15&gt;'SK-ratios'!$Y15,0,10-10*LOG(1+('SK-ratios'!$U15-1)*('SK-ratios'!CB15-'SK-ratios'!$AC15)/('SK-ratios'!$Y15-'SK-ratios'!$AC15))/LOG('SK-ratios'!$U15)))</f>
        <v>0.15854175184262509</v>
      </c>
      <c r="BT12" s="454">
        <f>IF('SK-ratios'!CC15&lt;0,IF(ABS('SK-ratios'!CC15)&gt;'SK-ratios'!$Y15,0,10-10*LOG(1+('SK-ratios'!$U15-1)*(ABS('SK-ratios'!CC15)-'SK-ratios'!$AC15)/('SK-ratios'!$Y15-'SK-ratios'!$AC15))/LOG('SK-ratios'!$U15))/2,IF('SK-ratios'!CC15&gt;'SK-ratios'!$Y15,0,10-10*LOG(1+('SK-ratios'!$U15-1)*('SK-ratios'!CC15-'SK-ratios'!$AC15)/('SK-ratios'!$Y15-'SK-ratios'!$AC15))/LOG('SK-ratios'!$U15)))</f>
        <v>0</v>
      </c>
      <c r="BU12" s="454">
        <f>IF('SK-ratios'!CD15&lt;0,IF(ABS('SK-ratios'!CD15)&gt;'SK-ratios'!$Y15,0,10-10*LOG(1+('SK-ratios'!$U15-1)*(ABS('SK-ratios'!CD15)-'SK-ratios'!$AC15)/('SK-ratios'!$Y15-'SK-ratios'!$AC15))/LOG('SK-ratios'!$U15))/2,IF('SK-ratios'!CD15&gt;'SK-ratios'!$Y15,0,10-10*LOG(1+('SK-ratios'!$U15-1)*('SK-ratios'!CD15-'SK-ratios'!$AC15)/('SK-ratios'!$Y15-'SK-ratios'!$AC15))/LOG('SK-ratios'!$U15)))</f>
        <v>1.6670066094532174</v>
      </c>
      <c r="BV12" s="454">
        <f>IF('SK-ratios'!CE15&lt;0,IF(ABS('SK-ratios'!CE15)&gt;'SK-ratios'!$Y15,0,10-10*LOG(1+('SK-ratios'!$U15-1)*(ABS('SK-ratios'!CE15)-'SK-ratios'!$AC15)/('SK-ratios'!$Y15-'SK-ratios'!$AC15))/LOG('SK-ratios'!$U15))/2,IF('SK-ratios'!CE15&gt;'SK-ratios'!$Y15,0,10-10*LOG(1+('SK-ratios'!$U15-1)*('SK-ratios'!CE15-'SK-ratios'!$AC15)/('SK-ratios'!$Y15-'SK-ratios'!$AC15))/LOG('SK-ratios'!$U15)))</f>
        <v>0</v>
      </c>
      <c r="BW12" s="454">
        <f>IF('SK-ratios'!CF15&lt;0,IF(ABS('SK-ratios'!CF15)&gt;'SK-ratios'!$Y15,0,10-10*LOG(1+('SK-ratios'!$U15-1)*(ABS('SK-ratios'!CF15)-'SK-ratios'!$AC15)/('SK-ratios'!$Y15-'SK-ratios'!$AC15))/LOG('SK-ratios'!$U15))/2,IF('SK-ratios'!CF15&gt;'SK-ratios'!$Y15,0,10-10*LOG(1+('SK-ratios'!$U15-1)*('SK-ratios'!CF15-'SK-ratios'!$AC15)/('SK-ratios'!$Y15-'SK-ratios'!$AC15))/LOG('SK-ratios'!$U15)))</f>
        <v>0</v>
      </c>
      <c r="BX12" s="454">
        <f>IF('SK-ratios'!CG15&lt;0,IF(ABS('SK-ratios'!CG15)&gt;'SK-ratios'!$Y15,0,10-10*LOG(1+('SK-ratios'!$U15-1)*(ABS('SK-ratios'!CG15)-'SK-ratios'!$AC15)/('SK-ratios'!$Y15-'SK-ratios'!$AC15))/LOG('SK-ratios'!$U15))/2,IF('SK-ratios'!CG15&gt;'SK-ratios'!$Y15,0,10-10*LOG(1+('SK-ratios'!$U15-1)*('SK-ratios'!CG15-'SK-ratios'!$AC15)/('SK-ratios'!$Y15-'SK-ratios'!$AC15))/LOG('SK-ratios'!$U15)))</f>
        <v>0</v>
      </c>
      <c r="BY12" s="454">
        <f>IF('SK-ratios'!CH15&lt;0,IF(ABS('SK-ratios'!CH15)&gt;'SK-ratios'!$Y15,0,10-10*LOG(1+('SK-ratios'!$U15-1)*(ABS('SK-ratios'!CH15)-'SK-ratios'!$AC15)/('SK-ratios'!$Y15-'SK-ratios'!$AC15))/LOG('SK-ratios'!$U15))/2,IF('SK-ratios'!CH15&gt;'SK-ratios'!$Y15,0,10-10*LOG(1+('SK-ratios'!$U15-1)*('SK-ratios'!CH15-'SK-ratios'!$AC15)/('SK-ratios'!$Y15-'SK-ratios'!$AC15))/LOG('SK-ratios'!$U15)))</f>
        <v>2.9380441640057713</v>
      </c>
      <c r="BZ12" s="454">
        <f>IF('SK-ratios'!CI15&lt;0,IF(ABS('SK-ratios'!CI15)&gt;'SK-ratios'!$Y15,0,10-10*LOG(1+('SK-ratios'!$U15-1)*(ABS('SK-ratios'!CI15)-'SK-ratios'!$AC15)/('SK-ratios'!$Y15-'SK-ratios'!$AC15))/LOG('SK-ratios'!$U15))/2,IF('SK-ratios'!CI15&gt;'SK-ratios'!$Y15,0,10-10*LOG(1+('SK-ratios'!$U15-1)*('SK-ratios'!CI15-'SK-ratios'!$AC15)/('SK-ratios'!$Y15-'SK-ratios'!$AC15))/LOG('SK-ratios'!$U15)))</f>
        <v>2.9832004123840505</v>
      </c>
      <c r="CA12" s="454">
        <f>IF('SK-ratios'!CJ15&lt;0,IF(ABS('SK-ratios'!CJ15)&gt;'SK-ratios'!$Y15,0,10-10*LOG(1+('SK-ratios'!$U15-1)*(ABS('SK-ratios'!CJ15)-'SK-ratios'!$AC15)/('SK-ratios'!$Y15-'SK-ratios'!$AC15))/LOG('SK-ratios'!$U15))/2,IF('SK-ratios'!CJ15&gt;'SK-ratios'!$Y15,0,10-10*LOG(1+('SK-ratios'!$U15-1)*('SK-ratios'!CJ15-'SK-ratios'!$AC15)/('SK-ratios'!$Y15-'SK-ratios'!$AC15))/LOG('SK-ratios'!$U15)))</f>
        <v>0.56609426772871885</v>
      </c>
      <c r="CB12" s="454">
        <f>IF('SK-ratios'!CK15&lt;0,IF(ABS('SK-ratios'!CK15)&gt;'SK-ratios'!$Y15,0,10-10*LOG(1+('SK-ratios'!$U15-1)*(ABS('SK-ratios'!CK15)-'SK-ratios'!$AC15)/('SK-ratios'!$Y15-'SK-ratios'!$AC15))/LOG('SK-ratios'!$U15))/2,IF('SK-ratios'!CK15&gt;'SK-ratios'!$Y15,0,10-10*LOG(1+('SK-ratios'!$U15-1)*('SK-ratios'!CK15-'SK-ratios'!$AC15)/('SK-ratios'!$Y15-'SK-ratios'!$AC15))/LOG('SK-ratios'!$U15)))</f>
        <v>4.2737671037656275</v>
      </c>
      <c r="CC12" s="454">
        <f>IF('SK-ratios'!CL15&lt;0,IF(ABS('SK-ratios'!CL15)&gt;'SK-ratios'!$Y15,0,10-10*LOG(1+('SK-ratios'!$U15-1)*(ABS('SK-ratios'!CL15)-'SK-ratios'!$AC15)/('SK-ratios'!$Y15-'SK-ratios'!$AC15))/LOG('SK-ratios'!$U15))/2,IF('SK-ratios'!CL15&gt;'SK-ratios'!$Y15,0,10-10*LOG(1+('SK-ratios'!$U15-1)*('SK-ratios'!CL15-'SK-ratios'!$AC15)/('SK-ratios'!$Y15-'SK-ratios'!$AC15))/LOG('SK-ratios'!$U15)))</f>
        <v>5.0525314139054114</v>
      </c>
      <c r="CD12" s="454">
        <f>IF('SK-ratios'!CM15&lt;0,IF(ABS('SK-ratios'!CM15)&gt;'SK-ratios'!$Y15,0,10-10*LOG(1+('SK-ratios'!$U15-1)*(ABS('SK-ratios'!CM15)-'SK-ratios'!$AC15)/('SK-ratios'!$Y15-'SK-ratios'!$AC15))/LOG('SK-ratios'!$U15))/2,IF('SK-ratios'!CM15&gt;'SK-ratios'!$Y15,0,10-10*LOG(1+('SK-ratios'!$U15-1)*('SK-ratios'!CM15-'SK-ratios'!$AC15)/('SK-ratios'!$Y15-'SK-ratios'!$AC15))/LOG('SK-ratios'!$U15)))</f>
        <v>2.2790040778466913</v>
      </c>
      <c r="CE12" s="454">
        <f>IF('SK-ratios'!CN15&lt;0,IF(ABS('SK-ratios'!CN15)&gt;'SK-ratios'!$Y15,0,10-10*LOG(1+('SK-ratios'!$U15-1)*(ABS('SK-ratios'!CN15)-'SK-ratios'!$AC15)/('SK-ratios'!$Y15-'SK-ratios'!$AC15))/LOG('SK-ratios'!$U15))/2,IF('SK-ratios'!CN15&gt;'SK-ratios'!$Y15,0,10-10*LOG(1+('SK-ratios'!$U15-1)*('SK-ratios'!CN15-'SK-ratios'!$AC15)/('SK-ratios'!$Y15-'SK-ratios'!$AC15))/LOG('SK-ratios'!$U15)))</f>
        <v>5.7332900894559558E-2</v>
      </c>
      <c r="CF12" s="454">
        <f>IF('SK-ratios'!CO15&lt;0,IF(ABS('SK-ratios'!CO15)&gt;'SK-ratios'!$Y15,0,10-10*LOG(1+('SK-ratios'!$U15-1)*(ABS('SK-ratios'!CO15)-'SK-ratios'!$AC15)/('SK-ratios'!$Y15-'SK-ratios'!$AC15))/LOG('SK-ratios'!$U15))/2,IF('SK-ratios'!CO15&gt;'SK-ratios'!$Y15,0,10-10*LOG(1+('SK-ratios'!$U15-1)*('SK-ratios'!CO15-'SK-ratios'!$AC15)/('SK-ratios'!$Y15-'SK-ratios'!$AC15))/LOG('SK-ratios'!$U15)))</f>
        <v>3.8458531067621076</v>
      </c>
      <c r="CG12" s="454">
        <f>IF('SK-ratios'!CP15&lt;0,IF(ABS('SK-ratios'!CP15)&gt;'SK-ratios'!$Y15,0,10-10*LOG(1+('SK-ratios'!$U15-1)*(ABS('SK-ratios'!CP15)-'SK-ratios'!$AC15)/('SK-ratios'!$Y15-'SK-ratios'!$AC15))/LOG('SK-ratios'!$U15))/2,IF('SK-ratios'!CP15&gt;'SK-ratios'!$Y15,0,10-10*LOG(1+('SK-ratios'!$U15-1)*('SK-ratios'!CP15-'SK-ratios'!$AC15)/('SK-ratios'!$Y15-'SK-ratios'!$AC15))/LOG('SK-ratios'!$U15)))</f>
        <v>1.2482840800142601</v>
      </c>
      <c r="CH12" s="454">
        <f>IF('SK-ratios'!CQ15&lt;0,IF(ABS('SK-ratios'!CQ15)&gt;'SK-ratios'!$Y15,0,10-10*LOG(1+('SK-ratios'!$U15-1)*(ABS('SK-ratios'!CQ15)-'SK-ratios'!$AC15)/('SK-ratios'!$Y15-'SK-ratios'!$AC15))/LOG('SK-ratios'!$U15))/2,IF('SK-ratios'!CQ15&gt;'SK-ratios'!$Y15,0,10-10*LOG(1+('SK-ratios'!$U15-1)*('SK-ratios'!CQ15-'SK-ratios'!$AC15)/('SK-ratios'!$Y15-'SK-ratios'!$AC15))/LOG('SK-ratios'!$U15)))</f>
        <v>3.1341381105754573</v>
      </c>
      <c r="CI12" s="454">
        <f>IF('SK-ratios'!CR15&lt;0,IF(ABS('SK-ratios'!CR15)&gt;'SK-ratios'!$Y15,0,10-10*LOG(1+('SK-ratios'!$U15-1)*(ABS('SK-ratios'!CR15)-'SK-ratios'!$AC15)/('SK-ratios'!$Y15-'SK-ratios'!$AC15))/LOG('SK-ratios'!$U15))/2,IF('SK-ratios'!CR15&gt;'SK-ratios'!$Y15,0,10-10*LOG(1+('SK-ratios'!$U15-1)*('SK-ratios'!CR15-'SK-ratios'!$AC15)/('SK-ratios'!$Y15-'SK-ratios'!$AC15))/LOG('SK-ratios'!$U15)))</f>
        <v>1.5433451306494383</v>
      </c>
      <c r="CJ12" s="454">
        <f>IF('SK-ratios'!CS15&lt;0,IF(ABS('SK-ratios'!CS15)&gt;'SK-ratios'!$Y15,0,10-10*LOG(1+('SK-ratios'!$U15-1)*(ABS('SK-ratios'!CS15)-'SK-ratios'!$AC15)/('SK-ratios'!$Y15-'SK-ratios'!$AC15))/LOG('SK-ratios'!$U15))/2,IF('SK-ratios'!CS15&gt;'SK-ratios'!$Y15,0,10-10*LOG(1+('SK-ratios'!$U15-1)*('SK-ratios'!CS15-'SK-ratios'!$AC15)/('SK-ratios'!$Y15-'SK-ratios'!$AC15))/LOG('SK-ratios'!$U15)))</f>
        <v>0</v>
      </c>
      <c r="CK12" s="454">
        <f>IF('SK-ratios'!CT15&lt;0,IF(ABS('SK-ratios'!CT15)&gt;'SK-ratios'!$Y15,0,10-10*LOG(1+('SK-ratios'!$U15-1)*(ABS('SK-ratios'!CT15)-'SK-ratios'!$AC15)/('SK-ratios'!$Y15-'SK-ratios'!$AC15))/LOG('SK-ratios'!$U15))/2,IF('SK-ratios'!CT15&gt;'SK-ratios'!$Y15,0,10-10*LOG(1+('SK-ratios'!$U15-1)*('SK-ratios'!CT15-'SK-ratios'!$AC15)/('SK-ratios'!$Y15-'SK-ratios'!$AC15))/LOG('SK-ratios'!$U15)))</f>
        <v>3.9309073259201135</v>
      </c>
      <c r="CL12" s="454">
        <f>IF('SK-ratios'!CU15&lt;0,IF(ABS('SK-ratios'!CU15)&gt;'SK-ratios'!$Y15,0,10-10*LOG(1+('SK-ratios'!$U15-1)*(ABS('SK-ratios'!CU15)-'SK-ratios'!$AC15)/('SK-ratios'!$Y15-'SK-ratios'!$AC15))/LOG('SK-ratios'!$U15))/2,IF('SK-ratios'!CU15&gt;'SK-ratios'!$Y15,0,10-10*LOG(1+('SK-ratios'!$U15-1)*('SK-ratios'!CU15-'SK-ratios'!$AC15)/('SK-ratios'!$Y15-'SK-ratios'!$AC15))/LOG('SK-ratios'!$U15)))</f>
        <v>0</v>
      </c>
      <c r="CM12" s="454">
        <f>IF('SK-ratios'!CV15&lt;0,IF(ABS('SK-ratios'!CV15)&gt;'SK-ratios'!$Y15,0,10-10*LOG(1+('SK-ratios'!$U15-1)*(ABS('SK-ratios'!CV15)-'SK-ratios'!$AC15)/('SK-ratios'!$Y15-'SK-ratios'!$AC15))/LOG('SK-ratios'!$U15))/2,IF('SK-ratios'!CV15&gt;'SK-ratios'!$Y15,0,10-10*LOG(1+('SK-ratios'!$U15-1)*('SK-ratios'!CV15-'SK-ratios'!$AC15)/('SK-ratios'!$Y15-'SK-ratios'!$AC15))/LOG('SK-ratios'!$U15)))</f>
        <v>9.6115072655765061</v>
      </c>
      <c r="CN12" s="454">
        <f>IF('SK-ratios'!CW15&lt;0,IF(ABS('SK-ratios'!CW15)&gt;'SK-ratios'!$Y15,0,10-10*LOG(1+('SK-ratios'!$U15-1)*(ABS('SK-ratios'!CW15)-'SK-ratios'!$AC15)/('SK-ratios'!$Y15-'SK-ratios'!$AC15))/LOG('SK-ratios'!$U15))/2,IF('SK-ratios'!CW15&gt;'SK-ratios'!$Y15,0,10-10*LOG(1+('SK-ratios'!$U15-1)*('SK-ratios'!CW15-'SK-ratios'!$AC15)/('SK-ratios'!$Y15-'SK-ratios'!$AC15))/LOG('SK-ratios'!$U15)))</f>
        <v>0.16213631061895306</v>
      </c>
      <c r="CO12" s="454">
        <f>IF('SK-ratios'!CX15&lt;0,IF(ABS('SK-ratios'!CX15)&gt;'SK-ratios'!$Y15,0,10-10*LOG(1+('SK-ratios'!$U15-1)*(ABS('SK-ratios'!CX15)-'SK-ratios'!$AC15)/('SK-ratios'!$Y15-'SK-ratios'!$AC15))/LOG('SK-ratios'!$U15))/2,IF('SK-ratios'!CX15&gt;'SK-ratios'!$Y15,0,10-10*LOG(1+('SK-ratios'!$U15-1)*('SK-ratios'!CX15-'SK-ratios'!$AC15)/('SK-ratios'!$Y15-'SK-ratios'!$AC15))/LOG('SK-ratios'!$U15)))</f>
        <v>3.4238668917872399</v>
      </c>
      <c r="CP12" s="454">
        <f>IF('SK-ratios'!CY15&lt;0,IF(ABS('SK-ratios'!CY15)&gt;'SK-ratios'!$Y15,0,10-10*LOG(1+('SK-ratios'!$U15-1)*(ABS('SK-ratios'!CY15)-'SK-ratios'!$AC15)/('SK-ratios'!$Y15-'SK-ratios'!$AC15))/LOG('SK-ratios'!$U15))/2,IF('SK-ratios'!CY15&gt;'SK-ratios'!$Y15,0,10-10*LOG(1+('SK-ratios'!$U15-1)*('SK-ratios'!CY15-'SK-ratios'!$AC15)/('SK-ratios'!$Y15-'SK-ratios'!$AC15))/LOG('SK-ratios'!$U15)))</f>
        <v>0</v>
      </c>
      <c r="CQ12" s="454">
        <f>IF('SK-ratios'!CZ15&lt;0,IF(ABS('SK-ratios'!CZ15)&gt;'SK-ratios'!$Y15,0,10-10*LOG(1+('SK-ratios'!$U15-1)*(ABS('SK-ratios'!CZ15)-'SK-ratios'!$AC15)/('SK-ratios'!$Y15-'SK-ratios'!$AC15))/LOG('SK-ratios'!$U15))/2,IF('SK-ratios'!CZ15&gt;'SK-ratios'!$Y15,0,10-10*LOG(1+('SK-ratios'!$U15-1)*('SK-ratios'!CZ15-'SK-ratios'!$AC15)/('SK-ratios'!$Y15-'SK-ratios'!$AC15))/LOG('SK-ratios'!$U15)))</f>
        <v>0.98158876278197837</v>
      </c>
      <c r="CR12" s="454">
        <f>IF('SK-ratios'!DA15&lt;0,IF(ABS('SK-ratios'!DA15)&gt;'SK-ratios'!$Y15,0,10-10*LOG(1+('SK-ratios'!$U15-1)*(ABS('SK-ratios'!DA15)-'SK-ratios'!$AC15)/('SK-ratios'!$Y15-'SK-ratios'!$AC15))/LOG('SK-ratios'!$U15))/2,IF('SK-ratios'!DA15&gt;'SK-ratios'!$Y15,0,10-10*LOG(1+('SK-ratios'!$U15-1)*('SK-ratios'!DA15-'SK-ratios'!$AC15)/('SK-ratios'!$Y15-'SK-ratios'!$AC15))/LOG('SK-ratios'!$U15)))</f>
        <v>3.0432634536113721</v>
      </c>
      <c r="CS12" s="454">
        <f>IF('SK-ratios'!DB15&lt;0,IF(ABS('SK-ratios'!DB15)&gt;'SK-ratios'!$Y15,0,10-10*LOG(1+('SK-ratios'!$U15-1)*(ABS('SK-ratios'!DB15)-'SK-ratios'!$AC15)/('SK-ratios'!$Y15-'SK-ratios'!$AC15))/LOG('SK-ratios'!$U15))/2,IF('SK-ratios'!DB15&gt;'SK-ratios'!$Y15,0,10-10*LOG(1+('SK-ratios'!$U15-1)*('SK-ratios'!DB15-'SK-ratios'!$AC15)/('SK-ratios'!$Y15-'SK-ratios'!$AC15))/LOG('SK-ratios'!$U15)))</f>
        <v>0.37188334272519796</v>
      </c>
      <c r="CT12" s="454">
        <f>IF('SK-ratios'!DC15&lt;0,IF(ABS('SK-ratios'!DC15)&gt;'SK-ratios'!$Y15,0,10-10*LOG(1+('SK-ratios'!$U15-1)*(ABS('SK-ratios'!DC15)-'SK-ratios'!$AC15)/('SK-ratios'!$Y15-'SK-ratios'!$AC15))/LOG('SK-ratios'!$U15))/2,IF('SK-ratios'!DC15&gt;'SK-ratios'!$Y15,0,10-10*LOG(1+('SK-ratios'!$U15-1)*('SK-ratios'!DC15-'SK-ratios'!$AC15)/('SK-ratios'!$Y15-'SK-ratios'!$AC15))/LOG('SK-ratios'!$U15)))</f>
        <v>0</v>
      </c>
      <c r="CU12" s="454">
        <f>IF('SK-ratios'!DD15&lt;0,IF(ABS('SK-ratios'!DD15)&gt;'SK-ratios'!$Y15,0,10-10*LOG(1+('SK-ratios'!$U15-1)*(ABS('SK-ratios'!DD15)-'SK-ratios'!$AC15)/('SK-ratios'!$Y15-'SK-ratios'!$AC15))/LOG('SK-ratios'!$U15))/2,IF('SK-ratios'!DD15&gt;'SK-ratios'!$Y15,0,10-10*LOG(1+('SK-ratios'!$U15-1)*('SK-ratios'!DD15-'SK-ratios'!$AC15)/('SK-ratios'!$Y15-'SK-ratios'!$AC15))/LOG('SK-ratios'!$U15)))</f>
        <v>3.0967338171987002</v>
      </c>
      <c r="CV12" s="454">
        <f>IF('SK-ratios'!DE15&lt;0,IF(ABS('SK-ratios'!DE15)&gt;'SK-ratios'!$Y15,0,10-10*LOG(1+('SK-ratios'!$U15-1)*(ABS('SK-ratios'!DE15)-'SK-ratios'!$AC15)/('SK-ratios'!$Y15-'SK-ratios'!$AC15))/LOG('SK-ratios'!$U15))/2,IF('SK-ratios'!DE15&gt;'SK-ratios'!$Y15,0,10-10*LOG(1+('SK-ratios'!$U15-1)*('SK-ratios'!DE15-'SK-ratios'!$AC15)/('SK-ratios'!$Y15-'SK-ratios'!$AC15))/LOG('SK-ratios'!$U15)))</f>
        <v>4.082517073831208</v>
      </c>
      <c r="CW12" s="454">
        <f>IF('SK-ratios'!DF15&lt;0,IF(ABS('SK-ratios'!DF15)&gt;'SK-ratios'!$Y15,0,10-10*LOG(1+('SK-ratios'!$U15-1)*(ABS('SK-ratios'!DF15)-'SK-ratios'!$AC15)/('SK-ratios'!$Y15-'SK-ratios'!$AC15))/LOG('SK-ratios'!$U15))/2,IF('SK-ratios'!DF15&gt;'SK-ratios'!$Y15,0,10-10*LOG(1+('SK-ratios'!$U15-1)*('SK-ratios'!DF15-'SK-ratios'!$AC15)/('SK-ratios'!$Y15-'SK-ratios'!$AC15))/LOG('SK-ratios'!$U15)))</f>
        <v>0</v>
      </c>
      <c r="CX12" s="454">
        <f>IF('SK-ratios'!DG15&lt;0,IF(ABS('SK-ratios'!DG15)&gt;'SK-ratios'!$Y15,0,10-10*LOG(1+('SK-ratios'!$U15-1)*(ABS('SK-ratios'!DG15)-'SK-ratios'!$AC15)/('SK-ratios'!$Y15-'SK-ratios'!$AC15))/LOG('SK-ratios'!$U15))/2,IF('SK-ratios'!DG15&gt;'SK-ratios'!$Y15,0,10-10*LOG(1+('SK-ratios'!$U15-1)*('SK-ratios'!DG15-'SK-ratios'!$AC15)/('SK-ratios'!$Y15-'SK-ratios'!$AC15))/LOG('SK-ratios'!$U15)))</f>
        <v>0</v>
      </c>
      <c r="CZ12" s="558"/>
      <c r="DA12" s="454">
        <f t="array" ref="DA12">SUMPRODUCT(IF(($W$3:$CX$3=DA$3)*($W$2:$CX$2=DA$2),$W12:$CX12),IF(($W$3:$CX$3=DA$3)*($W$2:$CX$2=DA$2),$W$19:$CX$19))/SUM(IF(($W$3:$CX$3=DA$3)*($W$2:$CX$2=DA$2),$W$19:$CX$19))</f>
        <v>4.0193965305772519</v>
      </c>
      <c r="DB12" s="454">
        <f t="array" ref="DB12">SUMPRODUCT(IF(($W$3:$CX$3=DB$3)*($W$2:$CX$2=DB$2),$W12:$CX12),IF(($W$3:$CX$3=DB$3)*($W$2:$CX$2=DB$2),$W$19:$CX$19))/SUM(IF(($W$3:$CX$3=DB$3)*($W$2:$CX$2=DB$2),$W$19:$CX$19))</f>
        <v>1.6040544652733477</v>
      </c>
      <c r="DC12" s="454">
        <f t="array" ref="DC12">SUMPRODUCT(IF(($W$3:$CX$3=DC$3)*($W$2:$CX$2=DC$2),$W12:$CX12),IF(($W$3:$CX$3=DC$3)*($W$2:$CX$2=DC$2),$W$19:$CX$19))/SUM(IF(($W$3:$CX$3=DC$3)*($W$2:$CX$2=DC$2),$W$19:$CX$19))</f>
        <v>2.1973535390556922</v>
      </c>
      <c r="DD12" s="454">
        <f t="array" ref="DD12">SUMPRODUCT(IF(($W$3:$CX$3=DD$3)*($W$2:$CX$2=DD$2),$W12:$CX12),IF(($W$3:$CX$3=DD$3)*($W$2:$CX$2=DD$2),$W$19:$CX$19))/SUM(IF(($W$3:$CX$3=DD$3)*($W$2:$CX$2=DD$2),$W$19:$CX$19))</f>
        <v>2.4035103608811519</v>
      </c>
      <c r="DE12" s="454">
        <f t="array" ref="DE12">SUMPRODUCT(IF(($W$3:$CX$3=DE$3)*($W$2:$CX$2=DE$2),$W12:$CX12),IF(($W$3:$CX$3=DE$3)*($W$2:$CX$2=DE$2),$W$19:$CX$19))/SUM(IF(($W$3:$CX$3=DE$3)*($W$2:$CX$2=DE$2),$W$19:$CX$19))</f>
        <v>1.307267158858215</v>
      </c>
      <c r="DF12" s="454">
        <f t="array" ref="DF12">SUMPRODUCT(IF(($W$3:$CX$3=DF$3)*($W$2:$CX$2=DF$2),$W12:$CX12),IF(($W$3:$CX$3=DF$3)*($W$2:$CX$2=DF$2),$W$19:$CX$19))/SUM(IF(($W$3:$CX$3=DF$3)*($W$2:$CX$2=DF$2),$W$19:$CX$19))</f>
        <v>2.086385740399336</v>
      </c>
      <c r="DG12" s="454">
        <f t="array" ref="DG12">SUMPRODUCT(IF(($W$3:$CX$3=DG$3)*($W$2:$CX$2=DG$2),$W12:$CX12),IF(($W$3:$CX$3=DG$3)*($W$2:$CX$2=DG$2),$W$19:$CX$19))/SUM(IF(($W$3:$CX$3=DG$3)*($W$2:$CX$2=DG$2),$W$19:$CX$19))</f>
        <v>4.0433209986588108E-2</v>
      </c>
      <c r="DH12" s="454">
        <f t="array" ref="DH12">SUMPRODUCT(IF(($W$3:$CX$3=DH$3)*($W$2:$CX$2=DH$2),$W12:$CX12),IF(($W$3:$CX$3=DH$3)*($W$2:$CX$2=DH$2),$W$19:$CX$19))/SUM(IF(($W$3:$CX$3=DH$3)*($W$2:$CX$2=DH$2),$W$19:$CX$19))</f>
        <v>0.53018880355934428</v>
      </c>
      <c r="DI12" s="454">
        <f t="array" ref="DI12">SUMPRODUCT(IF(($W$3:$CX$3=DI$3)*($W$2:$CX$2=DI$2),$W12:$CX12),IF(($W$3:$CX$3=DI$3)*($W$2:$CX$2=DI$2),$W$19:$CX$19))/SUM(IF(($W$3:$CX$3=DI$3)*($W$2:$CX$2=DI$2),$W$19:$CX$19))</f>
        <v>0</v>
      </c>
      <c r="DJ12" s="454">
        <f t="array" ref="DJ12">SUMPRODUCT(IF(($W$3:$CX$3=DJ$3)*($W$2:$CX$2=DJ$2),$W12:$CX12),IF(($W$3:$CX$3=DJ$3)*($W$2:$CX$2=DJ$2),$W$19:$CX$19))/SUM(IF(($W$3:$CX$3=DJ$3)*($W$2:$CX$2=DJ$2),$W$19:$CX$19))</f>
        <v>0</v>
      </c>
      <c r="DK12" s="454">
        <f t="array" ref="DK12">SUMPRODUCT(IF(($W$3:$CX$3=DK$3)*1,$W12:$CX12),IF(($W$3:$CX$3=DK$3)*1,$W$19:$CX$19))/SUM(IF(($W$3:$CX$3=DK$3)*1,$W$19:$CX$19))</f>
        <v>0.75198219234192543</v>
      </c>
      <c r="DL12" s="454">
        <f t="array" ref="DL12">SUMPRODUCT(IF(($W$3:$CX$3=DL$3)*1,$W12:$CX12),IF(($W$3:$CX$3=DL$3)*1,$W$19:$CX$19))/SUM(IF(($W$3:$CX$3=DL$3)*1,$W$19:$CX$19))</f>
        <v>1.4518280588886694</v>
      </c>
      <c r="DM12" s="454">
        <f t="array" ref="DM12">SUMPRODUCT(IF(($W$3:$CX$3=DM$3)*1,$W12:$CX12),IF(($W$3:$CX$3=DM$3)*1,$W$19:$CX$19))/SUM(IF(($W$3:$CX$3=DM$3)*1,$W$19:$CX$19))</f>
        <v>1.6425163377275891</v>
      </c>
      <c r="DN12" s="454">
        <f t="array" ref="DN12">SUMPRODUCT(IF(1*($W$2:$CX$2=DN$2),$W12:$CX12),IF(1*($W$2:$CX$2=DN$2),$W$19:$CX$19))/SUM(IF(1*($W$2:$CX$2=DN$2),$W$19:$CX$19))</f>
        <v>2.1508554638150486</v>
      </c>
      <c r="DO12" s="454">
        <f t="array" ref="DO12">SUMPRODUCT(IF(1*($W$2:$CX$2=DO$2),$W12:$CX12),IF(1*($W$2:$CX$2=DO$2),$W$19:$CX$19))/SUM(IF(1*($W$2:$CX$2=DO$2),$W$19:$CX$19))</f>
        <v>0.21128675171597514</v>
      </c>
      <c r="DP12" s="454">
        <f t="array" ref="DP12">SUMPRODUCT(IF(1*1,$W12:$CX12),IF(1*1,$W$19:$CX$19))/SUM(IF(1*1,$W$19:$CX$19))</f>
        <v>1.420627793118046</v>
      </c>
    </row>
    <row r="13" spans="1:120" s="428" customFormat="1" ht="15.75" customHeight="1" thickBot="1" x14ac:dyDescent="0.3">
      <c r="A13" s="640"/>
      <c r="B13" s="669"/>
      <c r="C13" s="418">
        <f>'MD-ratings-year'!C13</f>
        <v>0.15</v>
      </c>
      <c r="D13" s="419" t="str">
        <f>'MD-ratings-year'!D13</f>
        <v>Debt-to-EBITDA Ratio</v>
      </c>
      <c r="E13" s="420" t="str">
        <f>'MD-ratings-year'!E13</f>
        <v>Total Debt / Earnings Before Interest Taxes Depreciation &amp; Amortization</v>
      </c>
      <c r="F13" s="422" t="s">
        <v>400</v>
      </c>
      <c r="G13" s="653"/>
      <c r="H13" s="243"/>
      <c r="I13" s="577">
        <f>'SK-ratios'!U16</f>
        <v>318.65408977205362</v>
      </c>
      <c r="J13" s="243"/>
      <c r="K13" s="258">
        <f>'MD-ratings-year'!P13</f>
        <v>210.60483936461708</v>
      </c>
      <c r="L13" s="568">
        <f>'MD-ratings-year'!Q13</f>
        <v>5.3219685148492397</v>
      </c>
      <c r="M13" s="568">
        <f>'MD-ratings-year'!R13</f>
        <v>0.8898384879441904</v>
      </c>
      <c r="N13" s="568">
        <f>'MD-ratings-year'!S13</f>
        <v>0.14878189008775705</v>
      </c>
      <c r="O13" s="258">
        <f>'MD-ratings-year'!T13</f>
        <v>0</v>
      </c>
      <c r="P13" s="258"/>
      <c r="Q13" s="258"/>
      <c r="R13" s="258"/>
      <c r="S13" s="243"/>
      <c r="T13" s="243"/>
      <c r="U13" s="243"/>
      <c r="V13" s="252"/>
      <c r="W13" s="455">
        <f>IF('SK-ratios'!AF16&lt;0,IF(ABS('SK-ratios'!AF16)&gt;'SK-ratios'!$Y16,0,10-10*LOG(1+('SK-ratios'!$U16-1)*(ABS('SK-ratios'!AF16)-'SK-ratios'!$AC16)/('SK-ratios'!$Y16-'SK-ratios'!$AC16))/LOG('SK-ratios'!$U16))/2,IF('SK-ratios'!AF16&gt;'SK-ratios'!$Y16,0,10-10*LOG(1+('SK-ratios'!$U16-1)*('SK-ratios'!AF16-'SK-ratios'!$AC16)/('SK-ratios'!$Y16-'SK-ratios'!$AC16))/LOG('SK-ratios'!$U16)))</f>
        <v>7.5038070633679386</v>
      </c>
      <c r="X13" s="455">
        <f>IF('SK-ratios'!AG16&lt;0,IF(ABS('SK-ratios'!AG16)&gt;'SK-ratios'!$Y16,0,10-10*LOG(1+('SK-ratios'!$U16-1)*(ABS('SK-ratios'!AG16)-'SK-ratios'!$AC16)/('SK-ratios'!$Y16-'SK-ratios'!$AC16))/LOG('SK-ratios'!$U16))/2,IF('SK-ratios'!AG16&gt;'SK-ratios'!$Y16,0,10-10*LOG(1+('SK-ratios'!$U16-1)*('SK-ratios'!AG16-'SK-ratios'!$AC16)/('SK-ratios'!$Y16-'SK-ratios'!$AC16))/LOG('SK-ratios'!$U16)))</f>
        <v>8.6272109454013481</v>
      </c>
      <c r="Y13" s="455">
        <f>IF('SK-ratios'!AH16&lt;0,IF(ABS('SK-ratios'!AH16)&gt;'SK-ratios'!$Y16,0,10-10*LOG(1+('SK-ratios'!$U16-1)*(ABS('SK-ratios'!AH16)-'SK-ratios'!$AC16)/('SK-ratios'!$Y16-'SK-ratios'!$AC16))/LOG('SK-ratios'!$U16))/2,IF('SK-ratios'!AH16&gt;'SK-ratios'!$Y16,0,10-10*LOG(1+('SK-ratios'!$U16-1)*('SK-ratios'!AH16-'SK-ratios'!$AC16)/('SK-ratios'!$Y16-'SK-ratios'!$AC16))/LOG('SK-ratios'!$U16)))</f>
        <v>5.7811139110710474</v>
      </c>
      <c r="Z13" s="455">
        <f>IF('SK-ratios'!AI16&lt;0,IF(ABS('SK-ratios'!AI16)&gt;'SK-ratios'!$Y16,0,10-10*LOG(1+('SK-ratios'!$U16-1)*(ABS('SK-ratios'!AI16)-'SK-ratios'!$AC16)/('SK-ratios'!$Y16-'SK-ratios'!$AC16))/LOG('SK-ratios'!$U16))/2,IF('SK-ratios'!AI16&gt;'SK-ratios'!$Y16,0,10-10*LOG(1+('SK-ratios'!$U16-1)*('SK-ratios'!AI16-'SK-ratios'!$AC16)/('SK-ratios'!$Y16-'SK-ratios'!$AC16))/LOG('SK-ratios'!$U16)))</f>
        <v>6.0114874803774967</v>
      </c>
      <c r="AA13" s="455">
        <f>IF('SK-ratios'!AJ16&lt;0,IF(ABS('SK-ratios'!AJ16)&gt;'SK-ratios'!$Y16,0,10-10*LOG(1+('SK-ratios'!$U16-1)*(ABS('SK-ratios'!AJ16)-'SK-ratios'!$AC16)/('SK-ratios'!$Y16-'SK-ratios'!$AC16))/LOG('SK-ratios'!$U16))/2,IF('SK-ratios'!AJ16&gt;'SK-ratios'!$Y16,0,10-10*LOG(1+('SK-ratios'!$U16-1)*('SK-ratios'!AJ16-'SK-ratios'!$AC16)/('SK-ratios'!$Y16-'SK-ratios'!$AC16))/LOG('SK-ratios'!$U16)))</f>
        <v>5.8853220656243552</v>
      </c>
      <c r="AB13" s="455">
        <f>IF('SK-ratios'!AK16&lt;0,IF(ABS('SK-ratios'!AK16)&gt;'SK-ratios'!$Y16,0,10-10*LOG(1+('SK-ratios'!$U16-1)*(ABS('SK-ratios'!AK16)-'SK-ratios'!$AC16)/('SK-ratios'!$Y16-'SK-ratios'!$AC16))/LOG('SK-ratios'!$U16))/2,IF('SK-ratios'!AK16&gt;'SK-ratios'!$Y16,0,10-10*LOG(1+('SK-ratios'!$U16-1)*('SK-ratios'!AK16-'SK-ratios'!$AC16)/('SK-ratios'!$Y16-'SK-ratios'!$AC16))/LOG('SK-ratios'!$U16)))</f>
        <v>5.8361329228517773</v>
      </c>
      <c r="AC13" s="455">
        <f>IF('SK-ratios'!AL16&lt;0,IF(ABS('SK-ratios'!AL16)&gt;'SK-ratios'!$Y16,0,10-10*LOG(1+('SK-ratios'!$U16-1)*(ABS('SK-ratios'!AL16)-'SK-ratios'!$AC16)/('SK-ratios'!$Y16-'SK-ratios'!$AC16))/LOG('SK-ratios'!$U16))/2,IF('SK-ratios'!AL16&gt;'SK-ratios'!$Y16,0,10-10*LOG(1+('SK-ratios'!$U16-1)*('SK-ratios'!AL16-'SK-ratios'!$AC16)/('SK-ratios'!$Y16-'SK-ratios'!$AC16))/LOG('SK-ratios'!$U16)))</f>
        <v>8.3751759175605507</v>
      </c>
      <c r="AD13" s="455">
        <f>IF('SK-ratios'!AM16&lt;0,IF(ABS('SK-ratios'!AM16)&gt;'SK-ratios'!$Y16,0,10-10*LOG(1+('SK-ratios'!$U16-1)*(ABS('SK-ratios'!AM16)-'SK-ratios'!$AC16)/('SK-ratios'!$Y16-'SK-ratios'!$AC16))/LOG('SK-ratios'!$U16))/2,IF('SK-ratios'!AM16&gt;'SK-ratios'!$Y16,0,10-10*LOG(1+('SK-ratios'!$U16-1)*('SK-ratios'!AM16-'SK-ratios'!$AC16)/('SK-ratios'!$Y16-'SK-ratios'!$AC16))/LOG('SK-ratios'!$U16)))</f>
        <v>7.6311841744563793</v>
      </c>
      <c r="AE13" s="455">
        <f>IF('SK-ratios'!AN16&lt;0,IF(ABS('SK-ratios'!AN16)&gt;'SK-ratios'!$Y16,0,10-10*LOG(1+('SK-ratios'!$U16-1)*(ABS('SK-ratios'!AN16)-'SK-ratios'!$AC16)/('SK-ratios'!$Y16-'SK-ratios'!$AC16))/LOG('SK-ratios'!$U16))/2,IF('SK-ratios'!AN16&gt;'SK-ratios'!$Y16,0,10-10*LOG(1+('SK-ratios'!$U16-1)*('SK-ratios'!AN16-'SK-ratios'!$AC16)/('SK-ratios'!$Y16-'SK-ratios'!$AC16))/LOG('SK-ratios'!$U16)))</f>
        <v>3.5149762369131823</v>
      </c>
      <c r="AF13" s="455">
        <f>IF('SK-ratios'!AO16&lt;0,IF(ABS('SK-ratios'!AO16)&gt;'SK-ratios'!$Y16,0,10-10*LOG(1+('SK-ratios'!$U16-1)*(ABS('SK-ratios'!AO16)-'SK-ratios'!$AC16)/('SK-ratios'!$Y16-'SK-ratios'!$AC16))/LOG('SK-ratios'!$U16))/2,IF('SK-ratios'!AO16&gt;'SK-ratios'!$Y16,0,10-10*LOG(1+('SK-ratios'!$U16-1)*('SK-ratios'!AO16-'SK-ratios'!$AC16)/('SK-ratios'!$Y16-'SK-ratios'!$AC16))/LOG('SK-ratios'!$U16)))</f>
        <v>4.1926114196692277</v>
      </c>
      <c r="AG13" s="455">
        <f>IF('SK-ratios'!AP16&lt;0,IF(ABS('SK-ratios'!AP16)&gt;'SK-ratios'!$Y16,0,10-10*LOG(1+('SK-ratios'!$U16-1)*(ABS('SK-ratios'!AP16)-'SK-ratios'!$AC16)/('SK-ratios'!$Y16-'SK-ratios'!$AC16))/LOG('SK-ratios'!$U16))/2,IF('SK-ratios'!AP16&gt;'SK-ratios'!$Y16,0,10-10*LOG(1+('SK-ratios'!$U16-1)*('SK-ratios'!AP16-'SK-ratios'!$AC16)/('SK-ratios'!$Y16-'SK-ratios'!$AC16))/LOG('SK-ratios'!$U16)))</f>
        <v>7.9788243397738494</v>
      </c>
      <c r="AH13" s="455">
        <f>IF('SK-ratios'!AQ16&lt;0,IF(ABS('SK-ratios'!AQ16)&gt;'SK-ratios'!$Y16,0,10-10*LOG(1+('SK-ratios'!$U16-1)*(ABS('SK-ratios'!AQ16)-'SK-ratios'!$AC16)/('SK-ratios'!$Y16-'SK-ratios'!$AC16))/LOG('SK-ratios'!$U16))/2,IF('SK-ratios'!AQ16&gt;'SK-ratios'!$Y16,0,10-10*LOG(1+('SK-ratios'!$U16-1)*('SK-ratios'!AQ16-'SK-ratios'!$AC16)/('SK-ratios'!$Y16-'SK-ratios'!$AC16))/LOG('SK-ratios'!$U16)))</f>
        <v>4.7366832420784943</v>
      </c>
      <c r="AI13" s="455">
        <f>IF('SK-ratios'!AR16&lt;0,IF(ABS('SK-ratios'!AR16)&gt;'SK-ratios'!$Y16,0,10-10*LOG(1+('SK-ratios'!$U16-1)*(ABS('SK-ratios'!AR16)-'SK-ratios'!$AC16)/('SK-ratios'!$Y16-'SK-ratios'!$AC16))/LOG('SK-ratios'!$U16))/2,IF('SK-ratios'!AR16&gt;'SK-ratios'!$Y16,0,10-10*LOG(1+('SK-ratios'!$U16-1)*('SK-ratios'!AR16-'SK-ratios'!$AC16)/('SK-ratios'!$Y16-'SK-ratios'!$AC16))/LOG('SK-ratios'!$U16)))</f>
        <v>7.5725888765812526</v>
      </c>
      <c r="AJ13" s="455">
        <f>IF('SK-ratios'!AS16&lt;0,IF(ABS('SK-ratios'!AS16)&gt;'SK-ratios'!$Y16,0,10-10*LOG(1+('SK-ratios'!$U16-1)*(ABS('SK-ratios'!AS16)-'SK-ratios'!$AC16)/('SK-ratios'!$Y16-'SK-ratios'!$AC16))/LOG('SK-ratios'!$U16))/2,IF('SK-ratios'!AS16&gt;'SK-ratios'!$Y16,0,10-10*LOG(1+('SK-ratios'!$U16-1)*('SK-ratios'!AS16-'SK-ratios'!$AC16)/('SK-ratios'!$Y16-'SK-ratios'!$AC16))/LOG('SK-ratios'!$U16)))</f>
        <v>5.7370694519524754</v>
      </c>
      <c r="AK13" s="455">
        <f>IF('SK-ratios'!AT16&lt;0,IF(ABS('SK-ratios'!AT16)&gt;'SK-ratios'!$Y16,0,10-10*LOG(1+('SK-ratios'!$U16-1)*(ABS('SK-ratios'!AT16)-'SK-ratios'!$AC16)/('SK-ratios'!$Y16-'SK-ratios'!$AC16))/LOG('SK-ratios'!$U16))/2,IF('SK-ratios'!AT16&gt;'SK-ratios'!$Y16,0,10-10*LOG(1+('SK-ratios'!$U16-1)*('SK-ratios'!AT16-'SK-ratios'!$AC16)/('SK-ratios'!$Y16-'SK-ratios'!$AC16))/LOG('SK-ratios'!$U16)))</f>
        <v>6.4274290552182949</v>
      </c>
      <c r="AL13" s="455">
        <f>IF('SK-ratios'!AU16&lt;0,IF(ABS('SK-ratios'!AU16)&gt;'SK-ratios'!$Y16,0,10-10*LOG(1+('SK-ratios'!$U16-1)*(ABS('SK-ratios'!AU16)-'SK-ratios'!$AC16)/('SK-ratios'!$Y16-'SK-ratios'!$AC16))/LOG('SK-ratios'!$U16))/2,IF('SK-ratios'!AU16&gt;'SK-ratios'!$Y16,0,10-10*LOG(1+('SK-ratios'!$U16-1)*('SK-ratios'!AU16-'SK-ratios'!$AC16)/('SK-ratios'!$Y16-'SK-ratios'!$AC16))/LOG('SK-ratios'!$U16)))</f>
        <v>6.8105333458659949</v>
      </c>
      <c r="AM13" s="455">
        <f>IF('SK-ratios'!AV16&lt;0,IF(ABS('SK-ratios'!AV16)&gt;'SK-ratios'!$Y16,0,10-10*LOG(1+('SK-ratios'!$U16-1)*(ABS('SK-ratios'!AV16)-'SK-ratios'!$AC16)/('SK-ratios'!$Y16-'SK-ratios'!$AC16))/LOG('SK-ratios'!$U16))/2,IF('SK-ratios'!AV16&gt;'SK-ratios'!$Y16,0,10-10*LOG(1+('SK-ratios'!$U16-1)*('SK-ratios'!AV16-'SK-ratios'!$AC16)/('SK-ratios'!$Y16-'SK-ratios'!$AC16))/LOG('SK-ratios'!$U16)))</f>
        <v>8.2380786165373703</v>
      </c>
      <c r="AN13" s="455">
        <f>IF('SK-ratios'!AW16&lt;0,IF(ABS('SK-ratios'!AW16)&gt;'SK-ratios'!$Y16,0,10-10*LOG(1+('SK-ratios'!$U16-1)*(ABS('SK-ratios'!AW16)-'SK-ratios'!$AC16)/('SK-ratios'!$Y16-'SK-ratios'!$AC16))/LOG('SK-ratios'!$U16))/2,IF('SK-ratios'!AW16&gt;'SK-ratios'!$Y16,0,10-10*LOG(1+('SK-ratios'!$U16-1)*('SK-ratios'!AW16-'SK-ratios'!$AC16)/('SK-ratios'!$Y16-'SK-ratios'!$AC16))/LOG('SK-ratios'!$U16)))</f>
        <v>2.2956244740758862</v>
      </c>
      <c r="AO13" s="455">
        <f>IF('SK-ratios'!AX16&lt;0,IF(ABS('SK-ratios'!AX16)&gt;'SK-ratios'!$Y16,0,10-10*LOG(1+('SK-ratios'!$U16-1)*(ABS('SK-ratios'!AX16)-'SK-ratios'!$AC16)/('SK-ratios'!$Y16-'SK-ratios'!$AC16))/LOG('SK-ratios'!$U16))/2,IF('SK-ratios'!AX16&gt;'SK-ratios'!$Y16,0,10-10*LOG(1+('SK-ratios'!$U16-1)*('SK-ratios'!AX16-'SK-ratios'!$AC16)/('SK-ratios'!$Y16-'SK-ratios'!$AC16))/LOG('SK-ratios'!$U16)))</f>
        <v>5.3829534948615088</v>
      </c>
      <c r="AP13" s="455">
        <f>IF('SK-ratios'!AY16&lt;0,IF(ABS('SK-ratios'!AY16)&gt;'SK-ratios'!$Y16,0,10-10*LOG(1+('SK-ratios'!$U16-1)*(ABS('SK-ratios'!AY16)-'SK-ratios'!$AC16)/('SK-ratios'!$Y16-'SK-ratios'!$AC16))/LOG('SK-ratios'!$U16))/2,IF('SK-ratios'!AY16&gt;'SK-ratios'!$Y16,0,10-10*LOG(1+('SK-ratios'!$U16-1)*('SK-ratios'!AY16-'SK-ratios'!$AC16)/('SK-ratios'!$Y16-'SK-ratios'!$AC16))/LOG('SK-ratios'!$U16)))</f>
        <v>5.6487458686971506</v>
      </c>
      <c r="AQ13" s="455">
        <f>IF('SK-ratios'!AZ16&lt;0,IF(ABS('SK-ratios'!AZ16)&gt;'SK-ratios'!$Y16,0,10-10*LOG(1+('SK-ratios'!$U16-1)*(ABS('SK-ratios'!AZ16)-'SK-ratios'!$AC16)/('SK-ratios'!$Y16-'SK-ratios'!$AC16))/LOG('SK-ratios'!$U16))/2,IF('SK-ratios'!AZ16&gt;'SK-ratios'!$Y16,0,10-10*LOG(1+('SK-ratios'!$U16-1)*('SK-ratios'!AZ16-'SK-ratios'!$AC16)/('SK-ratios'!$Y16-'SK-ratios'!$AC16))/LOG('SK-ratios'!$U16)))</f>
        <v>3.3972509257522985</v>
      </c>
      <c r="AR13" s="455">
        <f>IF('SK-ratios'!BA16&lt;0,IF(ABS('SK-ratios'!BA16)&gt;'SK-ratios'!$Y16,0,10-10*LOG(1+('SK-ratios'!$U16-1)*(ABS('SK-ratios'!BA16)-'SK-ratios'!$AC16)/('SK-ratios'!$Y16-'SK-ratios'!$AC16))/LOG('SK-ratios'!$U16))/2,IF('SK-ratios'!BA16&gt;'SK-ratios'!$Y16,0,10-10*LOG(1+('SK-ratios'!$U16-1)*('SK-ratios'!BA16-'SK-ratios'!$AC16)/('SK-ratios'!$Y16-'SK-ratios'!$AC16))/LOG('SK-ratios'!$U16)))</f>
        <v>8.1229647440214574</v>
      </c>
      <c r="AS13" s="455">
        <f>IF('SK-ratios'!BB16&lt;0,IF(ABS('SK-ratios'!BB16)&gt;'SK-ratios'!$Y16,0,10-10*LOG(1+('SK-ratios'!$U16-1)*(ABS('SK-ratios'!BB16)-'SK-ratios'!$AC16)/('SK-ratios'!$Y16-'SK-ratios'!$AC16))/LOG('SK-ratios'!$U16))/2,IF('SK-ratios'!BB16&gt;'SK-ratios'!$Y16,0,10-10*LOG(1+('SK-ratios'!$U16-1)*('SK-ratios'!BB16-'SK-ratios'!$AC16)/('SK-ratios'!$Y16-'SK-ratios'!$AC16))/LOG('SK-ratios'!$U16)))</f>
        <v>6.9477206552347521</v>
      </c>
      <c r="AT13" s="455">
        <f>IF('SK-ratios'!BC16&lt;0,IF(ABS('SK-ratios'!BC16)&gt;'SK-ratios'!$Y16,0,10-10*LOG(1+('SK-ratios'!$U16-1)*(ABS('SK-ratios'!BC16)-'SK-ratios'!$AC16)/('SK-ratios'!$Y16-'SK-ratios'!$AC16))/LOG('SK-ratios'!$U16))/2,IF('SK-ratios'!BC16&gt;'SK-ratios'!$Y16,0,10-10*LOG(1+('SK-ratios'!$U16-1)*('SK-ratios'!BC16-'SK-ratios'!$AC16)/('SK-ratios'!$Y16-'SK-ratios'!$AC16))/LOG('SK-ratios'!$U16)))</f>
        <v>3.3396734900790372</v>
      </c>
      <c r="AU13" s="455">
        <f>IF('SK-ratios'!BD16&lt;0,IF(ABS('SK-ratios'!BD16)&gt;'SK-ratios'!$Y16,0,10-10*LOG(1+('SK-ratios'!$U16-1)*(ABS('SK-ratios'!BD16)-'SK-ratios'!$AC16)/('SK-ratios'!$Y16-'SK-ratios'!$AC16))/LOG('SK-ratios'!$U16))/2,IF('SK-ratios'!BD16&gt;'SK-ratios'!$Y16,0,10-10*LOG(1+('SK-ratios'!$U16-1)*('SK-ratios'!BD16-'SK-ratios'!$AC16)/('SK-ratios'!$Y16-'SK-ratios'!$AC16))/LOG('SK-ratios'!$U16)))</f>
        <v>3.4088998120086149</v>
      </c>
      <c r="AV13" s="455">
        <f>IF('SK-ratios'!BE16&lt;0,IF(ABS('SK-ratios'!BE16)&gt;'SK-ratios'!$Y16,0,10-10*LOG(1+('SK-ratios'!$U16-1)*(ABS('SK-ratios'!BE16)-'SK-ratios'!$AC16)/('SK-ratios'!$Y16-'SK-ratios'!$AC16))/LOG('SK-ratios'!$U16))/2,IF('SK-ratios'!BE16&gt;'SK-ratios'!$Y16,0,10-10*LOG(1+('SK-ratios'!$U16-1)*('SK-ratios'!BE16-'SK-ratios'!$AC16)/('SK-ratios'!$Y16-'SK-ratios'!$AC16))/LOG('SK-ratios'!$U16)))</f>
        <v>8.9745797571517212</v>
      </c>
      <c r="AW13" s="455">
        <f>IF('SK-ratios'!BF16&lt;0,IF(ABS('SK-ratios'!BF16)&gt;'SK-ratios'!$Y16,0,10-10*LOG(1+('SK-ratios'!$U16-1)*(ABS('SK-ratios'!BF16)-'SK-ratios'!$AC16)/('SK-ratios'!$Y16-'SK-ratios'!$AC16))/LOG('SK-ratios'!$U16))/2,IF('SK-ratios'!BF16&gt;'SK-ratios'!$Y16,0,10-10*LOG(1+('SK-ratios'!$U16-1)*('SK-ratios'!BF16-'SK-ratios'!$AC16)/('SK-ratios'!$Y16-'SK-ratios'!$AC16))/LOG('SK-ratios'!$U16)))</f>
        <v>4.7646929917147141</v>
      </c>
      <c r="AX13" s="455">
        <f>IF('SK-ratios'!BG16&lt;0,IF(ABS('SK-ratios'!BG16)&gt;'SK-ratios'!$Y16,0,10-10*LOG(1+('SK-ratios'!$U16-1)*(ABS('SK-ratios'!BG16)-'SK-ratios'!$AC16)/('SK-ratios'!$Y16-'SK-ratios'!$AC16))/LOG('SK-ratios'!$U16))/2,IF('SK-ratios'!BG16&gt;'SK-ratios'!$Y16,0,10-10*LOG(1+('SK-ratios'!$U16-1)*('SK-ratios'!BG16-'SK-ratios'!$AC16)/('SK-ratios'!$Y16-'SK-ratios'!$AC16))/LOG('SK-ratios'!$U16)))</f>
        <v>2.8079528700791947</v>
      </c>
      <c r="AY13" s="455">
        <f>IF('SK-ratios'!BH16&lt;0,IF(ABS('SK-ratios'!BH16)&gt;'SK-ratios'!$Y16,0,10-10*LOG(1+('SK-ratios'!$U16-1)*(ABS('SK-ratios'!BH16)-'SK-ratios'!$AC16)/('SK-ratios'!$Y16-'SK-ratios'!$AC16))/LOG('SK-ratios'!$U16))/2,IF('SK-ratios'!BH16&gt;'SK-ratios'!$Y16,0,10-10*LOG(1+('SK-ratios'!$U16-1)*('SK-ratios'!BH16-'SK-ratios'!$AC16)/('SK-ratios'!$Y16-'SK-ratios'!$AC16))/LOG('SK-ratios'!$U16)))</f>
        <v>8.8786625851668344</v>
      </c>
      <c r="AZ13" s="455">
        <f>IF('SK-ratios'!BI16&lt;0,IF(ABS('SK-ratios'!BI16)&gt;'SK-ratios'!$Y16,0,10-10*LOG(1+('SK-ratios'!$U16-1)*(ABS('SK-ratios'!BI16)-'SK-ratios'!$AC16)/('SK-ratios'!$Y16-'SK-ratios'!$AC16))/LOG('SK-ratios'!$U16))/2,IF('SK-ratios'!BI16&gt;'SK-ratios'!$Y16,0,10-10*LOG(1+('SK-ratios'!$U16-1)*('SK-ratios'!BI16-'SK-ratios'!$AC16)/('SK-ratios'!$Y16-'SK-ratios'!$AC16))/LOG('SK-ratios'!$U16)))</f>
        <v>8.102558598602057</v>
      </c>
      <c r="BA13" s="455">
        <f>IF('SK-ratios'!BJ16&lt;0,IF(ABS('SK-ratios'!BJ16)&gt;'SK-ratios'!$Y16,0,10-10*LOG(1+('SK-ratios'!$U16-1)*(ABS('SK-ratios'!BJ16)-'SK-ratios'!$AC16)/('SK-ratios'!$Y16-'SK-ratios'!$AC16))/LOG('SK-ratios'!$U16))/2,IF('SK-ratios'!BJ16&gt;'SK-ratios'!$Y16,0,10-10*LOG(1+('SK-ratios'!$U16-1)*('SK-ratios'!BJ16-'SK-ratios'!$AC16)/('SK-ratios'!$Y16-'SK-ratios'!$AC16))/LOG('SK-ratios'!$U16)))</f>
        <v>7.4577916598157934</v>
      </c>
      <c r="BB13" s="455">
        <f>IF('SK-ratios'!BK16&lt;0,IF(ABS('SK-ratios'!BK16)&gt;'SK-ratios'!$Y16,0,10-10*LOG(1+('SK-ratios'!$U16-1)*(ABS('SK-ratios'!BK16)-'SK-ratios'!$AC16)/('SK-ratios'!$Y16-'SK-ratios'!$AC16))/LOG('SK-ratios'!$U16))/2,IF('SK-ratios'!BK16&gt;'SK-ratios'!$Y16,0,10-10*LOG(1+('SK-ratios'!$U16-1)*('SK-ratios'!BK16-'SK-ratios'!$AC16)/('SK-ratios'!$Y16-'SK-ratios'!$AC16))/LOG('SK-ratios'!$U16)))</f>
        <v>7.2786657651510689</v>
      </c>
      <c r="BC13" s="455">
        <f>IF('SK-ratios'!BL16&lt;0,IF(ABS('SK-ratios'!BL16)&gt;'SK-ratios'!$Y16,0,10-10*LOG(1+('SK-ratios'!$U16-1)*(ABS('SK-ratios'!BL16)-'SK-ratios'!$AC16)/('SK-ratios'!$Y16-'SK-ratios'!$AC16))/LOG('SK-ratios'!$U16))/2,IF('SK-ratios'!BL16&gt;'SK-ratios'!$Y16,0,10-10*LOG(1+('SK-ratios'!$U16-1)*('SK-ratios'!BL16-'SK-ratios'!$AC16)/('SK-ratios'!$Y16-'SK-ratios'!$AC16))/LOG('SK-ratios'!$U16)))</f>
        <v>5.6301101783867953</v>
      </c>
      <c r="BD13" s="455">
        <f>IF('SK-ratios'!BM16&lt;0,IF(ABS('SK-ratios'!BM16)&gt;'SK-ratios'!$Y16,0,10-10*LOG(1+('SK-ratios'!$U16-1)*(ABS('SK-ratios'!BM16)-'SK-ratios'!$AC16)/('SK-ratios'!$Y16-'SK-ratios'!$AC16))/LOG('SK-ratios'!$U16))/2,IF('SK-ratios'!BM16&gt;'SK-ratios'!$Y16,0,10-10*LOG(1+('SK-ratios'!$U16-1)*('SK-ratios'!BM16-'SK-ratios'!$AC16)/('SK-ratios'!$Y16-'SK-ratios'!$AC16))/LOG('SK-ratios'!$U16)))</f>
        <v>6.6526787048760312</v>
      </c>
      <c r="BE13" s="455">
        <f>IF('SK-ratios'!BN16&lt;0,IF(ABS('SK-ratios'!BN16)&gt;'SK-ratios'!$Y16,0,10-10*LOG(1+('SK-ratios'!$U16-1)*(ABS('SK-ratios'!BN16)-'SK-ratios'!$AC16)/('SK-ratios'!$Y16-'SK-ratios'!$AC16))/LOG('SK-ratios'!$U16))/2,IF('SK-ratios'!BN16&gt;'SK-ratios'!$Y16,0,10-10*LOG(1+('SK-ratios'!$U16-1)*('SK-ratios'!BN16-'SK-ratios'!$AC16)/('SK-ratios'!$Y16-'SK-ratios'!$AC16))/LOG('SK-ratios'!$U16)))</f>
        <v>6.2651731913557009</v>
      </c>
      <c r="BF13" s="455">
        <f>IF('SK-ratios'!BO16&lt;0,IF(ABS('SK-ratios'!BO16)&gt;'SK-ratios'!$Y16,0,10-10*LOG(1+('SK-ratios'!$U16-1)*(ABS('SK-ratios'!BO16)-'SK-ratios'!$AC16)/('SK-ratios'!$Y16-'SK-ratios'!$AC16))/LOG('SK-ratios'!$U16))/2,IF('SK-ratios'!BO16&gt;'SK-ratios'!$Y16,0,10-10*LOG(1+('SK-ratios'!$U16-1)*('SK-ratios'!BO16-'SK-ratios'!$AC16)/('SK-ratios'!$Y16-'SK-ratios'!$AC16))/LOG('SK-ratios'!$U16)))</f>
        <v>6.5634761374224011</v>
      </c>
      <c r="BG13" s="455">
        <f>IF('SK-ratios'!BP16&lt;0,IF(ABS('SK-ratios'!BP16)&gt;'SK-ratios'!$Y16,0,10-10*LOG(1+('SK-ratios'!$U16-1)*(ABS('SK-ratios'!BP16)-'SK-ratios'!$AC16)/('SK-ratios'!$Y16-'SK-ratios'!$AC16))/LOG('SK-ratios'!$U16))/2,IF('SK-ratios'!BP16&gt;'SK-ratios'!$Y16,0,10-10*LOG(1+('SK-ratios'!$U16-1)*('SK-ratios'!BP16-'SK-ratios'!$AC16)/('SK-ratios'!$Y16-'SK-ratios'!$AC16))/LOG('SK-ratios'!$U16)))</f>
        <v>7.5614636971021296</v>
      </c>
      <c r="BH13" s="455">
        <f>IF('SK-ratios'!BQ16&lt;0,IF(ABS('SK-ratios'!BQ16)&gt;'SK-ratios'!$Y16,0,10-10*LOG(1+('SK-ratios'!$U16-1)*(ABS('SK-ratios'!BQ16)-'SK-ratios'!$AC16)/('SK-ratios'!$Y16-'SK-ratios'!$AC16))/LOG('SK-ratios'!$U16))/2,IF('SK-ratios'!BQ16&gt;'SK-ratios'!$Y16,0,10-10*LOG(1+('SK-ratios'!$U16-1)*('SK-ratios'!BQ16-'SK-ratios'!$AC16)/('SK-ratios'!$Y16-'SK-ratios'!$AC16))/LOG('SK-ratios'!$U16)))</f>
        <v>7.738504718483826</v>
      </c>
      <c r="BI13" s="455">
        <f>IF('SK-ratios'!BR16&lt;0,IF(ABS('SK-ratios'!BR16)&gt;'SK-ratios'!$Y16,0,10-10*LOG(1+('SK-ratios'!$U16-1)*(ABS('SK-ratios'!BR16)-'SK-ratios'!$AC16)/('SK-ratios'!$Y16-'SK-ratios'!$AC16))/LOG('SK-ratios'!$U16))/2,IF('SK-ratios'!BR16&gt;'SK-ratios'!$Y16,0,10-10*LOG(1+('SK-ratios'!$U16-1)*('SK-ratios'!BR16-'SK-ratios'!$AC16)/('SK-ratios'!$Y16-'SK-ratios'!$AC16))/LOG('SK-ratios'!$U16)))</f>
        <v>3.8048580604960849</v>
      </c>
      <c r="BJ13" s="455">
        <f>IF('SK-ratios'!BS16&lt;0,IF(ABS('SK-ratios'!BS16)&gt;'SK-ratios'!$Y16,0,10-10*LOG(1+('SK-ratios'!$U16-1)*(ABS('SK-ratios'!BS16)-'SK-ratios'!$AC16)/('SK-ratios'!$Y16-'SK-ratios'!$AC16))/LOG('SK-ratios'!$U16))/2,IF('SK-ratios'!BS16&gt;'SK-ratios'!$Y16,0,10-10*LOG(1+('SK-ratios'!$U16-1)*('SK-ratios'!BS16-'SK-ratios'!$AC16)/('SK-ratios'!$Y16-'SK-ratios'!$AC16))/LOG('SK-ratios'!$U16)))</f>
        <v>5.8246225604644506</v>
      </c>
      <c r="BK13" s="455">
        <f>IF('SK-ratios'!BT16&lt;0,IF(ABS('SK-ratios'!BT16)&gt;'SK-ratios'!$Y16,0,10-10*LOG(1+('SK-ratios'!$U16-1)*(ABS('SK-ratios'!BT16)-'SK-ratios'!$AC16)/('SK-ratios'!$Y16-'SK-ratios'!$AC16))/LOG('SK-ratios'!$U16))/2,IF('SK-ratios'!BT16&gt;'SK-ratios'!$Y16,0,10-10*LOG(1+('SK-ratios'!$U16-1)*('SK-ratios'!BT16-'SK-ratios'!$AC16)/('SK-ratios'!$Y16-'SK-ratios'!$AC16))/LOG('SK-ratios'!$U16)))</f>
        <v>3.685711951725855</v>
      </c>
      <c r="BL13" s="455">
        <f>IF('SK-ratios'!BU16&lt;0,IF(ABS('SK-ratios'!BU16)&gt;'SK-ratios'!$Y16,0,10-10*LOG(1+('SK-ratios'!$U16-1)*(ABS('SK-ratios'!BU16)-'SK-ratios'!$AC16)/('SK-ratios'!$Y16-'SK-ratios'!$AC16))/LOG('SK-ratios'!$U16))/2,IF('SK-ratios'!BU16&gt;'SK-ratios'!$Y16,0,10-10*LOG(1+('SK-ratios'!$U16-1)*('SK-ratios'!BU16-'SK-ratios'!$AC16)/('SK-ratios'!$Y16-'SK-ratios'!$AC16))/LOG('SK-ratios'!$U16)))</f>
        <v>3.4102670423767076</v>
      </c>
      <c r="BM13" s="455">
        <f>IF('SK-ratios'!BV16&lt;0,IF(ABS('SK-ratios'!BV16)&gt;'SK-ratios'!$Y16,0,10-10*LOG(1+('SK-ratios'!$U16-1)*(ABS('SK-ratios'!BV16)-'SK-ratios'!$AC16)/('SK-ratios'!$Y16-'SK-ratios'!$AC16))/LOG('SK-ratios'!$U16))/2,IF('SK-ratios'!BV16&gt;'SK-ratios'!$Y16,0,10-10*LOG(1+('SK-ratios'!$U16-1)*('SK-ratios'!BV16-'SK-ratios'!$AC16)/('SK-ratios'!$Y16-'SK-ratios'!$AC16))/LOG('SK-ratios'!$U16)))</f>
        <v>7.912477482092382</v>
      </c>
      <c r="BN13" s="455">
        <f>IF('SK-ratios'!BW16&lt;0,IF(ABS('SK-ratios'!BW16)&gt;'SK-ratios'!$Y16,0,10-10*LOG(1+('SK-ratios'!$U16-1)*(ABS('SK-ratios'!BW16)-'SK-ratios'!$AC16)/('SK-ratios'!$Y16-'SK-ratios'!$AC16))/LOG('SK-ratios'!$U16))/2,IF('SK-ratios'!BW16&gt;'SK-ratios'!$Y16,0,10-10*LOG(1+('SK-ratios'!$U16-1)*('SK-ratios'!BW16-'SK-ratios'!$AC16)/('SK-ratios'!$Y16-'SK-ratios'!$AC16))/LOG('SK-ratios'!$U16)))</f>
        <v>7.1821391288322927</v>
      </c>
      <c r="BO13" s="455">
        <f>IF('SK-ratios'!BX16&lt;0,IF(ABS('SK-ratios'!BX16)&gt;'SK-ratios'!$Y16,0,10-10*LOG(1+('SK-ratios'!$U16-1)*(ABS('SK-ratios'!BX16)-'SK-ratios'!$AC16)/('SK-ratios'!$Y16-'SK-ratios'!$AC16))/LOG('SK-ratios'!$U16))/2,IF('SK-ratios'!BX16&gt;'SK-ratios'!$Y16,0,10-10*LOG(1+('SK-ratios'!$U16-1)*('SK-ratios'!BX16-'SK-ratios'!$AC16)/('SK-ratios'!$Y16-'SK-ratios'!$AC16))/LOG('SK-ratios'!$U16)))</f>
        <v>7.079612661324159</v>
      </c>
      <c r="BP13" s="455">
        <f>IF('SK-ratios'!BY16&lt;0,IF(ABS('SK-ratios'!BY16)&gt;'SK-ratios'!$Y16,0,10-10*LOG(1+('SK-ratios'!$U16-1)*(ABS('SK-ratios'!BY16)-'SK-ratios'!$AC16)/('SK-ratios'!$Y16-'SK-ratios'!$AC16))/LOG('SK-ratios'!$U16))/2,IF('SK-ratios'!BY16&gt;'SK-ratios'!$Y16,0,10-10*LOG(1+('SK-ratios'!$U16-1)*('SK-ratios'!BY16-'SK-ratios'!$AC16)/('SK-ratios'!$Y16-'SK-ratios'!$AC16))/LOG('SK-ratios'!$U16)))</f>
        <v>6.2721245972184043</v>
      </c>
      <c r="BQ13" s="455">
        <f>IF('SK-ratios'!BZ16&lt;0,IF(ABS('SK-ratios'!BZ16)&gt;'SK-ratios'!$Y16,0,10-10*LOG(1+('SK-ratios'!$U16-1)*(ABS('SK-ratios'!BZ16)-'SK-ratios'!$AC16)/('SK-ratios'!$Y16-'SK-ratios'!$AC16))/LOG('SK-ratios'!$U16))/2,IF('SK-ratios'!BZ16&gt;'SK-ratios'!$Y16,0,10-10*LOG(1+('SK-ratios'!$U16-1)*('SK-ratios'!BZ16-'SK-ratios'!$AC16)/('SK-ratios'!$Y16-'SK-ratios'!$AC16))/LOG('SK-ratios'!$U16)))</f>
        <v>1.2424409964592891</v>
      </c>
      <c r="BR13" s="455">
        <f>IF('SK-ratios'!CA16&lt;0,IF(ABS('SK-ratios'!CA16)&gt;'SK-ratios'!$Y16,0,10-10*LOG(1+('SK-ratios'!$U16-1)*(ABS('SK-ratios'!CA16)-'SK-ratios'!$AC16)/('SK-ratios'!$Y16-'SK-ratios'!$AC16))/LOG('SK-ratios'!$U16))/2,IF('SK-ratios'!CA16&gt;'SK-ratios'!$Y16,0,10-10*LOG(1+('SK-ratios'!$U16-1)*('SK-ratios'!CA16-'SK-ratios'!$AC16)/('SK-ratios'!$Y16-'SK-ratios'!$AC16))/LOG('SK-ratios'!$U16)))</f>
        <v>6.0200741502026478</v>
      </c>
      <c r="BS13" s="455">
        <f>IF('SK-ratios'!CB16&lt;0,IF(ABS('SK-ratios'!CB16)&gt;'SK-ratios'!$Y16,0,10-10*LOG(1+('SK-ratios'!$U16-1)*(ABS('SK-ratios'!CB16)-'SK-ratios'!$AC16)/('SK-ratios'!$Y16-'SK-ratios'!$AC16))/LOG('SK-ratios'!$U16))/2,IF('SK-ratios'!CB16&gt;'SK-ratios'!$Y16,0,10-10*LOG(1+('SK-ratios'!$U16-1)*('SK-ratios'!CB16-'SK-ratios'!$AC16)/('SK-ratios'!$Y16-'SK-ratios'!$AC16))/LOG('SK-ratios'!$U16)))</f>
        <v>6.8829688354711971</v>
      </c>
      <c r="BT13" s="455">
        <f>IF('SK-ratios'!CC16&lt;0,IF(ABS('SK-ratios'!CC16)&gt;'SK-ratios'!$Y16,0,10-10*LOG(1+('SK-ratios'!$U16-1)*(ABS('SK-ratios'!CC16)-'SK-ratios'!$AC16)/('SK-ratios'!$Y16-'SK-ratios'!$AC16))/LOG('SK-ratios'!$U16))/2,IF('SK-ratios'!CC16&gt;'SK-ratios'!$Y16,0,10-10*LOG(1+('SK-ratios'!$U16-1)*('SK-ratios'!CC16-'SK-ratios'!$AC16)/('SK-ratios'!$Y16-'SK-ratios'!$AC16))/LOG('SK-ratios'!$U16)))</f>
        <v>6.4851375707076642</v>
      </c>
      <c r="BU13" s="455">
        <f>IF('SK-ratios'!CD16&lt;0,IF(ABS('SK-ratios'!CD16)&gt;'SK-ratios'!$Y16,0,10-10*LOG(1+('SK-ratios'!$U16-1)*(ABS('SK-ratios'!CD16)-'SK-ratios'!$AC16)/('SK-ratios'!$Y16-'SK-ratios'!$AC16))/LOG('SK-ratios'!$U16))/2,IF('SK-ratios'!CD16&gt;'SK-ratios'!$Y16,0,10-10*LOG(1+('SK-ratios'!$U16-1)*('SK-ratios'!CD16-'SK-ratios'!$AC16)/('SK-ratios'!$Y16-'SK-ratios'!$AC16))/LOG('SK-ratios'!$U16)))</f>
        <v>7.5809201527492664</v>
      </c>
      <c r="BV13" s="455">
        <f>IF('SK-ratios'!CE16&lt;0,IF(ABS('SK-ratios'!CE16)&gt;'SK-ratios'!$Y16,0,10-10*LOG(1+('SK-ratios'!$U16-1)*(ABS('SK-ratios'!CE16)-'SK-ratios'!$AC16)/('SK-ratios'!$Y16-'SK-ratios'!$AC16))/LOG('SK-ratios'!$U16))/2,IF('SK-ratios'!CE16&gt;'SK-ratios'!$Y16,0,10-10*LOG(1+('SK-ratios'!$U16-1)*('SK-ratios'!CE16-'SK-ratios'!$AC16)/('SK-ratios'!$Y16-'SK-ratios'!$AC16))/LOG('SK-ratios'!$U16)))</f>
        <v>4.7645693355503989</v>
      </c>
      <c r="BW13" s="455">
        <f>IF('SK-ratios'!CF16&lt;0,IF(ABS('SK-ratios'!CF16)&gt;'SK-ratios'!$Y16,0,10-10*LOG(1+('SK-ratios'!$U16-1)*(ABS('SK-ratios'!CF16)-'SK-ratios'!$AC16)/('SK-ratios'!$Y16-'SK-ratios'!$AC16))/LOG('SK-ratios'!$U16))/2,IF('SK-ratios'!CF16&gt;'SK-ratios'!$Y16,0,10-10*LOG(1+('SK-ratios'!$U16-1)*('SK-ratios'!CF16-'SK-ratios'!$AC16)/('SK-ratios'!$Y16-'SK-ratios'!$AC16))/LOG('SK-ratios'!$U16)))</f>
        <v>2.3365572147095683</v>
      </c>
      <c r="BX13" s="455">
        <f>IF('SK-ratios'!CG16&lt;0,IF(ABS('SK-ratios'!CG16)&gt;'SK-ratios'!$Y16,0,10-10*LOG(1+('SK-ratios'!$U16-1)*(ABS('SK-ratios'!CG16)-'SK-ratios'!$AC16)/('SK-ratios'!$Y16-'SK-ratios'!$AC16))/LOG('SK-ratios'!$U16))/2,IF('SK-ratios'!CG16&gt;'SK-ratios'!$Y16,0,10-10*LOG(1+('SK-ratios'!$U16-1)*('SK-ratios'!CG16-'SK-ratios'!$AC16)/('SK-ratios'!$Y16-'SK-ratios'!$AC16))/LOG('SK-ratios'!$U16)))</f>
        <v>5.7431069243065336</v>
      </c>
      <c r="BY13" s="455">
        <f>IF('SK-ratios'!CH16&lt;0,IF(ABS('SK-ratios'!CH16)&gt;'SK-ratios'!$Y16,0,10-10*LOG(1+('SK-ratios'!$U16-1)*(ABS('SK-ratios'!CH16)-'SK-ratios'!$AC16)/('SK-ratios'!$Y16-'SK-ratios'!$AC16))/LOG('SK-ratios'!$U16))/2,IF('SK-ratios'!CH16&gt;'SK-ratios'!$Y16,0,10-10*LOG(1+('SK-ratios'!$U16-1)*('SK-ratios'!CH16-'SK-ratios'!$AC16)/('SK-ratios'!$Y16-'SK-ratios'!$AC16))/LOG('SK-ratios'!$U16)))</f>
        <v>8.5466478391512641</v>
      </c>
      <c r="BZ13" s="455">
        <f>IF('SK-ratios'!CI16&lt;0,IF(ABS('SK-ratios'!CI16)&gt;'SK-ratios'!$Y16,0,10-10*LOG(1+('SK-ratios'!$U16-1)*(ABS('SK-ratios'!CI16)-'SK-ratios'!$AC16)/('SK-ratios'!$Y16-'SK-ratios'!$AC16))/LOG('SK-ratios'!$U16))/2,IF('SK-ratios'!CI16&gt;'SK-ratios'!$Y16,0,10-10*LOG(1+('SK-ratios'!$U16-1)*('SK-ratios'!CI16-'SK-ratios'!$AC16)/('SK-ratios'!$Y16-'SK-ratios'!$AC16))/LOG('SK-ratios'!$U16)))</f>
        <v>4.9524025217189216</v>
      </c>
      <c r="CA13" s="455">
        <f>IF('SK-ratios'!CJ16&lt;0,IF(ABS('SK-ratios'!CJ16)&gt;'SK-ratios'!$Y16,0,10-10*LOG(1+('SK-ratios'!$U16-1)*(ABS('SK-ratios'!CJ16)-'SK-ratios'!$AC16)/('SK-ratios'!$Y16-'SK-ratios'!$AC16))/LOG('SK-ratios'!$U16))/2,IF('SK-ratios'!CJ16&gt;'SK-ratios'!$Y16,0,10-10*LOG(1+('SK-ratios'!$U16-1)*('SK-ratios'!CJ16-'SK-ratios'!$AC16)/('SK-ratios'!$Y16-'SK-ratios'!$AC16))/LOG('SK-ratios'!$U16)))</f>
        <v>7.6666141404020607</v>
      </c>
      <c r="CB13" s="455">
        <f>IF('SK-ratios'!CK16&lt;0,IF(ABS('SK-ratios'!CK16)&gt;'SK-ratios'!$Y16,0,10-10*LOG(1+('SK-ratios'!$U16-1)*(ABS('SK-ratios'!CK16)-'SK-ratios'!$AC16)/('SK-ratios'!$Y16-'SK-ratios'!$AC16))/LOG('SK-ratios'!$U16))/2,IF('SK-ratios'!CK16&gt;'SK-ratios'!$Y16,0,10-10*LOG(1+('SK-ratios'!$U16-1)*('SK-ratios'!CK16-'SK-ratios'!$AC16)/('SK-ratios'!$Y16-'SK-ratios'!$AC16))/LOG('SK-ratios'!$U16)))</f>
        <v>7.8487110657971462</v>
      </c>
      <c r="CC13" s="455">
        <f>IF('SK-ratios'!CL16&lt;0,IF(ABS('SK-ratios'!CL16)&gt;'SK-ratios'!$Y16,0,10-10*LOG(1+('SK-ratios'!$U16-1)*(ABS('SK-ratios'!CL16)-'SK-ratios'!$AC16)/('SK-ratios'!$Y16-'SK-ratios'!$AC16))/LOG('SK-ratios'!$U16))/2,IF('SK-ratios'!CL16&gt;'SK-ratios'!$Y16,0,10-10*LOG(1+('SK-ratios'!$U16-1)*('SK-ratios'!CL16-'SK-ratios'!$AC16)/('SK-ratios'!$Y16-'SK-ratios'!$AC16))/LOG('SK-ratios'!$U16)))</f>
        <v>7.5609717243832772</v>
      </c>
      <c r="CD13" s="455">
        <f>IF('SK-ratios'!CM16&lt;0,IF(ABS('SK-ratios'!CM16)&gt;'SK-ratios'!$Y16,0,10-10*LOG(1+('SK-ratios'!$U16-1)*(ABS('SK-ratios'!CM16)-'SK-ratios'!$AC16)/('SK-ratios'!$Y16-'SK-ratios'!$AC16))/LOG('SK-ratios'!$U16))/2,IF('SK-ratios'!CM16&gt;'SK-ratios'!$Y16,0,10-10*LOG(1+('SK-ratios'!$U16-1)*('SK-ratios'!CM16-'SK-ratios'!$AC16)/('SK-ratios'!$Y16-'SK-ratios'!$AC16))/LOG('SK-ratios'!$U16)))</f>
        <v>7.3413367922735411</v>
      </c>
      <c r="CE13" s="455">
        <f>IF('SK-ratios'!CN16&lt;0,IF(ABS('SK-ratios'!CN16)&gt;'SK-ratios'!$Y16,0,10-10*LOG(1+('SK-ratios'!$U16-1)*(ABS('SK-ratios'!CN16)-'SK-ratios'!$AC16)/('SK-ratios'!$Y16-'SK-ratios'!$AC16))/LOG('SK-ratios'!$U16))/2,IF('SK-ratios'!CN16&gt;'SK-ratios'!$Y16,0,10-10*LOG(1+('SK-ratios'!$U16-1)*('SK-ratios'!CN16-'SK-ratios'!$AC16)/('SK-ratios'!$Y16-'SK-ratios'!$AC16))/LOG('SK-ratios'!$U16)))</f>
        <v>6.0444754908914327</v>
      </c>
      <c r="CF13" s="455">
        <f>IF('SK-ratios'!CO16&lt;0,IF(ABS('SK-ratios'!CO16)&gt;'SK-ratios'!$Y16,0,10-10*LOG(1+('SK-ratios'!$U16-1)*(ABS('SK-ratios'!CO16)-'SK-ratios'!$AC16)/('SK-ratios'!$Y16-'SK-ratios'!$AC16))/LOG('SK-ratios'!$U16))/2,IF('SK-ratios'!CO16&gt;'SK-ratios'!$Y16,0,10-10*LOG(1+('SK-ratios'!$U16-1)*('SK-ratios'!CO16-'SK-ratios'!$AC16)/('SK-ratios'!$Y16-'SK-ratios'!$AC16))/LOG('SK-ratios'!$U16)))</f>
        <v>8.3911185021079309</v>
      </c>
      <c r="CG13" s="455">
        <f>IF('SK-ratios'!CP16&lt;0,IF(ABS('SK-ratios'!CP16)&gt;'SK-ratios'!$Y16,0,10-10*LOG(1+('SK-ratios'!$U16-1)*(ABS('SK-ratios'!CP16)-'SK-ratios'!$AC16)/('SK-ratios'!$Y16-'SK-ratios'!$AC16))/LOG('SK-ratios'!$U16))/2,IF('SK-ratios'!CP16&gt;'SK-ratios'!$Y16,0,10-10*LOG(1+('SK-ratios'!$U16-1)*('SK-ratios'!CP16-'SK-ratios'!$AC16)/('SK-ratios'!$Y16-'SK-ratios'!$AC16))/LOG('SK-ratios'!$U16)))</f>
        <v>6.669938349658282</v>
      </c>
      <c r="CH13" s="455">
        <f>IF('SK-ratios'!CQ16&lt;0,IF(ABS('SK-ratios'!CQ16)&gt;'SK-ratios'!$Y16,0,10-10*LOG(1+('SK-ratios'!$U16-1)*(ABS('SK-ratios'!CQ16)-'SK-ratios'!$AC16)/('SK-ratios'!$Y16-'SK-ratios'!$AC16))/LOG('SK-ratios'!$U16))/2,IF('SK-ratios'!CQ16&gt;'SK-ratios'!$Y16,0,10-10*LOG(1+('SK-ratios'!$U16-1)*('SK-ratios'!CQ16-'SK-ratios'!$AC16)/('SK-ratios'!$Y16-'SK-ratios'!$AC16))/LOG('SK-ratios'!$U16)))</f>
        <v>7.5252186342445455</v>
      </c>
      <c r="CI13" s="455">
        <f>IF('SK-ratios'!CR16&lt;0,IF(ABS('SK-ratios'!CR16)&gt;'SK-ratios'!$Y16,0,10-10*LOG(1+('SK-ratios'!$U16-1)*(ABS('SK-ratios'!CR16)-'SK-ratios'!$AC16)/('SK-ratios'!$Y16-'SK-ratios'!$AC16))/LOG('SK-ratios'!$U16))/2,IF('SK-ratios'!CR16&gt;'SK-ratios'!$Y16,0,10-10*LOG(1+('SK-ratios'!$U16-1)*('SK-ratios'!CR16-'SK-ratios'!$AC16)/('SK-ratios'!$Y16-'SK-ratios'!$AC16))/LOG('SK-ratios'!$U16)))</f>
        <v>7.184403522452353</v>
      </c>
      <c r="CJ13" s="455">
        <f>IF('SK-ratios'!CS16&lt;0,IF(ABS('SK-ratios'!CS16)&gt;'SK-ratios'!$Y16,0,10-10*LOG(1+('SK-ratios'!$U16-1)*(ABS('SK-ratios'!CS16)-'SK-ratios'!$AC16)/('SK-ratios'!$Y16-'SK-ratios'!$AC16))/LOG('SK-ratios'!$U16))/2,IF('SK-ratios'!CS16&gt;'SK-ratios'!$Y16,0,10-10*LOG(1+('SK-ratios'!$U16-1)*('SK-ratios'!CS16-'SK-ratios'!$AC16)/('SK-ratios'!$Y16-'SK-ratios'!$AC16))/LOG('SK-ratios'!$U16)))</f>
        <v>7.3069726199794287</v>
      </c>
      <c r="CK13" s="455">
        <f>IF('SK-ratios'!CT16&lt;0,IF(ABS('SK-ratios'!CT16)&gt;'SK-ratios'!$Y16,0,10-10*LOG(1+('SK-ratios'!$U16-1)*(ABS('SK-ratios'!CT16)-'SK-ratios'!$AC16)/('SK-ratios'!$Y16-'SK-ratios'!$AC16))/LOG('SK-ratios'!$U16))/2,IF('SK-ratios'!CT16&gt;'SK-ratios'!$Y16,0,10-10*LOG(1+('SK-ratios'!$U16-1)*('SK-ratios'!CT16-'SK-ratios'!$AC16)/('SK-ratios'!$Y16-'SK-ratios'!$AC16))/LOG('SK-ratios'!$U16)))</f>
        <v>8.1810374214145067</v>
      </c>
      <c r="CL13" s="455">
        <f>IF('SK-ratios'!CU16&lt;0,IF(ABS('SK-ratios'!CU16)&gt;'SK-ratios'!$Y16,0,10-10*LOG(1+('SK-ratios'!$U16-1)*(ABS('SK-ratios'!CU16)-'SK-ratios'!$AC16)/('SK-ratios'!$Y16-'SK-ratios'!$AC16))/LOG('SK-ratios'!$U16))/2,IF('SK-ratios'!CU16&gt;'SK-ratios'!$Y16,0,10-10*LOG(1+('SK-ratios'!$U16-1)*('SK-ratios'!CU16-'SK-ratios'!$AC16)/('SK-ratios'!$Y16-'SK-ratios'!$AC16))/LOG('SK-ratios'!$U16)))</f>
        <v>5.0737025582997806</v>
      </c>
      <c r="CM13" s="455">
        <f>IF('SK-ratios'!CV16&lt;0,IF(ABS('SK-ratios'!CV16)&gt;'SK-ratios'!$Y16,0,10-10*LOG(1+('SK-ratios'!$U16-1)*(ABS('SK-ratios'!CV16)-'SK-ratios'!$AC16)/('SK-ratios'!$Y16-'SK-ratios'!$AC16))/LOG('SK-ratios'!$U16))/2,IF('SK-ratios'!CV16&gt;'SK-ratios'!$Y16,0,10-10*LOG(1+('SK-ratios'!$U16-1)*('SK-ratios'!CV16-'SK-ratios'!$AC16)/('SK-ratios'!$Y16-'SK-ratios'!$AC16))/LOG('SK-ratios'!$U16)))</f>
        <v>8.6921585161129578</v>
      </c>
      <c r="CN13" s="455">
        <f>IF('SK-ratios'!CW16&lt;0,IF(ABS('SK-ratios'!CW16)&gt;'SK-ratios'!$Y16,0,10-10*LOG(1+('SK-ratios'!$U16-1)*(ABS('SK-ratios'!CW16)-'SK-ratios'!$AC16)/('SK-ratios'!$Y16-'SK-ratios'!$AC16))/LOG('SK-ratios'!$U16))/2,IF('SK-ratios'!CW16&gt;'SK-ratios'!$Y16,0,10-10*LOG(1+('SK-ratios'!$U16-1)*('SK-ratios'!CW16-'SK-ratios'!$AC16)/('SK-ratios'!$Y16-'SK-ratios'!$AC16))/LOG('SK-ratios'!$U16)))</f>
        <v>4.3178468938625478</v>
      </c>
      <c r="CO13" s="455">
        <f>IF('SK-ratios'!CX16&lt;0,IF(ABS('SK-ratios'!CX16)&gt;'SK-ratios'!$Y16,0,10-10*LOG(1+('SK-ratios'!$U16-1)*(ABS('SK-ratios'!CX16)-'SK-ratios'!$AC16)/('SK-ratios'!$Y16-'SK-ratios'!$AC16))/LOG('SK-ratios'!$U16))/2,IF('SK-ratios'!CX16&gt;'SK-ratios'!$Y16,0,10-10*LOG(1+('SK-ratios'!$U16-1)*('SK-ratios'!CX16-'SK-ratios'!$AC16)/('SK-ratios'!$Y16-'SK-ratios'!$AC16))/LOG('SK-ratios'!$U16)))</f>
        <v>5.9894820140525837</v>
      </c>
      <c r="CP13" s="455">
        <f>IF('SK-ratios'!CY16&lt;0,IF(ABS('SK-ratios'!CY16)&gt;'SK-ratios'!$Y16,0,10-10*LOG(1+('SK-ratios'!$U16-1)*(ABS('SK-ratios'!CY16)-'SK-ratios'!$AC16)/('SK-ratios'!$Y16-'SK-ratios'!$AC16))/LOG('SK-ratios'!$U16))/2,IF('SK-ratios'!CY16&gt;'SK-ratios'!$Y16,0,10-10*LOG(1+('SK-ratios'!$U16-1)*('SK-ratios'!CY16-'SK-ratios'!$AC16)/('SK-ratios'!$Y16-'SK-ratios'!$AC16))/LOG('SK-ratios'!$U16)))</f>
        <v>6.3500014715043438</v>
      </c>
      <c r="CQ13" s="455">
        <f>IF('SK-ratios'!CZ16&lt;0,IF(ABS('SK-ratios'!CZ16)&gt;'SK-ratios'!$Y16,0,10-10*LOG(1+('SK-ratios'!$U16-1)*(ABS('SK-ratios'!CZ16)-'SK-ratios'!$AC16)/('SK-ratios'!$Y16-'SK-ratios'!$AC16))/LOG('SK-ratios'!$U16))/2,IF('SK-ratios'!CZ16&gt;'SK-ratios'!$Y16,0,10-10*LOG(1+('SK-ratios'!$U16-1)*('SK-ratios'!CZ16-'SK-ratios'!$AC16)/('SK-ratios'!$Y16-'SK-ratios'!$AC16))/LOG('SK-ratios'!$U16)))</f>
        <v>4.9522422938147965</v>
      </c>
      <c r="CR13" s="455">
        <f>IF('SK-ratios'!DA16&lt;0,IF(ABS('SK-ratios'!DA16)&gt;'SK-ratios'!$Y16,0,10-10*LOG(1+('SK-ratios'!$U16-1)*(ABS('SK-ratios'!DA16)-'SK-ratios'!$AC16)/('SK-ratios'!$Y16-'SK-ratios'!$AC16))/LOG('SK-ratios'!$U16))/2,IF('SK-ratios'!DA16&gt;'SK-ratios'!$Y16,0,10-10*LOG(1+('SK-ratios'!$U16-1)*('SK-ratios'!DA16-'SK-ratios'!$AC16)/('SK-ratios'!$Y16-'SK-ratios'!$AC16))/LOG('SK-ratios'!$U16)))</f>
        <v>8.1854447995633421</v>
      </c>
      <c r="CS13" s="455">
        <f>IF('SK-ratios'!DB16&lt;0,IF(ABS('SK-ratios'!DB16)&gt;'SK-ratios'!$Y16,0,10-10*LOG(1+('SK-ratios'!$U16-1)*(ABS('SK-ratios'!DB16)-'SK-ratios'!$AC16)/('SK-ratios'!$Y16-'SK-ratios'!$AC16))/LOG('SK-ratios'!$U16))/2,IF('SK-ratios'!DB16&gt;'SK-ratios'!$Y16,0,10-10*LOG(1+('SK-ratios'!$U16-1)*('SK-ratios'!DB16-'SK-ratios'!$AC16)/('SK-ratios'!$Y16-'SK-ratios'!$AC16))/LOG('SK-ratios'!$U16)))</f>
        <v>6.2658890839370773</v>
      </c>
      <c r="CT13" s="455">
        <f>IF('SK-ratios'!DC16&lt;0,IF(ABS('SK-ratios'!DC16)&gt;'SK-ratios'!$Y16,0,10-10*LOG(1+('SK-ratios'!$U16-1)*(ABS('SK-ratios'!DC16)-'SK-ratios'!$AC16)/('SK-ratios'!$Y16-'SK-ratios'!$AC16))/LOG('SK-ratios'!$U16))/2,IF('SK-ratios'!DC16&gt;'SK-ratios'!$Y16,0,10-10*LOG(1+('SK-ratios'!$U16-1)*('SK-ratios'!DC16-'SK-ratios'!$AC16)/('SK-ratios'!$Y16-'SK-ratios'!$AC16))/LOG('SK-ratios'!$U16)))</f>
        <v>5.0579398468215429</v>
      </c>
      <c r="CU13" s="455">
        <f>IF('SK-ratios'!DD16&lt;0,IF(ABS('SK-ratios'!DD16)&gt;'SK-ratios'!$Y16,0,10-10*LOG(1+('SK-ratios'!$U16-1)*(ABS('SK-ratios'!DD16)-'SK-ratios'!$AC16)/('SK-ratios'!$Y16-'SK-ratios'!$AC16))/LOG('SK-ratios'!$U16))/2,IF('SK-ratios'!DD16&gt;'SK-ratios'!$Y16,0,10-10*LOG(1+('SK-ratios'!$U16-1)*('SK-ratios'!DD16-'SK-ratios'!$AC16)/('SK-ratios'!$Y16-'SK-ratios'!$AC16))/LOG('SK-ratios'!$U16)))</f>
        <v>5.8559922309427854</v>
      </c>
      <c r="CV13" s="455">
        <f>IF('SK-ratios'!DE16&lt;0,IF(ABS('SK-ratios'!DE16)&gt;'SK-ratios'!$Y16,0,10-10*LOG(1+('SK-ratios'!$U16-1)*(ABS('SK-ratios'!DE16)-'SK-ratios'!$AC16)/('SK-ratios'!$Y16-'SK-ratios'!$AC16))/LOG('SK-ratios'!$U16))/2,IF('SK-ratios'!DE16&gt;'SK-ratios'!$Y16,0,10-10*LOG(1+('SK-ratios'!$U16-1)*('SK-ratios'!DE16-'SK-ratios'!$AC16)/('SK-ratios'!$Y16-'SK-ratios'!$AC16))/LOG('SK-ratios'!$U16)))</f>
        <v>7.1811869319522668</v>
      </c>
      <c r="CW13" s="455">
        <f>IF('SK-ratios'!DF16&lt;0,IF(ABS('SK-ratios'!DF16)&gt;'SK-ratios'!$Y16,0,10-10*LOG(1+('SK-ratios'!$U16-1)*(ABS('SK-ratios'!DF16)-'SK-ratios'!$AC16)/('SK-ratios'!$Y16-'SK-ratios'!$AC16))/LOG('SK-ratios'!$U16))/2,IF('SK-ratios'!DF16&gt;'SK-ratios'!$Y16,0,10-10*LOG(1+('SK-ratios'!$U16-1)*('SK-ratios'!DF16-'SK-ratios'!$AC16)/('SK-ratios'!$Y16-'SK-ratios'!$AC16))/LOG('SK-ratios'!$U16)))</f>
        <v>0.49882406853744676</v>
      </c>
      <c r="CX13" s="455">
        <f>IF('SK-ratios'!DG16&lt;0,IF(ABS('SK-ratios'!DG16)&gt;'SK-ratios'!$Y16,0,10-10*LOG(1+('SK-ratios'!$U16-1)*(ABS('SK-ratios'!DG16)-'SK-ratios'!$AC16)/('SK-ratios'!$Y16-'SK-ratios'!$AC16))/LOG('SK-ratios'!$U16))/2,IF('SK-ratios'!DG16&gt;'SK-ratios'!$Y16,0,10-10*LOG(1+('SK-ratios'!$U16-1)*('SK-ratios'!DG16-'SK-ratios'!$AC16)/('SK-ratios'!$Y16-'SK-ratios'!$AC16))/LOG('SK-ratios'!$U16)))</f>
        <v>0.5645816270298587</v>
      </c>
      <c r="CZ13" s="546"/>
      <c r="DA13" s="455">
        <f t="array" ref="DA13">SUMPRODUCT(IF(($W$3:$CX$3=DA$3)*($W$2:$CX$2=DA$2),$W13:$CX13),IF(($W$3:$CX$3=DA$3)*($W$2:$CX$2=DA$2),$W$19:$CX$19))/SUM(IF(($W$3:$CX$3=DA$3)*($W$2:$CX$2=DA$2),$W$19:$CX$19))</f>
        <v>7.120838962432483</v>
      </c>
      <c r="DB13" s="455">
        <f t="array" ref="DB13">SUMPRODUCT(IF(($W$3:$CX$3=DB$3)*($W$2:$CX$2=DB$2),$W13:$CX13),IF(($W$3:$CX$3=DB$3)*($W$2:$CX$2=DB$2),$W$19:$CX$19))/SUM(IF(($W$3:$CX$3=DB$3)*($W$2:$CX$2=DB$2),$W$19:$CX$19))</f>
        <v>7.2641073766416895</v>
      </c>
      <c r="DC13" s="455">
        <f t="array" ref="DC13">SUMPRODUCT(IF(($W$3:$CX$3=DC$3)*($W$2:$CX$2=DC$2),$W13:$CX13),IF(($W$3:$CX$3=DC$3)*($W$2:$CX$2=DC$2),$W$19:$CX$19))/SUM(IF(($W$3:$CX$3=DC$3)*($W$2:$CX$2=DC$2),$W$19:$CX$19))</f>
        <v>4.573316941116631</v>
      </c>
      <c r="DD13" s="455">
        <f t="array" ref="DD13">SUMPRODUCT(IF(($W$3:$CX$3=DD$3)*($W$2:$CX$2=DD$2),$W13:$CX13),IF(($W$3:$CX$3=DD$3)*($W$2:$CX$2=DD$2),$W$19:$CX$19))/SUM(IF(($W$3:$CX$3=DD$3)*($W$2:$CX$2=DD$2),$W$19:$CX$19))</f>
        <v>6.3218852736121818</v>
      </c>
      <c r="DE13" s="455">
        <f t="array" ref="DE13">SUMPRODUCT(IF(($W$3:$CX$3=DE$3)*($W$2:$CX$2=DE$2),$W13:$CX13),IF(($W$3:$CX$3=DE$3)*($W$2:$CX$2=DE$2),$W$19:$CX$19))/SUM(IF(($W$3:$CX$3=DE$3)*($W$2:$CX$2=DE$2),$W$19:$CX$19))</f>
        <v>5.6079749501697096</v>
      </c>
      <c r="DF13" s="455">
        <f t="array" ref="DF13">SUMPRODUCT(IF(($W$3:$CX$3=DF$3)*($W$2:$CX$2=DF$2),$W13:$CX13),IF(($W$3:$CX$3=DF$3)*($W$2:$CX$2=DF$2),$W$19:$CX$19))/SUM(IF(($W$3:$CX$3=DF$3)*($W$2:$CX$2=DF$2),$W$19:$CX$19))</f>
        <v>5.8776376880199672</v>
      </c>
      <c r="DG13" s="455">
        <f t="array" ref="DG13">SUMPRODUCT(IF(($W$3:$CX$3=DG$3)*($W$2:$CX$2=DG$2),$W13:$CX13),IF(($W$3:$CX$3=DG$3)*($W$2:$CX$2=DG$2),$W$19:$CX$19))/SUM(IF(($W$3:$CX$3=DG$3)*($W$2:$CX$2=DG$2),$W$19:$CX$19))</f>
        <v>5.6483594123746377</v>
      </c>
      <c r="DH13" s="455">
        <f t="array" ref="DH13">SUMPRODUCT(IF(($W$3:$CX$3=DH$3)*($W$2:$CX$2=DH$2),$W13:$CX13),IF(($W$3:$CX$3=DH$3)*($W$2:$CX$2=DH$2),$W$19:$CX$19))/SUM(IF(($W$3:$CX$3=DH$3)*($W$2:$CX$2=DH$2),$W$19:$CX$19))</f>
        <v>6.5402481941507444</v>
      </c>
      <c r="DI13" s="455">
        <f t="array" ref="DI13">SUMPRODUCT(IF(($W$3:$CX$3=DI$3)*($W$2:$CX$2=DI$2),$W13:$CX13),IF(($W$3:$CX$3=DI$3)*($W$2:$CX$2=DI$2),$W$19:$CX$19))/SUM(IF(($W$3:$CX$3=DI$3)*($W$2:$CX$2=DI$2),$W$19:$CX$19))</f>
        <v>5.4982364538834156</v>
      </c>
      <c r="DJ13" s="455">
        <f t="array" ref="DJ13">SUMPRODUCT(IF(($W$3:$CX$3=DJ$3)*($W$2:$CX$2=DJ$2),$W13:$CX13),IF(($W$3:$CX$3=DJ$3)*($W$2:$CX$2=DJ$2),$W$19:$CX$19))/SUM(IF(($W$3:$CX$3=DJ$3)*($W$2:$CX$2=DJ$2),$W$19:$CX$19))</f>
        <v>6.9312810206358719</v>
      </c>
      <c r="DK13" s="455">
        <f t="array" ref="DK13">SUMPRODUCT(IF(($W$3:$CX$3=DK$3)*1,$W13:$CX13),IF(($W$3:$CX$3=DK$3)*1,$W$19:$CX$19))/SUM(IF(($W$3:$CX$3=DK$3)*1,$W$19:$CX$19))</f>
        <v>6.3836294247447904</v>
      </c>
      <c r="DL13" s="455">
        <f t="array" ref="DL13">SUMPRODUCT(IF(($W$3:$CX$3=DL$3)*1,$W13:$CX13),IF(($W$3:$CX$3=DL$3)*1,$W$19:$CX$19))/SUM(IF(($W$3:$CX$3=DL$3)*1,$W$19:$CX$19))</f>
        <v>5.4528925077370509</v>
      </c>
      <c r="DM13" s="455">
        <f t="array" ref="DM13">SUMPRODUCT(IF(($W$3:$CX$3=DM$3)*1,$W13:$CX13),IF(($W$3:$CX$3=DM$3)*1,$W$19:$CX$19))/SUM(IF(($W$3:$CX$3=DM$3)*1,$W$19:$CX$19))</f>
        <v>6.0611034441711436</v>
      </c>
      <c r="DN13" s="455">
        <f t="array" ref="DN13">SUMPRODUCT(IF(1*($W$2:$CX$2=DN$2),$W13:$CX13),IF(1*($W$2:$CX$2=DN$2),$W$19:$CX$19))/SUM(IF(1*($W$2:$CX$2=DN$2),$W$19:$CX$19))</f>
        <v>5.9929305359074005</v>
      </c>
      <c r="DO13" s="455">
        <f t="array" ref="DO13">SUMPRODUCT(IF(1*($W$2:$CX$2=DO$2),$W13:$CX13),IF(1*($W$2:$CX$2=DO$2),$W$19:$CX$19))/SUM(IF(1*($W$2:$CX$2=DO$2),$W$19:$CX$19))</f>
        <v>6.0208297141956502</v>
      </c>
      <c r="DP13" s="455">
        <f t="array" ref="DP13">SUMPRODUCT(IF(1*1,$W13:$CX13),IF(1*1,$W$19:$CX$19))/SUM(IF(1*1,$W$19:$CX$19))</f>
        <v>6.0034342895762993</v>
      </c>
    </row>
    <row r="14" spans="1:120" s="461" customFormat="1" ht="15.75" customHeight="1" thickBot="1" x14ac:dyDescent="0.3">
      <c r="A14" s="641"/>
      <c r="B14" s="670"/>
      <c r="C14" s="647" t="str">
        <f>'MD-ratings-year'!C14:E14</f>
        <v>Leverage total</v>
      </c>
      <c r="D14" s="648"/>
      <c r="E14" s="649"/>
      <c r="F14" s="423"/>
      <c r="G14" s="653"/>
      <c r="H14" s="266"/>
      <c r="I14" s="266"/>
      <c r="J14" s="266"/>
      <c r="K14" s="267"/>
      <c r="L14" s="569"/>
      <c r="M14" s="569"/>
      <c r="N14" s="569"/>
      <c r="O14" s="267"/>
      <c r="P14" s="267"/>
      <c r="Q14" s="267"/>
      <c r="R14" s="267"/>
      <c r="S14" s="266"/>
      <c r="T14" s="266"/>
      <c r="U14" s="266"/>
      <c r="V14" s="268"/>
      <c r="W14" s="465">
        <f>SUMPRODUCT(W12:W13,$C12:$C13)/SUM($C12:$C13)</f>
        <v>5.6697805579298279</v>
      </c>
      <c r="X14" s="465">
        <f t="shared" ref="X14:CI14" si="4">SUMPRODUCT(X12:X13,$C12:$C13)/SUM($C12:$C13)</f>
        <v>7.7402932249522989</v>
      </c>
      <c r="Y14" s="465">
        <f t="shared" si="4"/>
        <v>2.8905569555355237</v>
      </c>
      <c r="Z14" s="465">
        <f t="shared" si="4"/>
        <v>3.0057437401887483</v>
      </c>
      <c r="AA14" s="465">
        <f t="shared" si="4"/>
        <v>2.9426610328121776</v>
      </c>
      <c r="AB14" s="465">
        <f t="shared" si="4"/>
        <v>4.6147089733053237</v>
      </c>
      <c r="AC14" s="465">
        <f t="shared" si="4"/>
        <v>5.0719899015647059</v>
      </c>
      <c r="AD14" s="465">
        <f t="shared" si="4"/>
        <v>4.1199559002238226</v>
      </c>
      <c r="AE14" s="465">
        <f t="shared" si="4"/>
        <v>1.7574881184565914</v>
      </c>
      <c r="AF14" s="465">
        <f t="shared" si="4"/>
        <v>2.0963057098346138</v>
      </c>
      <c r="AG14" s="465">
        <f t="shared" si="4"/>
        <v>4.1016244551626038</v>
      </c>
      <c r="AH14" s="465">
        <f t="shared" si="4"/>
        <v>6.9045636723846711</v>
      </c>
      <c r="AI14" s="465">
        <f t="shared" si="4"/>
        <v>3.7862944382906267</v>
      </c>
      <c r="AJ14" s="465">
        <f t="shared" si="4"/>
        <v>2.8685347259762377</v>
      </c>
      <c r="AK14" s="465">
        <f t="shared" si="4"/>
        <v>3.2137145276091474</v>
      </c>
      <c r="AL14" s="465">
        <f t="shared" si="4"/>
        <v>3.4052666729329979</v>
      </c>
      <c r="AM14" s="465">
        <f t="shared" si="4"/>
        <v>4.1190393082686851</v>
      </c>
      <c r="AN14" s="465">
        <f t="shared" si="4"/>
        <v>3.3991641284261482</v>
      </c>
      <c r="AO14" s="465">
        <f t="shared" si="4"/>
        <v>6.0408822719621762</v>
      </c>
      <c r="AP14" s="465">
        <f t="shared" si="4"/>
        <v>2.8243729343485753</v>
      </c>
      <c r="AQ14" s="465">
        <f t="shared" si="4"/>
        <v>1.6986254628761492</v>
      </c>
      <c r="AR14" s="465">
        <f t="shared" si="4"/>
        <v>7.0512092786023519</v>
      </c>
      <c r="AS14" s="465">
        <f t="shared" si="4"/>
        <v>5.4882557555582823</v>
      </c>
      <c r="AT14" s="465">
        <f t="shared" si="4"/>
        <v>2.609003089966687</v>
      </c>
      <c r="AU14" s="465">
        <f t="shared" si="4"/>
        <v>2.9692731703256281</v>
      </c>
      <c r="AV14" s="465">
        <f t="shared" si="4"/>
        <v>7.2271323184180503</v>
      </c>
      <c r="AW14" s="465">
        <f t="shared" si="4"/>
        <v>3.2101159212785584</v>
      </c>
      <c r="AX14" s="465">
        <f t="shared" si="4"/>
        <v>3.5347557667398477</v>
      </c>
      <c r="AY14" s="465">
        <f t="shared" si="4"/>
        <v>8.432404366816364</v>
      </c>
      <c r="AZ14" s="465">
        <f t="shared" si="4"/>
        <v>5.5838473505936674</v>
      </c>
      <c r="BA14" s="465">
        <f t="shared" si="4"/>
        <v>5.9070538783338229</v>
      </c>
      <c r="BB14" s="465">
        <f t="shared" si="4"/>
        <v>4.1944288302906969</v>
      </c>
      <c r="BC14" s="465">
        <f t="shared" si="4"/>
        <v>2.8150550891933976</v>
      </c>
      <c r="BD14" s="465">
        <f t="shared" si="4"/>
        <v>3.5418747374762267</v>
      </c>
      <c r="BE14" s="465">
        <f t="shared" si="4"/>
        <v>5.164826886905022</v>
      </c>
      <c r="BF14" s="465">
        <f t="shared" si="4"/>
        <v>4.8861979100565351</v>
      </c>
      <c r="BG14" s="465">
        <f t="shared" si="4"/>
        <v>3.7807318485510644</v>
      </c>
      <c r="BH14" s="465">
        <f t="shared" si="4"/>
        <v>5.0629684264875543</v>
      </c>
      <c r="BI14" s="465">
        <f t="shared" si="4"/>
        <v>1.9024290302480427</v>
      </c>
      <c r="BJ14" s="465">
        <f t="shared" si="4"/>
        <v>2.9123112802322253</v>
      </c>
      <c r="BK14" s="465">
        <f t="shared" si="4"/>
        <v>3.9528850166850278</v>
      </c>
      <c r="BL14" s="465">
        <f t="shared" si="4"/>
        <v>1.7051335211883538</v>
      </c>
      <c r="BM14" s="465">
        <f t="shared" si="4"/>
        <v>5.5447353003424515</v>
      </c>
      <c r="BN14" s="465">
        <f t="shared" si="4"/>
        <v>4.6490309586891927</v>
      </c>
      <c r="BO14" s="465">
        <f t="shared" si="4"/>
        <v>3.5398063306620795</v>
      </c>
      <c r="BP14" s="465">
        <f t="shared" si="4"/>
        <v>3.1360622986092022</v>
      </c>
      <c r="BQ14" s="465">
        <f t="shared" si="4"/>
        <v>2.3969261370598303</v>
      </c>
      <c r="BR14" s="465">
        <f t="shared" si="4"/>
        <v>3.3139371773577415</v>
      </c>
      <c r="BS14" s="465">
        <f t="shared" si="4"/>
        <v>3.5207552936569115</v>
      </c>
      <c r="BT14" s="465">
        <f t="shared" si="4"/>
        <v>3.2425687853538321</v>
      </c>
      <c r="BU14" s="465">
        <f t="shared" si="4"/>
        <v>4.6239633811012428</v>
      </c>
      <c r="BV14" s="465">
        <f t="shared" si="4"/>
        <v>2.3822846677751994</v>
      </c>
      <c r="BW14" s="465">
        <f t="shared" si="4"/>
        <v>1.1682786073547842</v>
      </c>
      <c r="BX14" s="465">
        <f t="shared" si="4"/>
        <v>2.8715534621532668</v>
      </c>
      <c r="BY14" s="465">
        <f t="shared" si="4"/>
        <v>5.7423460015785182</v>
      </c>
      <c r="BZ14" s="465">
        <f t="shared" si="4"/>
        <v>3.9678014670514861</v>
      </c>
      <c r="CA14" s="465">
        <f t="shared" si="4"/>
        <v>4.1163542040653898</v>
      </c>
      <c r="CB14" s="465">
        <f t="shared" si="4"/>
        <v>6.0612390847813868</v>
      </c>
      <c r="CC14" s="465">
        <f t="shared" si="4"/>
        <v>6.3067515691443443</v>
      </c>
      <c r="CD14" s="465">
        <f t="shared" si="4"/>
        <v>4.8101704350601162</v>
      </c>
      <c r="CE14" s="465">
        <f t="shared" si="4"/>
        <v>3.0509041958929957</v>
      </c>
      <c r="CF14" s="465">
        <f t="shared" si="4"/>
        <v>6.1184858044350188</v>
      </c>
      <c r="CG14" s="465">
        <f t="shared" si="4"/>
        <v>3.9591112148362715</v>
      </c>
      <c r="CH14" s="465">
        <f t="shared" si="4"/>
        <v>5.3296783724100019</v>
      </c>
      <c r="CI14" s="465">
        <f t="shared" si="4"/>
        <v>4.3638743265508957</v>
      </c>
      <c r="CJ14" s="465">
        <f t="shared" ref="CJ14:CX14" si="5">SUMPRODUCT(CJ12:CJ13,$C12:$C13)/SUM($C12:$C13)</f>
        <v>3.6534863099897148</v>
      </c>
      <c r="CK14" s="465">
        <f t="shared" si="5"/>
        <v>6.0559723736673101</v>
      </c>
      <c r="CL14" s="465">
        <f t="shared" si="5"/>
        <v>2.5368512791498903</v>
      </c>
      <c r="CM14" s="465">
        <f t="shared" si="5"/>
        <v>9.1518328908447337</v>
      </c>
      <c r="CN14" s="465">
        <f t="shared" si="5"/>
        <v>2.2399916022407504</v>
      </c>
      <c r="CO14" s="465">
        <f t="shared" si="5"/>
        <v>4.7066744529199118</v>
      </c>
      <c r="CP14" s="465">
        <f t="shared" si="5"/>
        <v>3.1750007357521719</v>
      </c>
      <c r="CQ14" s="465">
        <f t="shared" si="5"/>
        <v>2.9669155282983874</v>
      </c>
      <c r="CR14" s="465">
        <f t="shared" si="5"/>
        <v>5.6143541265873571</v>
      </c>
      <c r="CS14" s="465">
        <f t="shared" si="5"/>
        <v>3.3188862133311376</v>
      </c>
      <c r="CT14" s="465">
        <f t="shared" si="5"/>
        <v>2.5289699234107714</v>
      </c>
      <c r="CU14" s="465">
        <f t="shared" si="5"/>
        <v>4.4763630240707428</v>
      </c>
      <c r="CV14" s="465">
        <f t="shared" si="5"/>
        <v>5.6318520028917369</v>
      </c>
      <c r="CW14" s="465">
        <f t="shared" si="5"/>
        <v>0.24941203426872338</v>
      </c>
      <c r="CX14" s="465">
        <f t="shared" si="5"/>
        <v>0.28229081351492935</v>
      </c>
      <c r="CZ14" s="585"/>
      <c r="DA14" s="462">
        <f t="array" ref="DA14">SUMPRODUCT(IF(($W$3:$CX$3=DA$3)*($W$2:$CX$2=DA$2),$W14:$CX14),IF(($W$3:$CX$3=DA$3)*($W$2:$CX$2=DA$2),$W$19:$CX$19))/SUM(IF(($W$3:$CX$3=DA$3)*($W$2:$CX$2=DA$2),$W$19:$CX$19))</f>
        <v>5.5701177465048675</v>
      </c>
      <c r="DB14" s="462">
        <f t="array" ref="DB14">SUMPRODUCT(IF(($W$3:$CX$3=DB$3)*($W$2:$CX$2=DB$2),$W14:$CX14),IF(($W$3:$CX$3=DB$3)*($W$2:$CX$2=DB$2),$W$19:$CX$19))/SUM(IF(($W$3:$CX$3=DB$3)*($W$2:$CX$2=DB$2),$W$19:$CX$19))</f>
        <v>4.4340809209575189</v>
      </c>
      <c r="DC14" s="462">
        <f t="array" ref="DC14">SUMPRODUCT(IF(($W$3:$CX$3=DC$3)*($W$2:$CX$2=DC$2),$W14:$CX14),IF(($W$3:$CX$3=DC$3)*($W$2:$CX$2=DC$2),$W$19:$CX$19))/SUM(IF(($W$3:$CX$3=DC$3)*($W$2:$CX$2=DC$2),$W$19:$CX$19))</f>
        <v>3.3853352400861616</v>
      </c>
      <c r="DD14" s="462">
        <f t="array" ref="DD14">SUMPRODUCT(IF(($W$3:$CX$3=DD$3)*($W$2:$CX$2=DD$2),$W14:$CX14),IF(($W$3:$CX$3=DD$3)*($W$2:$CX$2=DD$2),$W$19:$CX$19))/SUM(IF(($W$3:$CX$3=DD$3)*($W$2:$CX$2=DD$2),$W$19:$CX$19))</f>
        <v>4.3626978172466666</v>
      </c>
      <c r="DE14" s="462">
        <f t="array" ref="DE14">SUMPRODUCT(IF(($W$3:$CX$3=DE$3)*($W$2:$CX$2=DE$2),$W14:$CX14),IF(($W$3:$CX$3=DE$3)*($W$2:$CX$2=DE$2),$W$19:$CX$19))/SUM(IF(($W$3:$CX$3=DE$3)*($W$2:$CX$2=DE$2),$W$19:$CX$19))</f>
        <v>3.4576210545139618</v>
      </c>
      <c r="DF14" s="462">
        <f t="array" ref="DF14">SUMPRODUCT(IF(($W$3:$CX$3=DF$3)*($W$2:$CX$2=DF$2),$W14:$CX14),IF(($W$3:$CX$3=DF$3)*($W$2:$CX$2=DF$2),$W$19:$CX$19))/SUM(IF(($W$3:$CX$3=DF$3)*($W$2:$CX$2=DF$2),$W$19:$CX$19))</f>
        <v>3.9820117142096518</v>
      </c>
      <c r="DG14" s="462">
        <f t="array" ref="DG14">SUMPRODUCT(IF(($W$3:$CX$3=DG$3)*($W$2:$CX$2=DG$2),$W14:$CX14),IF(($W$3:$CX$3=DG$3)*($W$2:$CX$2=DG$2),$W$19:$CX$19))/SUM(IF(($W$3:$CX$3=DG$3)*($W$2:$CX$2=DG$2),$W$19:$CX$19))</f>
        <v>2.844396311180613</v>
      </c>
      <c r="DH14" s="462">
        <f t="array" ref="DH14">SUMPRODUCT(IF(($W$3:$CX$3=DH$3)*($W$2:$CX$2=DH$2),$W14:$CX14),IF(($W$3:$CX$3=DH$3)*($W$2:$CX$2=DH$2),$W$19:$CX$19))/SUM(IF(($W$3:$CX$3=DH$3)*($W$2:$CX$2=DH$2),$W$19:$CX$19))</f>
        <v>3.5352184988550439</v>
      </c>
      <c r="DI14" s="462">
        <f t="array" ref="DI14">SUMPRODUCT(IF(($W$3:$CX$3=DI$3)*($W$2:$CX$2=DI$2),$W14:$CX14),IF(($W$3:$CX$3=DI$3)*($W$2:$CX$2=DI$2),$W$19:$CX$19))/SUM(IF(($W$3:$CX$3=DI$3)*($W$2:$CX$2=DI$2),$W$19:$CX$19))</f>
        <v>2.7491182269417074</v>
      </c>
      <c r="DJ14" s="462">
        <f t="array" ref="DJ14">SUMPRODUCT(IF(($W$3:$CX$3=DJ$3)*($W$2:$CX$2=DJ$2),$W14:$CX14),IF(($W$3:$CX$3=DJ$3)*($W$2:$CX$2=DJ$2),$W$19:$CX$19))/SUM(IF(($W$3:$CX$3=DJ$3)*($W$2:$CX$2=DJ$2),$W$19:$CX$19))</f>
        <v>3.465640510317936</v>
      </c>
      <c r="DK14" s="462">
        <f t="array" ref="DK14">SUMPRODUCT(IF(($W$3:$CX$3=DK$3)*1,$W14:$CX14),IF(($W$3:$CX$3=DK$3)*1,$W$19:$CX$19))/SUM(IF(($W$3:$CX$3=DK$3)*1,$W$19:$CX$19))</f>
        <v>3.5678058085433584</v>
      </c>
      <c r="DL14" s="462">
        <f t="array" ref="DL14">SUMPRODUCT(IF(($W$3:$CX$3=DL$3)*1,$W14:$CX14),IF(($W$3:$CX$3=DL$3)*1,$W$19:$CX$19))/SUM(IF(($W$3:$CX$3=DL$3)*1,$W$19:$CX$19))</f>
        <v>3.4523602833128604</v>
      </c>
      <c r="DM14" s="462">
        <f t="array" ref="DM14">SUMPRODUCT(IF(($W$3:$CX$3=DM$3)*1,$W14:$CX14),IF(($W$3:$CX$3=DM$3)*1,$W$19:$CX$19))/SUM(IF(($W$3:$CX$3=DM$3)*1,$W$19:$CX$19))</f>
        <v>3.8518098909493657</v>
      </c>
      <c r="DN14" s="462">
        <f t="array" ref="DN14">SUMPRODUCT(IF(1*($W$2:$CX$2=DN$2),$W14:$CX14),IF(1*($W$2:$CX$2=DN$2),$W$19:$CX$19))/SUM(IF(1*($W$2:$CX$2=DN$2),$W$19:$CX$19))</f>
        <v>4.0718929998612241</v>
      </c>
      <c r="DO14" s="462">
        <f t="array" ref="DO14">SUMPRODUCT(IF(1*($W$2:$CX$2=DO$2),$W14:$CX14),IF(1*($W$2:$CX$2=DO$2),$W$19:$CX$19))/SUM(IF(1*($W$2:$CX$2=DO$2),$W$19:$CX$19))</f>
        <v>3.1160582329558131</v>
      </c>
      <c r="DP14" s="462">
        <f t="array" ref="DP14">SUMPRODUCT(IF(1*1,$W14:$CX14),IF(1*1,$W$19:$CX$19))/SUM(IF(1*1,$W$19:$CX$19))</f>
        <v>3.7120310413471724</v>
      </c>
    </row>
    <row r="15" spans="1:120" s="428" customFormat="1" ht="15.75" customHeight="1" thickBot="1" x14ac:dyDescent="0.3">
      <c r="A15" s="630">
        <f>'MD-ratings-year'!A15</f>
        <v>0.2</v>
      </c>
      <c r="B15" s="668" t="str">
        <f>'MD-ratings-year'!B15</f>
        <v>Activity</v>
      </c>
      <c r="C15" s="425">
        <f>'MD-ratings-year'!C15</f>
        <v>0.1</v>
      </c>
      <c r="D15" s="426" t="str">
        <f>'MD-ratings-year'!D15</f>
        <v>Working capital turnover ratio</v>
      </c>
      <c r="E15" s="427" t="str">
        <f>'MD-ratings-year'!E15</f>
        <v>Net Sales ÷ ((Beginning Working Capital + Ending Working Capital) / 2) Note: Working Capital = Current Assets Minus Current Liabilities)</v>
      </c>
      <c r="F15" s="422" t="s">
        <v>400</v>
      </c>
      <c r="G15" s="653"/>
      <c r="H15" s="243"/>
      <c r="I15" s="577">
        <f>'SK-ratios'!U18</f>
        <v>32.927752117774212</v>
      </c>
      <c r="J15" s="243"/>
      <c r="K15" s="258">
        <f>'MD-ratings-year'!P15</f>
        <v>0</v>
      </c>
      <c r="L15" s="568">
        <f>'MD-ratings-year'!Q15</f>
        <v>2.061040463386604</v>
      </c>
      <c r="M15" s="568">
        <f>'MD-ratings-year'!R15</f>
        <v>3.9323917909714576</v>
      </c>
      <c r="N15" s="568">
        <f>'MD-ratings-year'!S15</f>
        <v>7.5028634674597718</v>
      </c>
      <c r="O15" s="258">
        <f>'MD-ratings-year'!T15</f>
        <v>39.064232400455559</v>
      </c>
      <c r="P15" s="258"/>
      <c r="Q15" s="258"/>
      <c r="R15" s="258"/>
      <c r="S15" s="243"/>
      <c r="T15" s="243"/>
      <c r="U15" s="243"/>
      <c r="V15" s="252"/>
      <c r="W15" s="455">
        <f>IF(ABS('SK-ratios'!AF18)&lt;0,0,IF(ABS('SK-ratios'!AF18)&gt;'SK-ratios'!$AC18,10,10*LOG(1+('SK-ratios'!$U18-1)*(ABS('SK-ratios'!AF18)-'SK-ratios'!$Y18)/('SK-ratios'!$AC18-'SK-ratios'!$Y18))/LOG('SK-ratios'!$U18)))</f>
        <v>2.0295767178554223</v>
      </c>
      <c r="X15" s="455">
        <f>IF(ABS('SK-ratios'!AG18)&lt;0,0,IF(ABS('SK-ratios'!AG18)&gt;'SK-ratios'!$AC18,10,10*LOG(1+('SK-ratios'!$U18-1)*(ABS('SK-ratios'!AG18)-'SK-ratios'!$Y18)/('SK-ratios'!$AC18-'SK-ratios'!$Y18))/LOG('SK-ratios'!$U18)))</f>
        <v>2.506174451739196</v>
      </c>
      <c r="Y15" s="455">
        <f>IF(ABS('SK-ratios'!AH18)&lt;0,0,IF(ABS('SK-ratios'!AH18)&gt;'SK-ratios'!$AC18,10,10*LOG(1+('SK-ratios'!$U18-1)*(ABS('SK-ratios'!AH18)-'SK-ratios'!$Y18)/('SK-ratios'!$AC18-'SK-ratios'!$Y18))/LOG('SK-ratios'!$U18)))</f>
        <v>5.9455134790201356</v>
      </c>
      <c r="Z15" s="455">
        <f>IF(ABS('SK-ratios'!AI18)&lt;0,0,IF(ABS('SK-ratios'!AI18)&gt;'SK-ratios'!$AC18,10,10*LOG(1+('SK-ratios'!$U18-1)*(ABS('SK-ratios'!AI18)-'SK-ratios'!$Y18)/('SK-ratios'!$AC18-'SK-ratios'!$Y18))/LOG('SK-ratios'!$U18)))</f>
        <v>3.2583385843925887</v>
      </c>
      <c r="AA15" s="455">
        <f>IF(ABS('SK-ratios'!AJ18)&lt;0,0,IF(ABS('SK-ratios'!AJ18)&gt;'SK-ratios'!$AC18,10,10*LOG(1+('SK-ratios'!$U18-1)*(ABS('SK-ratios'!AJ18)-'SK-ratios'!$Y18)/('SK-ratios'!$AC18-'SK-ratios'!$Y18))/LOG('SK-ratios'!$U18)))</f>
        <v>3.1461329415495998</v>
      </c>
      <c r="AB15" s="455">
        <f>IF(ABS('SK-ratios'!AK18)&lt;0,0,IF(ABS('SK-ratios'!AK18)&gt;'SK-ratios'!$AC18,10,10*LOG(1+('SK-ratios'!$U18-1)*(ABS('SK-ratios'!AK18)-'SK-ratios'!$Y18)/('SK-ratios'!$AC18-'SK-ratios'!$Y18))/LOG('SK-ratios'!$U18)))</f>
        <v>5.2842341941756041</v>
      </c>
      <c r="AC15" s="455">
        <f>IF(ABS('SK-ratios'!AL18)&lt;0,0,IF(ABS('SK-ratios'!AL18)&gt;'SK-ratios'!$AC18,10,10*LOG(1+('SK-ratios'!$U18-1)*(ABS('SK-ratios'!AL18)-'SK-ratios'!$Y18)/('SK-ratios'!$AC18-'SK-ratios'!$Y18))/LOG('SK-ratios'!$U18)))</f>
        <v>5.9657533665619855</v>
      </c>
      <c r="AD15" s="455">
        <f>IF(ABS('SK-ratios'!AM18)&lt;0,0,IF(ABS('SK-ratios'!AM18)&gt;'SK-ratios'!$AC18,10,10*LOG(1+('SK-ratios'!$U18-1)*(ABS('SK-ratios'!AM18)-'SK-ratios'!$Y18)/('SK-ratios'!$AC18-'SK-ratios'!$Y18))/LOG('SK-ratios'!$U18)))</f>
        <v>4.8294026342517302</v>
      </c>
      <c r="AE15" s="455">
        <f>IF(ABS('SK-ratios'!AN18)&lt;0,0,IF(ABS('SK-ratios'!AN18)&gt;'SK-ratios'!$AC18,10,10*LOG(1+('SK-ratios'!$U18-1)*(ABS('SK-ratios'!AN18)-'SK-ratios'!$Y18)/('SK-ratios'!$AC18-'SK-ratios'!$Y18))/LOG('SK-ratios'!$U18)))</f>
        <v>7.0552084829779353</v>
      </c>
      <c r="AF15" s="455">
        <f>IF(ABS('SK-ratios'!AO18)&lt;0,0,IF(ABS('SK-ratios'!AO18)&gt;'SK-ratios'!$AC18,10,10*LOG(1+('SK-ratios'!$U18-1)*(ABS('SK-ratios'!AO18)-'SK-ratios'!$Y18)/('SK-ratios'!$AC18-'SK-ratios'!$Y18))/LOG('SK-ratios'!$U18)))</f>
        <v>10</v>
      </c>
      <c r="AG15" s="455">
        <f>IF(ABS('SK-ratios'!AP18)&lt;0,0,IF(ABS('SK-ratios'!AP18)&gt;'SK-ratios'!$AC18,10,10*LOG(1+('SK-ratios'!$U18-1)*(ABS('SK-ratios'!AP18)-'SK-ratios'!$Y18)/('SK-ratios'!$AC18-'SK-ratios'!$Y18))/LOG('SK-ratios'!$U18)))</f>
        <v>4.472777699996997</v>
      </c>
      <c r="AH15" s="455">
        <f>IF(ABS('SK-ratios'!AQ18)&lt;0,0,IF(ABS('SK-ratios'!AQ18)&gt;'SK-ratios'!$AC18,10,10*LOG(1+('SK-ratios'!$U18-1)*(ABS('SK-ratios'!AQ18)-'SK-ratios'!$Y18)/('SK-ratios'!$AC18-'SK-ratios'!$Y18))/LOG('SK-ratios'!$U18)))</f>
        <v>1.3671124538112374</v>
      </c>
      <c r="AI15" s="455">
        <f>IF(ABS('SK-ratios'!AR18)&lt;0,0,IF(ABS('SK-ratios'!AR18)&gt;'SK-ratios'!$AC18,10,10*LOG(1+('SK-ratios'!$U18-1)*(ABS('SK-ratios'!AR18)-'SK-ratios'!$Y18)/('SK-ratios'!$AC18-'SK-ratios'!$Y18))/LOG('SK-ratios'!$U18)))</f>
        <v>8.0390055506466815</v>
      </c>
      <c r="AJ15" s="455">
        <f>IF(ABS('SK-ratios'!AS18)&lt;0,0,IF(ABS('SK-ratios'!AS18)&gt;'SK-ratios'!$AC18,10,10*LOG(1+('SK-ratios'!$U18-1)*(ABS('SK-ratios'!AS18)-'SK-ratios'!$Y18)/('SK-ratios'!$AC18-'SK-ratios'!$Y18))/LOG('SK-ratios'!$U18)))</f>
        <v>10</v>
      </c>
      <c r="AK15" s="455">
        <f>IF(ABS('SK-ratios'!AT18)&lt;0,0,IF(ABS('SK-ratios'!AT18)&gt;'SK-ratios'!$AC18,10,10*LOG(1+('SK-ratios'!$U18-1)*(ABS('SK-ratios'!AT18)-'SK-ratios'!$Y18)/('SK-ratios'!$AC18-'SK-ratios'!$Y18))/LOG('SK-ratios'!$U18)))</f>
        <v>4.9150355590332016</v>
      </c>
      <c r="AL15" s="455">
        <f>IF(ABS('SK-ratios'!AU18)&lt;0,0,IF(ABS('SK-ratios'!AU18)&gt;'SK-ratios'!$AC18,10,10*LOG(1+('SK-ratios'!$U18-1)*(ABS('SK-ratios'!AU18)-'SK-ratios'!$Y18)/('SK-ratios'!$AC18-'SK-ratios'!$Y18))/LOG('SK-ratios'!$U18)))</f>
        <v>2.3449932150313666</v>
      </c>
      <c r="AM15" s="455">
        <f>IF(ABS('SK-ratios'!AV18)&lt;0,0,IF(ABS('SK-ratios'!AV18)&gt;'SK-ratios'!$AC18,10,10*LOG(1+('SK-ratios'!$U18-1)*(ABS('SK-ratios'!AV18)-'SK-ratios'!$Y18)/('SK-ratios'!$AC18-'SK-ratios'!$Y18))/LOG('SK-ratios'!$U18)))</f>
        <v>4.3545087857625084</v>
      </c>
      <c r="AN15" s="455">
        <f>IF(ABS('SK-ratios'!AW18)&lt;0,0,IF(ABS('SK-ratios'!AW18)&gt;'SK-ratios'!$AC18,10,10*LOG(1+('SK-ratios'!$U18-1)*(ABS('SK-ratios'!AW18)-'SK-ratios'!$Y18)/('SK-ratios'!$AC18-'SK-ratios'!$Y18))/LOG('SK-ratios'!$U18)))</f>
        <v>6.362399612891485</v>
      </c>
      <c r="AO15" s="455">
        <f>IF(ABS('SK-ratios'!AX18)&lt;0,0,IF(ABS('SK-ratios'!AX18)&gt;'SK-ratios'!$AC18,10,10*LOG(1+('SK-ratios'!$U18-1)*(ABS('SK-ratios'!AX18)-'SK-ratios'!$Y18)/('SK-ratios'!$AC18-'SK-ratios'!$Y18))/LOG('SK-ratios'!$U18)))</f>
        <v>1.8526551414540484</v>
      </c>
      <c r="AP15" s="455">
        <f>IF(ABS('SK-ratios'!AY18)&lt;0,0,IF(ABS('SK-ratios'!AY18)&gt;'SK-ratios'!$AC18,10,10*LOG(1+('SK-ratios'!$U18-1)*(ABS('SK-ratios'!AY18)-'SK-ratios'!$Y18)/('SK-ratios'!$AC18-'SK-ratios'!$Y18))/LOG('SK-ratios'!$U18)))</f>
        <v>10</v>
      </c>
      <c r="AQ15" s="455">
        <f>IF(ABS('SK-ratios'!AZ18)&lt;0,0,IF(ABS('SK-ratios'!AZ18)&gt;'SK-ratios'!$AC18,10,10*LOG(1+('SK-ratios'!$U18-1)*(ABS('SK-ratios'!AZ18)-'SK-ratios'!$Y18)/('SK-ratios'!$AC18-'SK-ratios'!$Y18))/LOG('SK-ratios'!$U18)))</f>
        <v>7.9567756821356153E-2</v>
      </c>
      <c r="AR15" s="455">
        <f>IF(ABS('SK-ratios'!BA18)&lt;0,0,IF(ABS('SK-ratios'!BA18)&gt;'SK-ratios'!$AC18,10,10*LOG(1+('SK-ratios'!$U18-1)*(ABS('SK-ratios'!BA18)-'SK-ratios'!$Y18)/('SK-ratios'!$AC18-'SK-ratios'!$Y18))/LOG('SK-ratios'!$U18)))</f>
        <v>3.2714559181603073</v>
      </c>
      <c r="AS15" s="455">
        <f>IF(ABS('SK-ratios'!BB18)&lt;0,0,IF(ABS('SK-ratios'!BB18)&gt;'SK-ratios'!$AC18,10,10*LOG(1+('SK-ratios'!$U18-1)*(ABS('SK-ratios'!BB18)-'SK-ratios'!$Y18)/('SK-ratios'!$AC18-'SK-ratios'!$Y18))/LOG('SK-ratios'!$U18)))</f>
        <v>3.8285243929394031</v>
      </c>
      <c r="AT15" s="455">
        <f>IF(ABS('SK-ratios'!BC18)&lt;0,0,IF(ABS('SK-ratios'!BC18)&gt;'SK-ratios'!$AC18,10,10*LOG(1+('SK-ratios'!$U18-1)*(ABS('SK-ratios'!BC18)-'SK-ratios'!$Y18)/('SK-ratios'!$AC18-'SK-ratios'!$Y18))/LOG('SK-ratios'!$U18)))</f>
        <v>10</v>
      </c>
      <c r="AU15" s="455">
        <f>IF(ABS('SK-ratios'!BD18)&lt;0,0,IF(ABS('SK-ratios'!BD18)&gt;'SK-ratios'!$AC18,10,10*LOG(1+('SK-ratios'!$U18-1)*(ABS('SK-ratios'!BD18)-'SK-ratios'!$Y18)/('SK-ratios'!$AC18-'SK-ratios'!$Y18))/LOG('SK-ratios'!$U18)))</f>
        <v>7.5084852303826857</v>
      </c>
      <c r="AV15" s="455">
        <f>IF(ABS('SK-ratios'!BE18)&lt;0,0,IF(ABS('SK-ratios'!BE18)&gt;'SK-ratios'!$AC18,10,10*LOG(1+('SK-ratios'!$U18-1)*(ABS('SK-ratios'!BE18)-'SK-ratios'!$Y18)/('SK-ratios'!$AC18-'SK-ratios'!$Y18))/LOG('SK-ratios'!$U18)))</f>
        <v>0.94942709129074787</v>
      </c>
      <c r="AW15" s="455">
        <f>IF(ABS('SK-ratios'!BF18)&lt;0,0,IF(ABS('SK-ratios'!BF18)&gt;'SK-ratios'!$AC18,10,10*LOG(1+('SK-ratios'!$U18-1)*(ABS('SK-ratios'!BF18)-'SK-ratios'!$Y18)/('SK-ratios'!$AC18-'SK-ratios'!$Y18))/LOG('SK-ratios'!$U18)))</f>
        <v>3.5304445702792804</v>
      </c>
      <c r="AX15" s="455">
        <f>IF(ABS('SK-ratios'!BG18)&lt;0,0,IF(ABS('SK-ratios'!BG18)&gt;'SK-ratios'!$AC18,10,10*LOG(1+('SK-ratios'!$U18-1)*(ABS('SK-ratios'!BG18)-'SK-ratios'!$Y18)/('SK-ratios'!$AC18-'SK-ratios'!$Y18))/LOG('SK-ratios'!$U18)))</f>
        <v>3.7758444942074161</v>
      </c>
      <c r="AY15" s="455">
        <f>IF(ABS('SK-ratios'!BH18)&lt;0,0,IF(ABS('SK-ratios'!BH18)&gt;'SK-ratios'!$AC18,10,10*LOG(1+('SK-ratios'!$U18-1)*(ABS('SK-ratios'!BH18)-'SK-ratios'!$Y18)/('SK-ratios'!$AC18-'SK-ratios'!$Y18))/LOG('SK-ratios'!$U18)))</f>
        <v>2.7028612210492393</v>
      </c>
      <c r="AZ15" s="455">
        <f>IF(ABS('SK-ratios'!BI18)&lt;0,0,IF(ABS('SK-ratios'!BI18)&gt;'SK-ratios'!$AC18,10,10*LOG(1+('SK-ratios'!$U18-1)*(ABS('SK-ratios'!BI18)-'SK-ratios'!$Y18)/('SK-ratios'!$AC18-'SK-ratios'!$Y18))/LOG('SK-ratios'!$U18)))</f>
        <v>3.1437062977697163</v>
      </c>
      <c r="BA15" s="455">
        <f>IF(ABS('SK-ratios'!BJ18)&lt;0,0,IF(ABS('SK-ratios'!BJ18)&gt;'SK-ratios'!$AC18,10,10*LOG(1+('SK-ratios'!$U18-1)*(ABS('SK-ratios'!BJ18)-'SK-ratios'!$Y18)/('SK-ratios'!$AC18-'SK-ratios'!$Y18))/LOG('SK-ratios'!$U18)))</f>
        <v>4.391390741863809</v>
      </c>
      <c r="BB15" s="455">
        <f>IF(ABS('SK-ratios'!BK18)&lt;0,0,IF(ABS('SK-ratios'!BK18)&gt;'SK-ratios'!$AC18,10,10*LOG(1+('SK-ratios'!$U18-1)*(ABS('SK-ratios'!BK18)-'SK-ratios'!$Y18)/('SK-ratios'!$AC18-'SK-ratios'!$Y18))/LOG('SK-ratios'!$U18)))</f>
        <v>2.9604272495652753</v>
      </c>
      <c r="BC15" s="455">
        <f>IF(ABS('SK-ratios'!BL18)&lt;0,0,IF(ABS('SK-ratios'!BL18)&gt;'SK-ratios'!$AC18,10,10*LOG(1+('SK-ratios'!$U18-1)*(ABS('SK-ratios'!BL18)-'SK-ratios'!$Y18)/('SK-ratios'!$AC18-'SK-ratios'!$Y18))/LOG('SK-ratios'!$U18)))</f>
        <v>7.8802032443068084</v>
      </c>
      <c r="BD15" s="455">
        <f>IF(ABS('SK-ratios'!BM18)&lt;0,0,IF(ABS('SK-ratios'!BM18)&gt;'SK-ratios'!$AC18,10,10*LOG(1+('SK-ratios'!$U18-1)*(ABS('SK-ratios'!BM18)-'SK-ratios'!$Y18)/('SK-ratios'!$AC18-'SK-ratios'!$Y18))/LOG('SK-ratios'!$U18)))</f>
        <v>2.741441988572392</v>
      </c>
      <c r="BE15" s="455">
        <f>IF(ABS('SK-ratios'!BN18)&lt;0,0,IF(ABS('SK-ratios'!BN18)&gt;'SK-ratios'!$AC18,10,10*LOG(1+('SK-ratios'!$U18-1)*(ABS('SK-ratios'!BN18)-'SK-ratios'!$Y18)/('SK-ratios'!$AC18-'SK-ratios'!$Y18))/LOG('SK-ratios'!$U18)))</f>
        <v>3.4939711447452457</v>
      </c>
      <c r="BF15" s="455">
        <f>IF(ABS('SK-ratios'!BO18)&lt;0,0,IF(ABS('SK-ratios'!BO18)&gt;'SK-ratios'!$AC18,10,10*LOG(1+('SK-ratios'!$U18-1)*(ABS('SK-ratios'!BO18)-'SK-ratios'!$Y18)/('SK-ratios'!$AC18-'SK-ratios'!$Y18))/LOG('SK-ratios'!$U18)))</f>
        <v>2.4765679570332608</v>
      </c>
      <c r="BG15" s="455">
        <f>IF(ABS('SK-ratios'!BP18)&lt;0,0,IF(ABS('SK-ratios'!BP18)&gt;'SK-ratios'!$AC18,10,10*LOG(1+('SK-ratios'!$U18-1)*(ABS('SK-ratios'!BP18)-'SK-ratios'!$Y18)/('SK-ratios'!$AC18-'SK-ratios'!$Y18))/LOG('SK-ratios'!$U18)))</f>
        <v>4.3923004333229239</v>
      </c>
      <c r="BH15" s="455">
        <f>IF(ABS('SK-ratios'!BQ18)&lt;0,0,IF(ABS('SK-ratios'!BQ18)&gt;'SK-ratios'!$AC18,10,10*LOG(1+('SK-ratios'!$U18-1)*(ABS('SK-ratios'!BQ18)-'SK-ratios'!$Y18)/('SK-ratios'!$AC18-'SK-ratios'!$Y18))/LOG('SK-ratios'!$U18)))</f>
        <v>6.3512486289574888</v>
      </c>
      <c r="BI15" s="455">
        <f>IF(ABS('SK-ratios'!BR18)&lt;0,0,IF(ABS('SK-ratios'!BR18)&gt;'SK-ratios'!$AC18,10,10*LOG(1+('SK-ratios'!$U18-1)*(ABS('SK-ratios'!BR18)-'SK-ratios'!$Y18)/('SK-ratios'!$AC18-'SK-ratios'!$Y18))/LOG('SK-ratios'!$U18)))</f>
        <v>10</v>
      </c>
      <c r="BJ15" s="455">
        <f>IF(ABS('SK-ratios'!BS18)&lt;0,0,IF(ABS('SK-ratios'!BS18)&gt;'SK-ratios'!$AC18,10,10*LOG(1+('SK-ratios'!$U18-1)*(ABS('SK-ratios'!BS18)-'SK-ratios'!$Y18)/('SK-ratios'!$AC18-'SK-ratios'!$Y18))/LOG('SK-ratios'!$U18)))</f>
        <v>7.8871785129662904</v>
      </c>
      <c r="BK15" s="455">
        <f>IF(ABS('SK-ratios'!BT18)&lt;0,0,IF(ABS('SK-ratios'!BT18)&gt;'SK-ratios'!$AC18,10,10*LOG(1+('SK-ratios'!$U18-1)*(ABS('SK-ratios'!BT18)-'SK-ratios'!$Y18)/('SK-ratios'!$AC18-'SK-ratios'!$Y18))/LOG('SK-ratios'!$U18)))</f>
        <v>2.5704512597840878</v>
      </c>
      <c r="BL15" s="455">
        <f>IF(ABS('SK-ratios'!BU18)&lt;0,0,IF(ABS('SK-ratios'!BU18)&gt;'SK-ratios'!$AC18,10,10*LOG(1+('SK-ratios'!$U18-1)*(ABS('SK-ratios'!BU18)-'SK-ratios'!$Y18)/('SK-ratios'!$AC18-'SK-ratios'!$Y18))/LOG('SK-ratios'!$U18)))</f>
        <v>6.2152435852658439</v>
      </c>
      <c r="BM15" s="455">
        <f>IF(ABS('SK-ratios'!BV18)&lt;0,0,IF(ABS('SK-ratios'!BV18)&gt;'SK-ratios'!$AC18,10,10*LOG(1+('SK-ratios'!$U18-1)*(ABS('SK-ratios'!BV18)-'SK-ratios'!$Y18)/('SK-ratios'!$AC18-'SK-ratios'!$Y18))/LOG('SK-ratios'!$U18)))</f>
        <v>4.3503484638379186</v>
      </c>
      <c r="BN15" s="455">
        <f>IF(ABS('SK-ratios'!BW18)&lt;0,0,IF(ABS('SK-ratios'!BW18)&gt;'SK-ratios'!$AC18,10,10*LOG(1+('SK-ratios'!$U18-1)*(ABS('SK-ratios'!BW18)-'SK-ratios'!$Y18)/('SK-ratios'!$AC18-'SK-ratios'!$Y18))/LOG('SK-ratios'!$U18)))</f>
        <v>7.7297110928373929</v>
      </c>
      <c r="BO15" s="455">
        <f>IF(ABS('SK-ratios'!BX18)&lt;0,0,IF(ABS('SK-ratios'!BX18)&gt;'SK-ratios'!$AC18,10,10*LOG(1+('SK-ratios'!$U18-1)*(ABS('SK-ratios'!BX18)-'SK-ratios'!$Y18)/('SK-ratios'!$AC18-'SK-ratios'!$Y18))/LOG('SK-ratios'!$U18)))</f>
        <v>5.2366770287165902</v>
      </c>
      <c r="BP15" s="455">
        <f>IF(ABS('SK-ratios'!BY18)&lt;0,0,IF(ABS('SK-ratios'!BY18)&gt;'SK-ratios'!$AC18,10,10*LOG(1+('SK-ratios'!$U18-1)*(ABS('SK-ratios'!BY18)-'SK-ratios'!$Y18)/('SK-ratios'!$AC18-'SK-ratios'!$Y18))/LOG('SK-ratios'!$U18)))</f>
        <v>10</v>
      </c>
      <c r="BQ15" s="455">
        <f>IF(ABS('SK-ratios'!BZ18)&lt;0,0,IF(ABS('SK-ratios'!BZ18)&gt;'SK-ratios'!$AC18,10,10*LOG(1+('SK-ratios'!$U18-1)*(ABS('SK-ratios'!BZ18)-'SK-ratios'!$Y18)/('SK-ratios'!$AC18-'SK-ratios'!$Y18))/LOG('SK-ratios'!$U18)))</f>
        <v>1.8766750323108377</v>
      </c>
      <c r="BR15" s="455">
        <f>IF(ABS('SK-ratios'!CA18)&lt;0,0,IF(ABS('SK-ratios'!CA18)&gt;'SK-ratios'!$AC18,10,10*LOG(1+('SK-ratios'!$U18-1)*(ABS('SK-ratios'!CA18)-'SK-ratios'!$Y18)/('SK-ratios'!$AC18-'SK-ratios'!$Y18))/LOG('SK-ratios'!$U18)))</f>
        <v>1.4746841429552404</v>
      </c>
      <c r="BS15" s="455">
        <f>IF(ABS('SK-ratios'!CB18)&lt;0,0,IF(ABS('SK-ratios'!CB18)&gt;'SK-ratios'!$AC18,10,10*LOG(1+('SK-ratios'!$U18-1)*(ABS('SK-ratios'!CB18)-'SK-ratios'!$Y18)/('SK-ratios'!$AC18-'SK-ratios'!$Y18))/LOG('SK-ratios'!$U18)))</f>
        <v>6.0430326616578194</v>
      </c>
      <c r="BT15" s="455">
        <f>IF(ABS('SK-ratios'!CC18)&lt;0,0,IF(ABS('SK-ratios'!CC18)&gt;'SK-ratios'!$AC18,10,10*LOG(1+('SK-ratios'!$U18-1)*(ABS('SK-ratios'!CC18)-'SK-ratios'!$Y18)/('SK-ratios'!$AC18-'SK-ratios'!$Y18))/LOG('SK-ratios'!$U18)))</f>
        <v>3.8056626346455702</v>
      </c>
      <c r="BU15" s="455">
        <f>IF(ABS('SK-ratios'!CD18)&lt;0,0,IF(ABS('SK-ratios'!CD18)&gt;'SK-ratios'!$AC18,10,10*LOG(1+('SK-ratios'!$U18-1)*(ABS('SK-ratios'!CD18)-'SK-ratios'!$Y18)/('SK-ratios'!$AC18-'SK-ratios'!$Y18))/LOG('SK-ratios'!$U18)))</f>
        <v>6.3265540829416596</v>
      </c>
      <c r="BV15" s="455">
        <f>IF(ABS('SK-ratios'!CE18)&lt;0,0,IF(ABS('SK-ratios'!CE18)&gt;'SK-ratios'!$AC18,10,10*LOG(1+('SK-ratios'!$U18-1)*(ABS('SK-ratios'!CE18)-'SK-ratios'!$Y18)/('SK-ratios'!$AC18-'SK-ratios'!$Y18))/LOG('SK-ratios'!$U18)))</f>
        <v>0.44522228177509365</v>
      </c>
      <c r="BW15" s="455">
        <f>IF(ABS('SK-ratios'!CF18)&lt;0,0,IF(ABS('SK-ratios'!CF18)&gt;'SK-ratios'!$AC18,10,10*LOG(1+('SK-ratios'!$U18-1)*(ABS('SK-ratios'!CF18)-'SK-ratios'!$Y18)/('SK-ratios'!$AC18-'SK-ratios'!$Y18))/LOG('SK-ratios'!$U18)))</f>
        <v>6.5173137429032026</v>
      </c>
      <c r="BX15" s="455">
        <f>IF(ABS('SK-ratios'!CG18)&lt;0,0,IF(ABS('SK-ratios'!CG18)&gt;'SK-ratios'!$AC18,10,10*LOG(1+('SK-ratios'!$U18-1)*(ABS('SK-ratios'!CG18)-'SK-ratios'!$Y18)/('SK-ratios'!$AC18-'SK-ratios'!$Y18))/LOG('SK-ratios'!$U18)))</f>
        <v>2.6680590096055945</v>
      </c>
      <c r="BY15" s="455">
        <f>IF(ABS('SK-ratios'!CH18)&lt;0,0,IF(ABS('SK-ratios'!CH18)&gt;'SK-ratios'!$AC18,10,10*LOG(1+('SK-ratios'!$U18-1)*(ABS('SK-ratios'!CH18)-'SK-ratios'!$Y18)/('SK-ratios'!$AC18-'SK-ratios'!$Y18))/LOG('SK-ratios'!$U18)))</f>
        <v>3.1196017767135888</v>
      </c>
      <c r="BZ15" s="455">
        <f>IF(ABS('SK-ratios'!CI18)&lt;0,0,IF(ABS('SK-ratios'!CI18)&gt;'SK-ratios'!$AC18,10,10*LOG(1+('SK-ratios'!$U18-1)*(ABS('SK-ratios'!CI18)-'SK-ratios'!$Y18)/('SK-ratios'!$AC18-'SK-ratios'!$Y18))/LOG('SK-ratios'!$U18)))</f>
        <v>2.9318829735961858</v>
      </c>
      <c r="CA15" s="455">
        <f>IF(ABS('SK-ratios'!CJ18)&lt;0,0,IF(ABS('SK-ratios'!CJ18)&gt;'SK-ratios'!$AC18,10,10*LOG(1+('SK-ratios'!$U18-1)*(ABS('SK-ratios'!CJ18)-'SK-ratios'!$Y18)/('SK-ratios'!$AC18-'SK-ratios'!$Y18))/LOG('SK-ratios'!$U18)))</f>
        <v>10</v>
      </c>
      <c r="CB15" s="455">
        <f>IF(ABS('SK-ratios'!CK18)&lt;0,0,IF(ABS('SK-ratios'!CK18)&gt;'SK-ratios'!$AC18,10,10*LOG(1+('SK-ratios'!$U18-1)*(ABS('SK-ratios'!CK18)-'SK-ratios'!$Y18)/('SK-ratios'!$AC18-'SK-ratios'!$Y18))/LOG('SK-ratios'!$U18)))</f>
        <v>2.4304681953241434</v>
      </c>
      <c r="CC15" s="455">
        <f>IF(ABS('SK-ratios'!CL18)&lt;0,0,IF(ABS('SK-ratios'!CL18)&gt;'SK-ratios'!$AC18,10,10*LOG(1+('SK-ratios'!$U18-1)*(ABS('SK-ratios'!CL18)-'SK-ratios'!$Y18)/('SK-ratios'!$AC18-'SK-ratios'!$Y18))/LOG('SK-ratios'!$U18)))</f>
        <v>1.8075937722073323</v>
      </c>
      <c r="CD15" s="455">
        <f>IF(ABS('SK-ratios'!CM18)&lt;0,0,IF(ABS('SK-ratios'!CM18)&gt;'SK-ratios'!$AC18,10,10*LOG(1+('SK-ratios'!$U18-1)*(ABS('SK-ratios'!CM18)-'SK-ratios'!$Y18)/('SK-ratios'!$AC18-'SK-ratios'!$Y18))/LOG('SK-ratios'!$U18)))</f>
        <v>10</v>
      </c>
      <c r="CE15" s="455">
        <f>IF(ABS('SK-ratios'!CN18)&lt;0,0,IF(ABS('SK-ratios'!CN18)&gt;'SK-ratios'!$AC18,10,10*LOG(1+('SK-ratios'!$U18-1)*(ABS('SK-ratios'!CN18)-'SK-ratios'!$Y18)/('SK-ratios'!$AC18-'SK-ratios'!$Y18))/LOG('SK-ratios'!$U18)))</f>
        <v>4.7335681273910524</v>
      </c>
      <c r="CF15" s="455">
        <f>IF(ABS('SK-ratios'!CO18)&lt;0,0,IF(ABS('SK-ratios'!CO18)&gt;'SK-ratios'!$AC18,10,10*LOG(1+('SK-ratios'!$U18-1)*(ABS('SK-ratios'!CO18)-'SK-ratios'!$Y18)/('SK-ratios'!$AC18-'SK-ratios'!$Y18))/LOG('SK-ratios'!$U18)))</f>
        <v>2.1995737883319726</v>
      </c>
      <c r="CG15" s="455">
        <f>IF(ABS('SK-ratios'!CP18)&lt;0,0,IF(ABS('SK-ratios'!CP18)&gt;'SK-ratios'!$AC18,10,10*LOG(1+('SK-ratios'!$U18-1)*(ABS('SK-ratios'!CP18)-'SK-ratios'!$Y18)/('SK-ratios'!$AC18-'SK-ratios'!$Y18))/LOG('SK-ratios'!$U18)))</f>
        <v>2.8265544440837185</v>
      </c>
      <c r="CH15" s="455">
        <f>IF(ABS('SK-ratios'!CQ18)&lt;0,0,IF(ABS('SK-ratios'!CQ18)&gt;'SK-ratios'!$AC18,10,10*LOG(1+('SK-ratios'!$U18-1)*(ABS('SK-ratios'!CQ18)-'SK-ratios'!$Y18)/('SK-ratios'!$AC18-'SK-ratios'!$Y18))/LOG('SK-ratios'!$U18)))</f>
        <v>3.9615610402857433</v>
      </c>
      <c r="CI15" s="455">
        <f>IF(ABS('SK-ratios'!CR18)&lt;0,0,IF(ABS('SK-ratios'!CR18)&gt;'SK-ratios'!$AC18,10,10*LOG(1+('SK-ratios'!$U18-1)*(ABS('SK-ratios'!CR18)-'SK-ratios'!$Y18)/('SK-ratios'!$AC18-'SK-ratios'!$Y18))/LOG('SK-ratios'!$U18)))</f>
        <v>3.5764721164202116</v>
      </c>
      <c r="CJ15" s="455">
        <f>IF(ABS('SK-ratios'!CS18)&lt;0,0,IF(ABS('SK-ratios'!CS18)&gt;'SK-ratios'!$AC18,10,10*LOG(1+('SK-ratios'!$U18-1)*(ABS('SK-ratios'!CS18)-'SK-ratios'!$Y18)/('SK-ratios'!$AC18-'SK-ratios'!$Y18))/LOG('SK-ratios'!$U18)))</f>
        <v>6.6640058451884592</v>
      </c>
      <c r="CK15" s="455">
        <f>IF(ABS('SK-ratios'!CT18)&lt;0,0,IF(ABS('SK-ratios'!CT18)&gt;'SK-ratios'!$AC18,10,10*LOG(1+('SK-ratios'!$U18-1)*(ABS('SK-ratios'!CT18)-'SK-ratios'!$Y18)/('SK-ratios'!$AC18-'SK-ratios'!$Y18))/LOG('SK-ratios'!$U18)))</f>
        <v>4.3234478449530336</v>
      </c>
      <c r="CL15" s="455">
        <f>IF(ABS('SK-ratios'!CU18)&lt;0,0,IF(ABS('SK-ratios'!CU18)&gt;'SK-ratios'!$AC18,10,10*LOG(1+('SK-ratios'!$U18-1)*(ABS('SK-ratios'!CU18)-'SK-ratios'!$Y18)/('SK-ratios'!$AC18-'SK-ratios'!$Y18))/LOG('SK-ratios'!$U18)))</f>
        <v>6.6774498165985081</v>
      </c>
      <c r="CM15" s="455">
        <f>IF(ABS('SK-ratios'!CV18)&lt;0,0,IF(ABS('SK-ratios'!CV18)&gt;'SK-ratios'!$AC18,10,10*LOG(1+('SK-ratios'!$U18-1)*(ABS('SK-ratios'!CV18)-'SK-ratios'!$Y18)/('SK-ratios'!$AC18-'SK-ratios'!$Y18))/LOG('SK-ratios'!$U18)))</f>
        <v>1.5084978460440106</v>
      </c>
      <c r="CN15" s="455">
        <f>IF(ABS('SK-ratios'!CW18)&lt;0,0,IF(ABS('SK-ratios'!CW18)&gt;'SK-ratios'!$AC18,10,10*LOG(1+('SK-ratios'!$U18-1)*(ABS('SK-ratios'!CW18)-'SK-ratios'!$Y18)/('SK-ratios'!$AC18-'SK-ratios'!$Y18))/LOG('SK-ratios'!$U18)))</f>
        <v>4.1940436825984895</v>
      </c>
      <c r="CO15" s="455">
        <f>IF(ABS('SK-ratios'!CX18)&lt;0,0,IF(ABS('SK-ratios'!CX18)&gt;'SK-ratios'!$AC18,10,10*LOG(1+('SK-ratios'!$U18-1)*(ABS('SK-ratios'!CX18)-'SK-ratios'!$Y18)/('SK-ratios'!$AC18-'SK-ratios'!$Y18))/LOG('SK-ratios'!$U18)))</f>
        <v>9.839880730541914</v>
      </c>
      <c r="CP15" s="455">
        <f>IF(ABS('SK-ratios'!CY18)&lt;0,0,IF(ABS('SK-ratios'!CY18)&gt;'SK-ratios'!$AC18,10,10*LOG(1+('SK-ratios'!$U18-1)*(ABS('SK-ratios'!CY18)-'SK-ratios'!$Y18)/('SK-ratios'!$AC18-'SK-ratios'!$Y18))/LOG('SK-ratios'!$U18)))</f>
        <v>10</v>
      </c>
      <c r="CQ15" s="455">
        <f>IF(ABS('SK-ratios'!CZ18)&lt;0,0,IF(ABS('SK-ratios'!CZ18)&gt;'SK-ratios'!$AC18,10,10*LOG(1+('SK-ratios'!$U18-1)*(ABS('SK-ratios'!CZ18)-'SK-ratios'!$Y18)/('SK-ratios'!$AC18-'SK-ratios'!$Y18))/LOG('SK-ratios'!$U18)))</f>
        <v>0.59015265498932956</v>
      </c>
      <c r="CR15" s="455">
        <f>IF(ABS('SK-ratios'!DA18)&lt;0,0,IF(ABS('SK-ratios'!DA18)&gt;'SK-ratios'!$AC18,10,10*LOG(1+('SK-ratios'!$U18-1)*(ABS('SK-ratios'!DA18)-'SK-ratios'!$Y18)/('SK-ratios'!$AC18-'SK-ratios'!$Y18))/LOG('SK-ratios'!$U18)))</f>
        <v>3.1941509111204458</v>
      </c>
      <c r="CS15" s="455">
        <f>IF(ABS('SK-ratios'!DB18)&lt;0,0,IF(ABS('SK-ratios'!DB18)&gt;'SK-ratios'!$AC18,10,10*LOG(1+('SK-ratios'!$U18-1)*(ABS('SK-ratios'!DB18)-'SK-ratios'!$Y18)/('SK-ratios'!$AC18-'SK-ratios'!$Y18))/LOG('SK-ratios'!$U18)))</f>
        <v>4.3880142805140236</v>
      </c>
      <c r="CT15" s="455">
        <f>IF(ABS('SK-ratios'!DC18)&lt;0,0,IF(ABS('SK-ratios'!DC18)&gt;'SK-ratios'!$AC18,10,10*LOG(1+('SK-ratios'!$U18-1)*(ABS('SK-ratios'!DC18)-'SK-ratios'!$Y18)/('SK-ratios'!$AC18-'SK-ratios'!$Y18))/LOG('SK-ratios'!$U18)))</f>
        <v>5.2142095641953432</v>
      </c>
      <c r="CU15" s="455">
        <f>IF(ABS('SK-ratios'!DD18)&lt;0,0,IF(ABS('SK-ratios'!DD18)&gt;'SK-ratios'!$AC18,10,10*LOG(1+('SK-ratios'!$U18-1)*(ABS('SK-ratios'!DD18)-'SK-ratios'!$Y18)/('SK-ratios'!$AC18-'SK-ratios'!$Y18))/LOG('SK-ratios'!$U18)))</f>
        <v>3.5255328939494417</v>
      </c>
      <c r="CV15" s="455">
        <f>IF(ABS('SK-ratios'!DE18)&lt;0,0,IF(ABS('SK-ratios'!DE18)&gt;'SK-ratios'!$AC18,10,10*LOG(1+('SK-ratios'!$U18-1)*(ABS('SK-ratios'!DE18)-'SK-ratios'!$Y18)/('SK-ratios'!$AC18-'SK-ratios'!$Y18))/LOG('SK-ratios'!$U18)))</f>
        <v>3.0550654241532786</v>
      </c>
      <c r="CW15" s="455">
        <f>IF(ABS('SK-ratios'!DF18)&lt;0,0,IF(ABS('SK-ratios'!DF18)&gt;'SK-ratios'!$AC18,10,10*LOG(1+('SK-ratios'!$U18-1)*(ABS('SK-ratios'!DF18)-'SK-ratios'!$Y18)/('SK-ratios'!$AC18-'SK-ratios'!$Y18))/LOG('SK-ratios'!$U18)))</f>
        <v>6.8159788162424695</v>
      </c>
      <c r="CX15" s="455">
        <f>IF(ABS('SK-ratios'!DG18)&lt;0,0,IF(ABS('SK-ratios'!DG18)&gt;'SK-ratios'!$AC18,10,10*LOG(1+('SK-ratios'!$U18-1)*(ABS('SK-ratios'!DG18)-'SK-ratios'!$Y18)/('SK-ratios'!$AC18-'SK-ratios'!$Y18))/LOG('SK-ratios'!$U18)))</f>
        <v>8.726964080779398</v>
      </c>
      <c r="CZ15" s="546"/>
      <c r="DA15" s="455">
        <f t="array" ref="DA15">SUMPRODUCT(IF(($W$3:$CX$3=DA$3)*($W$2:$CX$2=DA$2),$W15:$CX15),IF(($W$3:$CX$3=DA$3)*($W$2:$CX$2=DA$2),$W$19:$CX$19))/SUM(IF(($W$3:$CX$3=DA$3)*($W$2:$CX$2=DA$2),$W$19:$CX$19))</f>
        <v>5.0223346109492528</v>
      </c>
      <c r="DB15" s="455">
        <f t="array" ref="DB15">SUMPRODUCT(IF(($W$3:$CX$3=DB$3)*($W$2:$CX$2=DB$2),$W15:$CX15),IF(($W$3:$CX$3=DB$3)*($W$2:$CX$2=DB$2),$W$19:$CX$19))/SUM(IF(($W$3:$CX$3=DB$3)*($W$2:$CX$2=DB$2),$W$19:$CX$19))</f>
        <v>5.1265304592966316</v>
      </c>
      <c r="DC15" s="455">
        <f t="array" ref="DC15">SUMPRODUCT(IF(($W$3:$CX$3=DC$3)*($W$2:$CX$2=DC$2),$W15:$CX15),IF(($W$3:$CX$3=DC$3)*($W$2:$CX$2=DC$2),$W$19:$CX$19))/SUM(IF(($W$3:$CX$3=DC$3)*($W$2:$CX$2=DC$2),$W$19:$CX$19))</f>
        <v>5.0279020540802044</v>
      </c>
      <c r="DD15" s="455">
        <f t="array" ref="DD15">SUMPRODUCT(IF(($W$3:$CX$3=DD$3)*($W$2:$CX$2=DD$2),$W15:$CX15),IF(($W$3:$CX$3=DD$3)*($W$2:$CX$2=DD$2),$W$19:$CX$19))/SUM(IF(($W$3:$CX$3=DD$3)*($W$2:$CX$2=DD$2),$W$19:$CX$19))</f>
        <v>4.4538301275923011</v>
      </c>
      <c r="DE15" s="455">
        <f t="array" ref="DE15">SUMPRODUCT(IF(($W$3:$CX$3=DE$3)*($W$2:$CX$2=DE$2),$W15:$CX15),IF(($W$3:$CX$3=DE$3)*($W$2:$CX$2=DE$2),$W$19:$CX$19))/SUM(IF(($W$3:$CX$3=DE$3)*($W$2:$CX$2=DE$2),$W$19:$CX$19))</f>
        <v>3.0074793761561849</v>
      </c>
      <c r="DF15" s="455">
        <f t="array" ref="DF15">SUMPRODUCT(IF(($W$3:$CX$3=DF$3)*($W$2:$CX$2=DF$2),$W15:$CX15),IF(($W$3:$CX$3=DF$3)*($W$2:$CX$2=DF$2),$W$19:$CX$19))/SUM(IF(($W$3:$CX$3=DF$3)*($W$2:$CX$2=DF$2),$W$19:$CX$19))</f>
        <v>3.840700093000311</v>
      </c>
      <c r="DG15" s="455">
        <f t="array" ref="DG15">SUMPRODUCT(IF(($W$3:$CX$3=DG$3)*($W$2:$CX$2=DG$2),$W15:$CX15),IF(($W$3:$CX$3=DG$3)*($W$2:$CX$2=DG$2),$W$19:$CX$19))/SUM(IF(($W$3:$CX$3=DG$3)*($W$2:$CX$2=DG$2),$W$19:$CX$19))</f>
        <v>6.7661014620517683</v>
      </c>
      <c r="DH15" s="455">
        <f t="array" ref="DH15">SUMPRODUCT(IF(($W$3:$CX$3=DH$3)*($W$2:$CX$2=DH$2),$W15:$CX15),IF(($W$3:$CX$3=DH$3)*($W$2:$CX$2=DH$2),$W$19:$CX$19))/SUM(IF(($W$3:$CX$3=DH$3)*($W$2:$CX$2=DH$2),$W$19:$CX$19))</f>
        <v>5.4285789940804294</v>
      </c>
      <c r="DI15" s="455">
        <f t="array" ref="DI15">SUMPRODUCT(IF(($W$3:$CX$3=DI$3)*($W$2:$CX$2=DI$2),$W15:$CX15),IF(($W$3:$CX$3=DI$3)*($W$2:$CX$2=DI$2),$W$19:$CX$19))/SUM(IF(($W$3:$CX$3=DI$3)*($W$2:$CX$2=DI$2),$W$19:$CX$19))</f>
        <v>7.5066259991162374</v>
      </c>
      <c r="DJ15" s="455">
        <f t="array" ref="DJ15">SUMPRODUCT(IF(($W$3:$CX$3=DJ$3)*($W$2:$CX$2=DJ$2),$W15:$CX15),IF(($W$3:$CX$3=DJ$3)*($W$2:$CX$2=DJ$2),$W$19:$CX$19))/SUM(IF(($W$3:$CX$3=DJ$3)*($W$2:$CX$2=DJ$2),$W$19:$CX$19))</f>
        <v>6.1792892200834242</v>
      </c>
      <c r="DK15" s="455">
        <f t="array" ref="DK15">SUMPRODUCT(IF(($W$3:$CX$3=DK$3)*1,$W15:$CX15),IF(($W$3:$CX$3=DK$3)*1,$W$19:$CX$19))/SUM(IF(($W$3:$CX$3=DK$3)*1,$W$19:$CX$19))</f>
        <v>6.0199904236112101</v>
      </c>
      <c r="DL15" s="455">
        <f t="array" ref="DL15">SUMPRODUCT(IF(($W$3:$CX$3=DL$3)*1,$W15:$CX15),IF(($W$3:$CX$3=DL$3)*1,$W$19:$CX$19))/SUM(IF(($W$3:$CX$3=DL$3)*1,$W$19:$CX$19))</f>
        <v>5.2070774299296634</v>
      </c>
      <c r="DM15" s="455">
        <f t="array" ref="DM15">SUMPRODUCT(IF(($W$3:$CX$3=DM$3)*1,$W15:$CX15),IF(($W$3:$CX$3=DM$3)*1,$W$19:$CX$19))/SUM(IF(($W$3:$CX$3=DM$3)*1,$W$19:$CX$19))</f>
        <v>5.4203994629896721</v>
      </c>
      <c r="DN15" s="455">
        <f t="array" ref="DN15">SUMPRODUCT(IF(1*($W$2:$CX$2=DN$2),$W15:$CX15),IF(1*($W$2:$CX$2=DN$2),$W$19:$CX$19))/SUM(IF(1*($W$2:$CX$2=DN$2),$W$19:$CX$19))</f>
        <v>4.597138546671375</v>
      </c>
      <c r="DO15" s="455">
        <f t="array" ref="DO15">SUMPRODUCT(IF(1*($W$2:$CX$2=DO$2),$W15:$CX15),IF(1*($W$2:$CX$2=DO$2),$W$19:$CX$19))/SUM(IF(1*($W$2:$CX$2=DO$2),$W$19:$CX$19))</f>
        <v>6.3409469272215073</v>
      </c>
      <c r="DP15" s="455">
        <f t="array" ref="DP15">SUMPRODUCT(IF(1*1,$W15:$CX15),IF(1*1,$W$19:$CX$19))/SUM(IF(1*1,$W$19:$CX$19))</f>
        <v>5.2536644660304983</v>
      </c>
    </row>
    <row r="16" spans="1:120" ht="15.75" customHeight="1" thickBot="1" x14ac:dyDescent="0.3">
      <c r="A16" s="631"/>
      <c r="B16" s="669"/>
      <c r="C16" s="418">
        <f>'MD-ratings-year'!C16</f>
        <v>0.1</v>
      </c>
      <c r="D16" s="419" t="str">
        <f>'MD-ratings-year'!D16</f>
        <v>Accounts receivable turnover ratio</v>
      </c>
      <c r="E16" s="420" t="str">
        <f>'MD-ratings-year'!E16</f>
        <v>Net Sales ÷ ((Beginning Accounts Receivable + Ending Accounts Receivable) / 2)</v>
      </c>
      <c r="F16" s="422" t="s">
        <v>400</v>
      </c>
      <c r="G16" s="653"/>
      <c r="H16" s="224"/>
      <c r="I16" s="570">
        <f>'SK-ratios'!U19</f>
        <v>52.761201295400774</v>
      </c>
      <c r="J16" s="224"/>
      <c r="K16" s="226">
        <f>'MD-ratings-year'!P16</f>
        <v>0</v>
      </c>
      <c r="L16" s="566">
        <f>'MD-ratings-year'!Q16</f>
        <v>4.2912925109646984</v>
      </c>
      <c r="M16" s="566">
        <f>'MD-ratings-year'!R16</f>
        <v>11.160496174367005</v>
      </c>
      <c r="N16" s="566">
        <f>'MD-ratings-year'!S16</f>
        <v>29.025445023802337</v>
      </c>
      <c r="O16" s="226">
        <f>'MD-ratings-year'!T16</f>
        <v>124.24324157322488</v>
      </c>
      <c r="P16" s="226"/>
      <c r="Q16" s="226"/>
      <c r="R16" s="226"/>
      <c r="W16" s="455">
        <f t="array" ref="W16">IF('SK-ratios'!AF19&lt;0,0,IF('SK-ratios'!AF19&gt;'SK-ratios'!$AC19,10,10*LOG(1+('SK-ratios'!$U19-1)*('SK-ratios'!AF19-'SK-ratios'!$Y19)/('SK-ratios'!$AC19-'SK-ratios'!$Y19))/LOG('SK-ratios'!$U19)))</f>
        <v>5.0680296389793282</v>
      </c>
      <c r="X16" s="455">
        <f t="array" ref="X16">IF('SK-ratios'!AG19&lt;0,0,IF('SK-ratios'!AG19&gt;'SK-ratios'!$AC19,10,10*LOG(1+('SK-ratios'!$U19-1)*('SK-ratios'!AG19-'SK-ratios'!$Y19)/('SK-ratios'!$AC19-'SK-ratios'!$Y19))/LOG('SK-ratios'!$U19)))</f>
        <v>6.9628897333387965</v>
      </c>
      <c r="Y16" s="455">
        <f t="array" ref="Y16">IF('SK-ratios'!AH19&lt;0,0,IF('SK-ratios'!AH19&gt;'SK-ratios'!$AC19,10,10*LOG(1+('SK-ratios'!$U19-1)*('SK-ratios'!AH19-'SK-ratios'!$Y19)/('SK-ratios'!$AC19-'SK-ratios'!$Y19))/LOG('SK-ratios'!$U19)))</f>
        <v>2.3685108211363124</v>
      </c>
      <c r="Z16" s="455">
        <f t="array" ref="Z16">IF('SK-ratios'!AI19&lt;0,0,IF('SK-ratios'!AI19&gt;'SK-ratios'!$AC19,10,10*LOG(1+('SK-ratios'!$U19-1)*('SK-ratios'!AI19-'SK-ratios'!$Y19)/('SK-ratios'!$AC19-'SK-ratios'!$Y19))/LOG('SK-ratios'!$U19)))</f>
        <v>2.9801031920836056</v>
      </c>
      <c r="AA16" s="455">
        <f t="array" ref="AA16">IF('SK-ratios'!AJ19&lt;0,0,IF('SK-ratios'!AJ19&gt;'SK-ratios'!$AC19,10,10*LOG(1+('SK-ratios'!$U19-1)*('SK-ratios'!AJ19-'SK-ratios'!$Y19)/('SK-ratios'!$AC19-'SK-ratios'!$Y19))/LOG('SK-ratios'!$U19)))</f>
        <v>2.0645621271875627</v>
      </c>
      <c r="AB16" s="455">
        <f t="array" ref="AB16">IF('SK-ratios'!AK19&lt;0,0,IF('SK-ratios'!AK19&gt;'SK-ratios'!$AC19,10,10*LOG(1+('SK-ratios'!$U19-1)*('SK-ratios'!AK19-'SK-ratios'!$Y19)/('SK-ratios'!$AC19-'SK-ratios'!$Y19))/LOG('SK-ratios'!$U19)))</f>
        <v>8.0610487052400739</v>
      </c>
      <c r="AC16" s="455">
        <f t="array" ref="AC16">IF('SK-ratios'!AL19&lt;0,0,IF('SK-ratios'!AL19&gt;'SK-ratios'!$AC19,10,10*LOG(1+('SK-ratios'!$U19-1)*('SK-ratios'!AL19-'SK-ratios'!$Y19)/('SK-ratios'!$AC19-'SK-ratios'!$Y19))/LOG('SK-ratios'!$U19)))</f>
        <v>3.217715068542204</v>
      </c>
      <c r="AD16" s="455">
        <f t="array" ref="AD16">IF('SK-ratios'!AM19&lt;0,0,IF('SK-ratios'!AM19&gt;'SK-ratios'!$AC19,10,10*LOG(1+('SK-ratios'!$U19-1)*('SK-ratios'!AM19-'SK-ratios'!$Y19)/('SK-ratios'!$AC19-'SK-ratios'!$Y19))/LOG('SK-ratios'!$U19)))</f>
        <v>2.8779161521989916</v>
      </c>
      <c r="AE16" s="455">
        <f t="array" ref="AE16">IF('SK-ratios'!AN19&lt;0,0,IF('SK-ratios'!AN19&gt;'SK-ratios'!$AC19,10,10*LOG(1+('SK-ratios'!$U19-1)*('SK-ratios'!AN19-'SK-ratios'!$Y19)/('SK-ratios'!$AC19-'SK-ratios'!$Y19))/LOG('SK-ratios'!$U19)))</f>
        <v>2.7157036087185289</v>
      </c>
      <c r="AF16" s="455">
        <f t="array" ref="AF16">IF('SK-ratios'!AO19&lt;0,0,IF('SK-ratios'!AO19&gt;'SK-ratios'!$AC19,10,10*LOG(1+('SK-ratios'!$U19-1)*('SK-ratios'!AO19-'SK-ratios'!$Y19)/('SK-ratios'!$AC19-'SK-ratios'!$Y19))/LOG('SK-ratios'!$U19)))</f>
        <v>4.040033429393894</v>
      </c>
      <c r="AG16" s="455">
        <f t="array" ref="AG16">IF('SK-ratios'!AP19&lt;0,0,IF('SK-ratios'!AP19&gt;'SK-ratios'!$AC19,10,10*LOG(1+('SK-ratios'!$U19-1)*('SK-ratios'!AP19-'SK-ratios'!$Y19)/('SK-ratios'!$AC19-'SK-ratios'!$Y19))/LOG('SK-ratios'!$U19)))</f>
        <v>2.934614690089604</v>
      </c>
      <c r="AH16" s="455">
        <f t="array" ref="AH16">IF('SK-ratios'!AQ19&lt;0,0,IF('SK-ratios'!AQ19&gt;'SK-ratios'!$AC19,10,10*LOG(1+('SK-ratios'!$U19-1)*('SK-ratios'!AQ19-'SK-ratios'!$Y19)/('SK-ratios'!$AC19-'SK-ratios'!$Y19))/LOG('SK-ratios'!$U19)))</f>
        <v>2.1734528064451304</v>
      </c>
      <c r="AI16" s="455">
        <f t="array" ref="AI16">IF('SK-ratios'!AR19&lt;0,0,IF('SK-ratios'!AR19&gt;'SK-ratios'!$AC19,10,10*LOG(1+('SK-ratios'!$U19-1)*('SK-ratios'!AR19-'SK-ratios'!$Y19)/('SK-ratios'!$AC19-'SK-ratios'!$Y19))/LOG('SK-ratios'!$U19)))</f>
        <v>2.7908422716649119</v>
      </c>
      <c r="AJ16" s="455">
        <f t="array" ref="AJ16">IF('SK-ratios'!AS19&lt;0,0,IF('SK-ratios'!AS19&gt;'SK-ratios'!$AC19,10,10*LOG(1+('SK-ratios'!$U19-1)*('SK-ratios'!AS19-'SK-ratios'!$Y19)/('SK-ratios'!$AC19-'SK-ratios'!$Y19))/LOG('SK-ratios'!$U19)))</f>
        <v>3.6649690195019811</v>
      </c>
      <c r="AK16" s="455">
        <f t="array" ref="AK16">IF('SK-ratios'!AT19&lt;0,0,IF('SK-ratios'!AT19&gt;'SK-ratios'!$AC19,10,10*LOG(1+('SK-ratios'!$U19-1)*('SK-ratios'!AT19-'SK-ratios'!$Y19)/('SK-ratios'!$AC19-'SK-ratios'!$Y19))/LOG('SK-ratios'!$U19)))</f>
        <v>2.0424513547411007</v>
      </c>
      <c r="AL16" s="455">
        <f t="array" ref="AL16">IF('SK-ratios'!AU19&lt;0,0,IF('SK-ratios'!AU19&gt;'SK-ratios'!$AC19,10,10*LOG(1+('SK-ratios'!$U19-1)*('SK-ratios'!AU19-'SK-ratios'!$Y19)/('SK-ratios'!$AC19-'SK-ratios'!$Y19))/LOG('SK-ratios'!$U19)))</f>
        <v>1.3336750748374753</v>
      </c>
      <c r="AM16" s="455">
        <f t="array" ref="AM16">IF('SK-ratios'!AV19&lt;0,0,IF('SK-ratios'!AV19&gt;'SK-ratios'!$AC19,10,10*LOG(1+('SK-ratios'!$U19-1)*('SK-ratios'!AV19-'SK-ratios'!$Y19)/('SK-ratios'!$AC19-'SK-ratios'!$Y19))/LOG('SK-ratios'!$U19)))</f>
        <v>3.321924162986702</v>
      </c>
      <c r="AN16" s="455">
        <f t="array" ref="AN16">IF('SK-ratios'!AW19&lt;0,0,IF('SK-ratios'!AW19&gt;'SK-ratios'!$AC19,10,10*LOG(1+('SK-ratios'!$U19-1)*('SK-ratios'!AW19-'SK-ratios'!$Y19)/('SK-ratios'!$AC19-'SK-ratios'!$Y19))/LOG('SK-ratios'!$U19)))</f>
        <v>4.272190777930545</v>
      </c>
      <c r="AO16" s="455">
        <f t="array" ref="AO16">IF('SK-ratios'!AX19&lt;0,0,IF('SK-ratios'!AX19&gt;'SK-ratios'!$AC19,10,10*LOG(1+('SK-ratios'!$U19-1)*('SK-ratios'!AX19-'SK-ratios'!$Y19)/('SK-ratios'!$AC19-'SK-ratios'!$Y19))/LOG('SK-ratios'!$U19)))</f>
        <v>1.3836746174297874</v>
      </c>
      <c r="AP16" s="455">
        <f t="array" ref="AP16">IF('SK-ratios'!AY19&lt;0,0,IF('SK-ratios'!AY19&gt;'SK-ratios'!$AC19,10,10*LOG(1+('SK-ratios'!$U19-1)*('SK-ratios'!AY19-'SK-ratios'!$Y19)/('SK-ratios'!$AC19-'SK-ratios'!$Y19))/LOG('SK-ratios'!$U19)))</f>
        <v>3.2987281559221233</v>
      </c>
      <c r="AQ16" s="455">
        <f t="array" ref="AQ16">IF('SK-ratios'!AZ19&lt;0,0,IF('SK-ratios'!AZ19&gt;'SK-ratios'!$AC19,10,10*LOG(1+('SK-ratios'!$U19-1)*('SK-ratios'!AZ19-'SK-ratios'!$Y19)/('SK-ratios'!$AC19-'SK-ratios'!$Y19))/LOG('SK-ratios'!$U19)))</f>
        <v>4.2124924172472142E-2</v>
      </c>
      <c r="AR16" s="455">
        <f t="array" ref="AR16">IF('SK-ratios'!BA19&lt;0,0,IF('SK-ratios'!BA19&gt;'SK-ratios'!$AC19,10,10*LOG(1+('SK-ratios'!$U19-1)*('SK-ratios'!BA19-'SK-ratios'!$Y19)/('SK-ratios'!$AC19-'SK-ratios'!$Y19))/LOG('SK-ratios'!$U19)))</f>
        <v>3.7478791455283624</v>
      </c>
      <c r="AS16" s="455">
        <f t="array" ref="AS16">IF('SK-ratios'!BB19&lt;0,0,IF('SK-ratios'!BB19&gt;'SK-ratios'!$AC19,10,10*LOG(1+('SK-ratios'!$U19-1)*('SK-ratios'!BB19-'SK-ratios'!$Y19)/('SK-ratios'!$AC19-'SK-ratios'!$Y19))/LOG('SK-ratios'!$U19)))</f>
        <v>4.1570837759079664</v>
      </c>
      <c r="AT16" s="455">
        <f t="array" ref="AT16">IF('SK-ratios'!BC19&lt;0,0,IF('SK-ratios'!BC19&gt;'SK-ratios'!$AC19,10,10*LOG(1+('SK-ratios'!$U19-1)*('SK-ratios'!BC19-'SK-ratios'!$Y19)/('SK-ratios'!$AC19-'SK-ratios'!$Y19))/LOG('SK-ratios'!$U19)))</f>
        <v>3.3824028223412728</v>
      </c>
      <c r="AU16" s="455">
        <f t="array" ref="AU16">IF('SK-ratios'!BD19&lt;0,0,IF('SK-ratios'!BD19&gt;'SK-ratios'!$AC19,10,10*LOG(1+('SK-ratios'!$U19-1)*('SK-ratios'!BD19-'SK-ratios'!$Y19)/('SK-ratios'!$AC19-'SK-ratios'!$Y19))/LOG('SK-ratios'!$U19)))</f>
        <v>6.681855429084945</v>
      </c>
      <c r="AV16" s="455">
        <f t="array" ref="AV16">IF('SK-ratios'!BE19&lt;0,0,IF('SK-ratios'!BE19&gt;'SK-ratios'!$AC19,10,10*LOG(1+('SK-ratios'!$U19-1)*('SK-ratios'!BE19-'SK-ratios'!$Y19)/('SK-ratios'!$AC19-'SK-ratios'!$Y19))/LOG('SK-ratios'!$U19)))</f>
        <v>3.1588972230729455</v>
      </c>
      <c r="AW16" s="455">
        <f t="array" ref="AW16">IF('SK-ratios'!BF19&lt;0,0,IF('SK-ratios'!BF19&gt;'SK-ratios'!$AC19,10,10*LOG(1+('SK-ratios'!$U19-1)*('SK-ratios'!BF19-'SK-ratios'!$Y19)/('SK-ratios'!$AC19-'SK-ratios'!$Y19))/LOG('SK-ratios'!$U19)))</f>
        <v>3.6368264752513202</v>
      </c>
      <c r="AX16" s="455">
        <f t="array" ref="AX16">IF('SK-ratios'!BG19&lt;0,0,IF('SK-ratios'!BG19&gt;'SK-ratios'!$AC19,10,10*LOG(1+('SK-ratios'!$U19-1)*('SK-ratios'!BG19-'SK-ratios'!$Y19)/('SK-ratios'!$AC19-'SK-ratios'!$Y19))/LOG('SK-ratios'!$U19)))</f>
        <v>2.2622964503169447</v>
      </c>
      <c r="AY16" s="455">
        <f t="array" ref="AY16">IF('SK-ratios'!BH19&lt;0,0,IF('SK-ratios'!BH19&gt;'SK-ratios'!$AC19,10,10*LOG(1+('SK-ratios'!$U19-1)*('SK-ratios'!BH19-'SK-ratios'!$Y19)/('SK-ratios'!$AC19-'SK-ratios'!$Y19))/LOG('SK-ratios'!$U19)))</f>
        <v>2.6840678590567904</v>
      </c>
      <c r="AZ16" s="455">
        <f t="array" ref="AZ16">IF('SK-ratios'!BI19&lt;0,0,IF('SK-ratios'!BI19&gt;'SK-ratios'!$AC19,10,10*LOG(1+('SK-ratios'!$U19-1)*('SK-ratios'!BI19-'SK-ratios'!$Y19)/('SK-ratios'!$AC19-'SK-ratios'!$Y19))/LOG('SK-ratios'!$U19)))</f>
        <v>3.1933548157549079</v>
      </c>
      <c r="BA16" s="455">
        <f t="array" ref="BA16">IF('SK-ratios'!BJ19&lt;0,0,IF('SK-ratios'!BJ19&gt;'SK-ratios'!$AC19,10,10*LOG(1+('SK-ratios'!$U19-1)*('SK-ratios'!BJ19-'SK-ratios'!$Y19)/('SK-ratios'!$AC19-'SK-ratios'!$Y19))/LOG('SK-ratios'!$U19)))</f>
        <v>6.1965019436086033</v>
      </c>
      <c r="BB16" s="455">
        <f t="array" ref="BB16">IF('SK-ratios'!BK19&lt;0,0,IF('SK-ratios'!BK19&gt;'SK-ratios'!$AC19,10,10*LOG(1+('SK-ratios'!$U19-1)*('SK-ratios'!BK19-'SK-ratios'!$Y19)/('SK-ratios'!$AC19-'SK-ratios'!$Y19))/LOG('SK-ratios'!$U19)))</f>
        <v>2.909130770297609</v>
      </c>
      <c r="BC16" s="455">
        <f t="array" ref="BC16">IF('SK-ratios'!BL19&lt;0,0,IF('SK-ratios'!BL19&gt;'SK-ratios'!$AC19,10,10*LOG(1+('SK-ratios'!$U19-1)*('SK-ratios'!BL19-'SK-ratios'!$Y19)/('SK-ratios'!$AC19-'SK-ratios'!$Y19))/LOG('SK-ratios'!$U19)))</f>
        <v>3.6249578047620266</v>
      </c>
      <c r="BD16" s="455">
        <f t="array" ref="BD16">IF('SK-ratios'!BM19&lt;0,0,IF('SK-ratios'!BM19&gt;'SK-ratios'!$AC19,10,10*LOG(1+('SK-ratios'!$U19-1)*('SK-ratios'!BM19-'SK-ratios'!$Y19)/('SK-ratios'!$AC19-'SK-ratios'!$Y19))/LOG('SK-ratios'!$U19)))</f>
        <v>3.4902864525742681</v>
      </c>
      <c r="BE16" s="455">
        <f t="array" ref="BE16">IF('SK-ratios'!BN19&lt;0,0,IF('SK-ratios'!BN19&gt;'SK-ratios'!$AC19,10,10*LOG(1+('SK-ratios'!$U19-1)*('SK-ratios'!BN19-'SK-ratios'!$Y19)/('SK-ratios'!$AC19-'SK-ratios'!$Y19))/LOG('SK-ratios'!$U19)))</f>
        <v>2.8383703361431687</v>
      </c>
      <c r="BF16" s="455">
        <f t="array" ref="BF16">IF('SK-ratios'!BO19&lt;0,0,IF('SK-ratios'!BO19&gt;'SK-ratios'!$AC19,10,10*LOG(1+('SK-ratios'!$U19-1)*('SK-ratios'!BO19-'SK-ratios'!$Y19)/('SK-ratios'!$AC19-'SK-ratios'!$Y19))/LOG('SK-ratios'!$U19)))</f>
        <v>2.8361193999949883</v>
      </c>
      <c r="BG16" s="455">
        <f t="array" ref="BG16">IF('SK-ratios'!BP19&lt;0,0,IF('SK-ratios'!BP19&gt;'SK-ratios'!$AC19,10,10*LOG(1+('SK-ratios'!$U19-1)*('SK-ratios'!BP19-'SK-ratios'!$Y19)/('SK-ratios'!$AC19-'SK-ratios'!$Y19))/LOG('SK-ratios'!$U19)))</f>
        <v>1.9036756287534511</v>
      </c>
      <c r="BH16" s="455">
        <f t="array" ref="BH16">IF('SK-ratios'!BQ19&lt;0,0,IF('SK-ratios'!BQ19&gt;'SK-ratios'!$AC19,10,10*LOG(1+('SK-ratios'!$U19-1)*('SK-ratios'!BQ19-'SK-ratios'!$Y19)/('SK-ratios'!$AC19-'SK-ratios'!$Y19))/LOG('SK-ratios'!$U19)))</f>
        <v>3.3533389746418298</v>
      </c>
      <c r="BI16" s="455">
        <f t="array" ref="BI16">IF('SK-ratios'!BR19&lt;0,0,IF('SK-ratios'!BR19&gt;'SK-ratios'!$AC19,10,10*LOG(1+('SK-ratios'!$U19-1)*('SK-ratios'!BR19-'SK-ratios'!$Y19)/('SK-ratios'!$AC19-'SK-ratios'!$Y19))/LOG('SK-ratios'!$U19)))</f>
        <v>2.8895704970933189</v>
      </c>
      <c r="BJ16" s="455">
        <f t="array" ref="BJ16">IF('SK-ratios'!BS19&lt;0,0,IF('SK-ratios'!BS19&gt;'SK-ratios'!$AC19,10,10*LOG(1+('SK-ratios'!$U19-1)*('SK-ratios'!BS19-'SK-ratios'!$Y19)/('SK-ratios'!$AC19-'SK-ratios'!$Y19))/LOG('SK-ratios'!$U19)))</f>
        <v>3.0137394430736468</v>
      </c>
      <c r="BK16" s="455">
        <f t="array" ref="BK16">IF('SK-ratios'!BT19&lt;0,0,IF('SK-ratios'!BT19&gt;'SK-ratios'!$AC19,10,10*LOG(1+('SK-ratios'!$U19-1)*('SK-ratios'!BT19-'SK-ratios'!$Y19)/('SK-ratios'!$AC19-'SK-ratios'!$Y19))/LOG('SK-ratios'!$U19)))</f>
        <v>3.5447360480541263</v>
      </c>
      <c r="BL16" s="455">
        <f t="array" ref="BL16">IF('SK-ratios'!BU19&lt;0,0,IF('SK-ratios'!BU19&gt;'SK-ratios'!$AC19,10,10*LOG(1+('SK-ratios'!$U19-1)*('SK-ratios'!BU19-'SK-ratios'!$Y19)/('SK-ratios'!$AC19-'SK-ratios'!$Y19))/LOG('SK-ratios'!$U19)))</f>
        <v>3.254077016810681</v>
      </c>
      <c r="BM16" s="455">
        <f t="array" ref="BM16">IF('SK-ratios'!BV19&lt;0,0,IF('SK-ratios'!BV19&gt;'SK-ratios'!$AC19,10,10*LOG(1+('SK-ratios'!$U19-1)*('SK-ratios'!BV19-'SK-ratios'!$Y19)/('SK-ratios'!$AC19-'SK-ratios'!$Y19))/LOG('SK-ratios'!$U19)))</f>
        <v>7.1815507936034528</v>
      </c>
      <c r="BN16" s="455">
        <f t="array" ref="BN16">IF('SK-ratios'!BW19&lt;0,0,IF('SK-ratios'!BW19&gt;'SK-ratios'!$AC19,10,10*LOG(1+('SK-ratios'!$U19-1)*('SK-ratios'!BW19-'SK-ratios'!$Y19)/('SK-ratios'!$AC19-'SK-ratios'!$Y19))/LOG('SK-ratios'!$U19)))</f>
        <v>7.1783562986290468</v>
      </c>
      <c r="BO16" s="455">
        <f t="array" ref="BO16">IF('SK-ratios'!BX19&lt;0,0,IF('SK-ratios'!BX19&gt;'SK-ratios'!$AC19,10,10*LOG(1+('SK-ratios'!$U19-1)*('SK-ratios'!BX19-'SK-ratios'!$Y19)/('SK-ratios'!$AC19-'SK-ratios'!$Y19))/LOG('SK-ratios'!$U19)))</f>
        <v>3.1555297485843901</v>
      </c>
      <c r="BP16" s="455">
        <f t="array" ref="BP16">IF('SK-ratios'!BY19&lt;0,0,IF('SK-ratios'!BY19&gt;'SK-ratios'!$AC19,10,10*LOG(1+('SK-ratios'!$U19-1)*('SK-ratios'!BY19-'SK-ratios'!$Y19)/('SK-ratios'!$AC19-'SK-ratios'!$Y19))/LOG('SK-ratios'!$U19)))</f>
        <v>2.6619688280589</v>
      </c>
      <c r="BQ16" s="455">
        <f t="array" ref="BQ16">IF('SK-ratios'!BZ19&lt;0,0,IF('SK-ratios'!BZ19&gt;'SK-ratios'!$AC19,10,10*LOG(1+('SK-ratios'!$U19-1)*('SK-ratios'!BZ19-'SK-ratios'!$Y19)/('SK-ratios'!$AC19-'SK-ratios'!$Y19))/LOG('SK-ratios'!$U19)))</f>
        <v>6.2163132892222279</v>
      </c>
      <c r="BR16" s="455">
        <f t="array" ref="BR16">IF('SK-ratios'!CA19&lt;0,0,IF('SK-ratios'!CA19&gt;'SK-ratios'!$AC19,10,10*LOG(1+('SK-ratios'!$U19-1)*('SK-ratios'!CA19-'SK-ratios'!$Y19)/('SK-ratios'!$AC19-'SK-ratios'!$Y19))/LOG('SK-ratios'!$U19)))</f>
        <v>6.5508795471697274</v>
      </c>
      <c r="BS16" s="455">
        <f t="array" ref="BS16">IF('SK-ratios'!CB19&lt;0,0,IF('SK-ratios'!CB19&gt;'SK-ratios'!$AC19,10,10*LOG(1+('SK-ratios'!$U19-1)*('SK-ratios'!CB19-'SK-ratios'!$Y19)/('SK-ratios'!$AC19-'SK-ratios'!$Y19))/LOG('SK-ratios'!$U19)))</f>
        <v>2.5979992206070626</v>
      </c>
      <c r="BT16" s="455">
        <f t="array" ref="BT16">IF('SK-ratios'!CC19&lt;0,0,IF('SK-ratios'!CC19&gt;'SK-ratios'!$AC19,10,10*LOG(1+('SK-ratios'!$U19-1)*('SK-ratios'!CC19-'SK-ratios'!$Y19)/('SK-ratios'!$AC19-'SK-ratios'!$Y19))/LOG('SK-ratios'!$U19)))</f>
        <v>3.5458672802020508</v>
      </c>
      <c r="BU16" s="455">
        <f t="array" ref="BU16">IF('SK-ratios'!CD19&lt;0,0,IF('SK-ratios'!CD19&gt;'SK-ratios'!$AC19,10,10*LOG(1+('SK-ratios'!$U19-1)*('SK-ratios'!CD19-'SK-ratios'!$Y19)/('SK-ratios'!$AC19-'SK-ratios'!$Y19))/LOG('SK-ratios'!$U19)))</f>
        <v>5.1584090075119988</v>
      </c>
      <c r="BV16" s="455">
        <f t="array" ref="BV16">IF('SK-ratios'!CE19&lt;0,0,IF('SK-ratios'!CE19&gt;'SK-ratios'!$AC19,10,10*LOG(1+('SK-ratios'!$U19-1)*('SK-ratios'!CE19-'SK-ratios'!$Y19)/('SK-ratios'!$AC19-'SK-ratios'!$Y19))/LOG('SK-ratios'!$U19)))</f>
        <v>1.5076626730341791</v>
      </c>
      <c r="BW16" s="455">
        <f t="array" ref="BW16">IF('SK-ratios'!CF19&lt;0,0,IF('SK-ratios'!CF19&gt;'SK-ratios'!$AC19,10,10*LOG(1+('SK-ratios'!$U19-1)*('SK-ratios'!CF19-'SK-ratios'!$Y19)/('SK-ratios'!$AC19-'SK-ratios'!$Y19))/LOG('SK-ratios'!$U19)))</f>
        <v>2.8669796219388917</v>
      </c>
      <c r="BX16" s="455">
        <f t="array" ref="BX16">IF('SK-ratios'!CG19&lt;0,0,IF('SK-ratios'!CG19&gt;'SK-ratios'!$AC19,10,10*LOG(1+('SK-ratios'!$U19-1)*('SK-ratios'!CG19-'SK-ratios'!$Y19)/('SK-ratios'!$AC19-'SK-ratios'!$Y19))/LOG('SK-ratios'!$U19)))</f>
        <v>4.1416872152283908</v>
      </c>
      <c r="BY16" s="455">
        <f t="array" ref="BY16">IF('SK-ratios'!CH19&lt;0,0,IF('SK-ratios'!CH19&gt;'SK-ratios'!$AC19,10,10*LOG(1+('SK-ratios'!$U19-1)*('SK-ratios'!CH19-'SK-ratios'!$Y19)/('SK-ratios'!$AC19-'SK-ratios'!$Y19))/LOG('SK-ratios'!$U19)))</f>
        <v>2.2494783824949605</v>
      </c>
      <c r="BZ16" s="455">
        <f t="array" ref="BZ16">IF('SK-ratios'!CI19&lt;0,0,IF('SK-ratios'!CI19&gt;'SK-ratios'!$AC19,10,10*LOG(1+('SK-ratios'!$U19-1)*('SK-ratios'!CI19-'SK-ratios'!$Y19)/('SK-ratios'!$AC19-'SK-ratios'!$Y19))/LOG('SK-ratios'!$U19)))</f>
        <v>1.5031950639495912</v>
      </c>
      <c r="CA16" s="455">
        <f t="array" ref="CA16">IF('SK-ratios'!CJ19&lt;0,0,IF('SK-ratios'!CJ19&gt;'SK-ratios'!$AC19,10,10*LOG(1+('SK-ratios'!$U19-1)*('SK-ratios'!CJ19-'SK-ratios'!$Y19)/('SK-ratios'!$AC19-'SK-ratios'!$Y19))/LOG('SK-ratios'!$U19)))</f>
        <v>4.1360706827836733</v>
      </c>
      <c r="CB16" s="455">
        <f t="array" ref="CB16">IF('SK-ratios'!CK19&lt;0,0,IF('SK-ratios'!CK19&gt;'SK-ratios'!$AC19,10,10*LOG(1+('SK-ratios'!$U19-1)*('SK-ratios'!CK19-'SK-ratios'!$Y19)/('SK-ratios'!$AC19-'SK-ratios'!$Y19))/LOG('SK-ratios'!$U19)))</f>
        <v>5.6873565905924846</v>
      </c>
      <c r="CC16" s="455">
        <f t="array" ref="CC16">IF('SK-ratios'!CL19&lt;0,0,IF('SK-ratios'!CL19&gt;'SK-ratios'!$AC19,10,10*LOG(1+('SK-ratios'!$U19-1)*('SK-ratios'!CL19-'SK-ratios'!$Y19)/('SK-ratios'!$AC19-'SK-ratios'!$Y19))/LOG('SK-ratios'!$U19)))</f>
        <v>5.7741150750277965</v>
      </c>
      <c r="CD16" s="455">
        <f t="array" ref="CD16">IF('SK-ratios'!CM19&lt;0,0,IF('SK-ratios'!CM19&gt;'SK-ratios'!$AC19,10,10*LOG(1+('SK-ratios'!$U19-1)*('SK-ratios'!CM19-'SK-ratios'!$Y19)/('SK-ratios'!$AC19-'SK-ratios'!$Y19))/LOG('SK-ratios'!$U19)))</f>
        <v>3.5763901219760403</v>
      </c>
      <c r="CE16" s="455">
        <f t="array" ref="CE16">IF('SK-ratios'!CN19&lt;0,0,IF('SK-ratios'!CN19&gt;'SK-ratios'!$AC19,10,10*LOG(1+('SK-ratios'!$U19-1)*('SK-ratios'!CN19-'SK-ratios'!$Y19)/('SK-ratios'!$AC19-'SK-ratios'!$Y19))/LOG('SK-ratios'!$U19)))</f>
        <v>2.9039442100913391</v>
      </c>
      <c r="CF16" s="455">
        <f t="array" ref="CF16">IF('SK-ratios'!CO19&lt;0,0,IF('SK-ratios'!CO19&gt;'SK-ratios'!$AC19,10,10*LOG(1+('SK-ratios'!$U19-1)*('SK-ratios'!CO19-'SK-ratios'!$Y19)/('SK-ratios'!$AC19-'SK-ratios'!$Y19))/LOG('SK-ratios'!$U19)))</f>
        <v>4.7142111041890375</v>
      </c>
      <c r="CG16" s="455">
        <f t="array" ref="CG16">IF('SK-ratios'!CP19&lt;0,0,IF('SK-ratios'!CP19&gt;'SK-ratios'!$AC19,10,10*LOG(1+('SK-ratios'!$U19-1)*('SK-ratios'!CP19-'SK-ratios'!$Y19)/('SK-ratios'!$AC19-'SK-ratios'!$Y19))/LOG('SK-ratios'!$U19)))</f>
        <v>3.3761226598816445</v>
      </c>
      <c r="CH16" s="455">
        <f t="array" ref="CH16">IF('SK-ratios'!CQ19&lt;0,0,IF('SK-ratios'!CQ19&gt;'SK-ratios'!$AC19,10,10*LOG(1+('SK-ratios'!$U19-1)*('SK-ratios'!CQ19-'SK-ratios'!$Y19)/('SK-ratios'!$AC19-'SK-ratios'!$Y19))/LOG('SK-ratios'!$U19)))</f>
        <v>2.0904714279822909</v>
      </c>
      <c r="CI16" s="455">
        <f t="array" ref="CI16">IF('SK-ratios'!CR19&lt;0,0,IF('SK-ratios'!CR19&gt;'SK-ratios'!$AC19,10,10*LOG(1+('SK-ratios'!$U19-1)*('SK-ratios'!CR19-'SK-ratios'!$Y19)/('SK-ratios'!$AC19-'SK-ratios'!$Y19))/LOG('SK-ratios'!$U19)))</f>
        <v>4.9597815951825979</v>
      </c>
      <c r="CJ16" s="455">
        <f t="array" ref="CJ16">IF('SK-ratios'!CS19&lt;0,0,IF('SK-ratios'!CS19&gt;'SK-ratios'!$AC19,10,10*LOG(1+('SK-ratios'!$U19-1)*('SK-ratios'!CS19-'SK-ratios'!$Y19)/('SK-ratios'!$AC19-'SK-ratios'!$Y19))/LOG('SK-ratios'!$U19)))</f>
        <v>9.0905265419412409</v>
      </c>
      <c r="CK16" s="455">
        <f t="array" ref="CK16">IF('SK-ratios'!CT19&lt;0,0,IF('SK-ratios'!CT19&gt;'SK-ratios'!$AC19,10,10*LOG(1+('SK-ratios'!$U19-1)*('SK-ratios'!CT19-'SK-ratios'!$Y19)/('SK-ratios'!$AC19-'SK-ratios'!$Y19))/LOG('SK-ratios'!$U19)))</f>
        <v>4.8524202292065448</v>
      </c>
      <c r="CL16" s="455">
        <f t="array" ref="CL16">IF('SK-ratios'!CU19&lt;0,0,IF('SK-ratios'!CU19&gt;'SK-ratios'!$AC19,10,10*LOG(1+('SK-ratios'!$U19-1)*('SK-ratios'!CU19-'SK-ratios'!$Y19)/('SK-ratios'!$AC19-'SK-ratios'!$Y19))/LOG('SK-ratios'!$U19)))</f>
        <v>3.4879988490658826</v>
      </c>
      <c r="CM16" s="455">
        <f t="array" ref="CM16">IF('SK-ratios'!CV19&lt;0,0,IF('SK-ratios'!CV19&gt;'SK-ratios'!$AC19,10,10*LOG(1+('SK-ratios'!$U19-1)*('SK-ratios'!CV19-'SK-ratios'!$Y19)/('SK-ratios'!$AC19-'SK-ratios'!$Y19))/LOG('SK-ratios'!$U19)))</f>
        <v>2.6961116288096627</v>
      </c>
      <c r="CN16" s="455">
        <f t="array" ref="CN16">IF('SK-ratios'!CW19&lt;0,0,IF('SK-ratios'!CW19&gt;'SK-ratios'!$AC19,10,10*LOG(1+('SK-ratios'!$U19-1)*('SK-ratios'!CW19-'SK-ratios'!$Y19)/('SK-ratios'!$AC19-'SK-ratios'!$Y19))/LOG('SK-ratios'!$U19)))</f>
        <v>3.3400375977177297</v>
      </c>
      <c r="CO16" s="455">
        <f t="array" ref="CO16">IF('SK-ratios'!CX19&lt;0,0,IF('SK-ratios'!CX19&gt;'SK-ratios'!$AC19,10,10*LOG(1+('SK-ratios'!$U19-1)*('SK-ratios'!CX19-'SK-ratios'!$Y19)/('SK-ratios'!$AC19-'SK-ratios'!$Y19))/LOG('SK-ratios'!$U19)))</f>
        <v>4.0555665044066513</v>
      </c>
      <c r="CP16" s="455">
        <f t="array" ref="CP16">IF('SK-ratios'!CY19&lt;0,0,IF('SK-ratios'!CY19&gt;'SK-ratios'!$AC19,10,10*LOG(1+('SK-ratios'!$U19-1)*('SK-ratios'!CY19-'SK-ratios'!$Y19)/('SK-ratios'!$AC19-'SK-ratios'!$Y19))/LOG('SK-ratios'!$U19)))</f>
        <v>2.9391071867382799</v>
      </c>
      <c r="CQ16" s="455">
        <f t="array" ref="CQ16">IF('SK-ratios'!CZ19&lt;0,0,IF('SK-ratios'!CZ19&gt;'SK-ratios'!$AC19,10,10*LOG(1+('SK-ratios'!$U19-1)*('SK-ratios'!CZ19-'SK-ratios'!$Y19)/('SK-ratios'!$AC19-'SK-ratios'!$Y19))/LOG('SK-ratios'!$U19)))</f>
        <v>4.365393145557424</v>
      </c>
      <c r="CR16" s="455">
        <f t="array" ref="CR16">IF('SK-ratios'!DA19&lt;0,0,IF('SK-ratios'!DA19&gt;'SK-ratios'!$AC19,10,10*LOG(1+('SK-ratios'!$U19-1)*('SK-ratios'!DA19-'SK-ratios'!$Y19)/('SK-ratios'!$AC19-'SK-ratios'!$Y19))/LOG('SK-ratios'!$U19)))</f>
        <v>3.3193102184156813</v>
      </c>
      <c r="CS16" s="455">
        <f t="array" ref="CS16">IF('SK-ratios'!DB19&lt;0,0,IF('SK-ratios'!DB19&gt;'SK-ratios'!$AC19,10,10*LOG(1+('SK-ratios'!$U19-1)*('SK-ratios'!DB19-'SK-ratios'!$Y19)/('SK-ratios'!$AC19-'SK-ratios'!$Y19))/LOG('SK-ratios'!$U19)))</f>
        <v>2.8863430084103436</v>
      </c>
      <c r="CT16" s="455">
        <f t="array" ref="CT16">IF('SK-ratios'!DC19&lt;0,0,IF('SK-ratios'!DC19&gt;'SK-ratios'!$AC19,10,10*LOG(1+('SK-ratios'!$U19-1)*('SK-ratios'!DC19-'SK-ratios'!$Y19)/('SK-ratios'!$AC19-'SK-ratios'!$Y19))/LOG('SK-ratios'!$U19)))</f>
        <v>1.5205445304583092</v>
      </c>
      <c r="CU16" s="455">
        <f t="array" ref="CU16">IF('SK-ratios'!DD19&lt;0,0,IF('SK-ratios'!DD19&gt;'SK-ratios'!$AC19,10,10*LOG(1+('SK-ratios'!$U19-1)*('SK-ratios'!DD19-'SK-ratios'!$Y19)/('SK-ratios'!$AC19-'SK-ratios'!$Y19))/LOG('SK-ratios'!$U19)))</f>
        <v>5.810300522243093</v>
      </c>
      <c r="CV16" s="455">
        <f t="array" ref="CV16">IF('SK-ratios'!DE19&lt;0,0,IF('SK-ratios'!DE19&gt;'SK-ratios'!$AC19,10,10*LOG(1+('SK-ratios'!$U19-1)*('SK-ratios'!DE19-'SK-ratios'!$Y19)/('SK-ratios'!$AC19-'SK-ratios'!$Y19))/LOG('SK-ratios'!$U19)))</f>
        <v>1.8691753654240357</v>
      </c>
      <c r="CW16" s="455">
        <f t="array" ref="CW16">IF('SK-ratios'!DF19&lt;0,0,IF('SK-ratios'!DF19&gt;'SK-ratios'!$AC19,10,10*LOG(1+('SK-ratios'!$U19-1)*('SK-ratios'!DF19-'SK-ratios'!$Y19)/('SK-ratios'!$AC19-'SK-ratios'!$Y19))/LOG('SK-ratios'!$U19)))</f>
        <v>3.2737969711740518</v>
      </c>
      <c r="CX16" s="455">
        <f t="array" ref="CX16">IF('SK-ratios'!DG19&lt;0,0,IF('SK-ratios'!DG19&gt;'SK-ratios'!$AC19,10,10*LOG(1+('SK-ratios'!$U19-1)*('SK-ratios'!DG19-'SK-ratios'!$Y19)/('SK-ratios'!$AC19-'SK-ratios'!$Y19))/LOG('SK-ratios'!$U19)))</f>
        <v>3.347496958229975</v>
      </c>
      <c r="DA16" s="456">
        <f t="array" ref="DA16">SUMPRODUCT(IF(($W$3:$CX$3=DA$3)*($W$2:$CX$2=DA$2),$W16:$CX16),IF(($W$3:$CX$3=DA$3)*($W$2:$CX$2=DA$2),$W$19:$CX$19))/SUM(IF(($W$3:$CX$3=DA$3)*($W$2:$CX$2=DA$2),$W$19:$CX$19))</f>
        <v>4.6812469443282243</v>
      </c>
      <c r="DB16" s="456">
        <f t="array" ref="DB16">SUMPRODUCT(IF(($W$3:$CX$3=DB$3)*($W$2:$CX$2=DB$2),$W16:$CX16),IF(($W$3:$CX$3=DB$3)*($W$2:$CX$2=DB$2),$W$19:$CX$19))/SUM(IF(($W$3:$CX$3=DB$3)*($W$2:$CX$2=DB$2),$W$19:$CX$19))</f>
        <v>2.9732609171784619</v>
      </c>
      <c r="DC16" s="456">
        <f t="array" ref="DC16">SUMPRODUCT(IF(($W$3:$CX$3=DC$3)*($W$2:$CX$2=DC$2),$W16:$CX16),IF(($W$3:$CX$3=DC$3)*($W$2:$CX$2=DC$2),$W$19:$CX$19))/SUM(IF(($W$3:$CX$3=DC$3)*($W$2:$CX$2=DC$2),$W$19:$CX$19))</f>
        <v>3.145569444033645</v>
      </c>
      <c r="DD16" s="456">
        <f t="array" ref="DD16">SUMPRODUCT(IF(($W$3:$CX$3=DD$3)*($W$2:$CX$2=DD$2),$W16:$CX16),IF(($W$3:$CX$3=DD$3)*($W$2:$CX$2=DD$2),$W$19:$CX$19))/SUM(IF(($W$3:$CX$3=DD$3)*($W$2:$CX$2=DD$2),$W$19:$CX$19))</f>
        <v>3.4135251246659801</v>
      </c>
      <c r="DE16" s="456">
        <f t="array" ref="DE16">SUMPRODUCT(IF(($W$3:$CX$3=DE$3)*($W$2:$CX$2=DE$2),$W16:$CX16),IF(($W$3:$CX$3=DE$3)*($W$2:$CX$2=DE$2),$W$19:$CX$19))/SUM(IF(($W$3:$CX$3=DE$3)*($W$2:$CX$2=DE$2),$W$19:$CX$19))</f>
        <v>3.0606956846257214</v>
      </c>
      <c r="DF16" s="456">
        <f t="array" ref="DF16">SUMPRODUCT(IF(($W$3:$CX$3=DF$3)*($W$2:$CX$2=DF$2),$W16:$CX16),IF(($W$3:$CX$3=DF$3)*($W$2:$CX$2=DF$2),$W$19:$CX$19))/SUM(IF(($W$3:$CX$3=DF$3)*($W$2:$CX$2=DF$2),$W$19:$CX$19))</f>
        <v>5.069303250096941</v>
      </c>
      <c r="DG16" s="456">
        <f t="array" ref="DG16">SUMPRODUCT(IF(($W$3:$CX$3=DG$3)*($W$2:$CX$2=DG$2),$W16:$CX16),IF(($W$3:$CX$3=DG$3)*($W$2:$CX$2=DG$2),$W$19:$CX$19))/SUM(IF(($W$3:$CX$3=DG$3)*($W$2:$CX$2=DG$2),$W$19:$CX$19))</f>
        <v>3.5822157364535041</v>
      </c>
      <c r="DH16" s="456">
        <f t="array" ref="DH16">SUMPRODUCT(IF(($W$3:$CX$3=DH$3)*($W$2:$CX$2=DH$2),$W16:$CX16),IF(($W$3:$CX$3=DH$3)*($W$2:$CX$2=DH$2),$W$19:$CX$19))/SUM(IF(($W$3:$CX$3=DH$3)*($W$2:$CX$2=DH$2),$W$19:$CX$19))</f>
        <v>3.2311041276004286</v>
      </c>
      <c r="DI16" s="456">
        <f t="array" ref="DI16">SUMPRODUCT(IF(($W$3:$CX$3=DI$3)*($W$2:$CX$2=DI$2),$W16:$CX16),IF(($W$3:$CX$3=DI$3)*($W$2:$CX$2=DI$2),$W$19:$CX$19))/SUM(IF(($W$3:$CX$3=DI$3)*($W$2:$CX$2=DI$2),$W$19:$CX$19))</f>
        <v>2.758402938443552</v>
      </c>
      <c r="DJ16" s="456">
        <f t="array" ref="DJ16">SUMPRODUCT(IF(($W$3:$CX$3=DJ$3)*($W$2:$CX$2=DJ$2),$W16:$CX16),IF(($W$3:$CX$3=DJ$3)*($W$2:$CX$2=DJ$2),$W$19:$CX$19))/SUM(IF(($W$3:$CX$3=DJ$3)*($W$2:$CX$2=DJ$2),$W$19:$CX$19))</f>
        <v>2.5147927700414434</v>
      </c>
      <c r="DK16" s="456">
        <f t="array" ref="DK16">SUMPRODUCT(IF(($W$3:$CX$3=DK$3)*1,$W16:$CX16),IF(($W$3:$CX$3=DK$3)*1,$W$19:$CX$19))/SUM(IF(($W$3:$CX$3=DK$3)*1,$W$19:$CX$19))</f>
        <v>3.3051018378732056</v>
      </c>
      <c r="DL16" s="456">
        <f t="array" ref="DL16">SUMPRODUCT(IF(($W$3:$CX$3=DL$3)*1,$W16:$CX16),IF(($W$3:$CX$3=DL$3)*1,$W$19:$CX$19))/SUM(IF(($W$3:$CX$3=DL$3)*1,$W$19:$CX$19))</f>
        <v>3.1838189851133856</v>
      </c>
      <c r="DM16" s="456">
        <f t="array" ref="DM16">SUMPRODUCT(IF(($W$3:$CX$3=DM$3)*1,$W16:$CX16),IF(($W$3:$CX$3=DM$3)*1,$W$19:$CX$19))/SUM(IF(($W$3:$CX$3=DM$3)*1,$W$19:$CX$19))</f>
        <v>3.2061018173798024</v>
      </c>
      <c r="DN16" s="456">
        <f t="array" ref="DN16">SUMPRODUCT(IF(1*($W$2:$CX$2=DN$2),$W16:$CX16),IF(1*($W$2:$CX$2=DN$2),$W$19:$CX$19))/SUM(IF(1*($W$2:$CX$2=DN$2),$W$19:$CX$19))</f>
        <v>3.6444093535412998</v>
      </c>
      <c r="DO16" s="456">
        <f t="array" ref="DO16">SUMPRODUCT(IF(1*($W$2:$CX$2=DO$2),$W16:$CX16),IF(1*($W$2:$CX$2=DO$2),$W$19:$CX$19))/SUM(IF(1*($W$2:$CX$2=DO$2),$W$19:$CX$19))</f>
        <v>3.297193186501767</v>
      </c>
      <c r="DP16" s="456">
        <f t="array" ref="DP16">SUMPRODUCT(IF(1*1,$W16:$CX16),IF(1*1,$W$19:$CX$19))/SUM(IF(1*1,$W$19:$CX$19))</f>
        <v>3.5136860379382027</v>
      </c>
    </row>
    <row r="17" spans="1:120" s="463" customFormat="1" ht="15.75" customHeight="1" thickBot="1" x14ac:dyDescent="0.3">
      <c r="A17" s="632"/>
      <c r="B17" s="670"/>
      <c r="C17" s="647" t="str">
        <f>'MD-ratings-year'!C17:E17</f>
        <v>Activity total</v>
      </c>
      <c r="D17" s="648"/>
      <c r="E17" s="649"/>
      <c r="F17" s="424"/>
      <c r="G17" s="653"/>
      <c r="H17" s="270"/>
      <c r="I17" s="270"/>
      <c r="J17" s="270"/>
      <c r="K17" s="271"/>
      <c r="L17" s="271"/>
      <c r="M17" s="271"/>
      <c r="N17" s="271"/>
      <c r="O17" s="271"/>
      <c r="P17" s="271"/>
      <c r="Q17" s="271"/>
      <c r="R17" s="271"/>
      <c r="S17" s="270"/>
      <c r="T17" s="270"/>
      <c r="U17" s="270"/>
      <c r="V17" s="254"/>
      <c r="W17" s="464">
        <f>SUMPRODUCT(W15:W16,$C15:$C16)/SUM($C15:$C16)</f>
        <v>3.5488031784173755</v>
      </c>
      <c r="X17" s="464">
        <f t="shared" ref="X17:CI17" si="6">SUMPRODUCT(X15:X16,$C15:$C16)/SUM($C15:$C16)</f>
        <v>4.7345320925389967</v>
      </c>
      <c r="Y17" s="464">
        <f t="shared" si="6"/>
        <v>4.1570121500782236</v>
      </c>
      <c r="Z17" s="464">
        <f t="shared" si="6"/>
        <v>3.1192208882380972</v>
      </c>
      <c r="AA17" s="464">
        <f t="shared" si="6"/>
        <v>2.605347534368581</v>
      </c>
      <c r="AB17" s="464">
        <f t="shared" si="6"/>
        <v>6.6726414497078386</v>
      </c>
      <c r="AC17" s="464">
        <f t="shared" si="6"/>
        <v>4.5917342175520943</v>
      </c>
      <c r="AD17" s="464">
        <f t="shared" si="6"/>
        <v>3.8536593932253607</v>
      </c>
      <c r="AE17" s="464">
        <f t="shared" si="6"/>
        <v>4.8854560458482315</v>
      </c>
      <c r="AF17" s="464">
        <f t="shared" si="6"/>
        <v>7.020016714696947</v>
      </c>
      <c r="AG17" s="464">
        <f t="shared" si="6"/>
        <v>3.7036961950433005</v>
      </c>
      <c r="AH17" s="464">
        <f t="shared" si="6"/>
        <v>1.770282630128184</v>
      </c>
      <c r="AI17" s="464">
        <f t="shared" si="6"/>
        <v>5.4149239111557961</v>
      </c>
      <c r="AJ17" s="464">
        <f t="shared" si="6"/>
        <v>6.8324845097509908</v>
      </c>
      <c r="AK17" s="464">
        <f t="shared" si="6"/>
        <v>3.4787434568871509</v>
      </c>
      <c r="AL17" s="464">
        <f t="shared" si="6"/>
        <v>1.8393341449344209</v>
      </c>
      <c r="AM17" s="464">
        <f t="shared" si="6"/>
        <v>3.8382164743746054</v>
      </c>
      <c r="AN17" s="464">
        <f t="shared" si="6"/>
        <v>5.3172951954110141</v>
      </c>
      <c r="AO17" s="464">
        <f t="shared" si="6"/>
        <v>1.6181648794419179</v>
      </c>
      <c r="AP17" s="464">
        <f t="shared" si="6"/>
        <v>6.6493640779610619</v>
      </c>
      <c r="AQ17" s="464">
        <f t="shared" si="6"/>
        <v>6.0846340496914147E-2</v>
      </c>
      <c r="AR17" s="464">
        <f t="shared" si="6"/>
        <v>3.5096675318443347</v>
      </c>
      <c r="AS17" s="464">
        <f t="shared" si="6"/>
        <v>3.9928040844236845</v>
      </c>
      <c r="AT17" s="464">
        <f t="shared" si="6"/>
        <v>6.6912014111706357</v>
      </c>
      <c r="AU17" s="464">
        <f t="shared" si="6"/>
        <v>7.0951703297338149</v>
      </c>
      <c r="AV17" s="464">
        <f t="shared" si="6"/>
        <v>2.0541621571818469</v>
      </c>
      <c r="AW17" s="464">
        <f t="shared" si="6"/>
        <v>3.5836355227653005</v>
      </c>
      <c r="AX17" s="464">
        <f t="shared" si="6"/>
        <v>3.0190704722621806</v>
      </c>
      <c r="AY17" s="464">
        <f t="shared" si="6"/>
        <v>2.6934645400530148</v>
      </c>
      <c r="AZ17" s="464">
        <f t="shared" si="6"/>
        <v>3.1685305567623123</v>
      </c>
      <c r="BA17" s="464">
        <f t="shared" si="6"/>
        <v>5.2939463427362066</v>
      </c>
      <c r="BB17" s="464">
        <f t="shared" si="6"/>
        <v>2.9347790099314421</v>
      </c>
      <c r="BC17" s="464">
        <f t="shared" si="6"/>
        <v>5.7525805245344186</v>
      </c>
      <c r="BD17" s="464">
        <f t="shared" si="6"/>
        <v>3.11586422057333</v>
      </c>
      <c r="BE17" s="464">
        <f t="shared" si="6"/>
        <v>3.1661707404442074</v>
      </c>
      <c r="BF17" s="464">
        <f t="shared" si="6"/>
        <v>2.6563436785141246</v>
      </c>
      <c r="BG17" s="464">
        <f t="shared" si="6"/>
        <v>3.1479880310381878</v>
      </c>
      <c r="BH17" s="464">
        <f t="shared" si="6"/>
        <v>4.8522938017996591</v>
      </c>
      <c r="BI17" s="464">
        <f t="shared" si="6"/>
        <v>6.4447852485466592</v>
      </c>
      <c r="BJ17" s="464">
        <f t="shared" si="6"/>
        <v>5.4504589780199684</v>
      </c>
      <c r="BK17" s="464">
        <f t="shared" si="6"/>
        <v>3.0575936539191071</v>
      </c>
      <c r="BL17" s="464">
        <f t="shared" si="6"/>
        <v>4.7346603010382626</v>
      </c>
      <c r="BM17" s="464">
        <f t="shared" si="6"/>
        <v>5.7659496287206853</v>
      </c>
      <c r="BN17" s="464">
        <f t="shared" si="6"/>
        <v>7.4540336957332194</v>
      </c>
      <c r="BO17" s="464">
        <f t="shared" si="6"/>
        <v>4.1961033886504904</v>
      </c>
      <c r="BP17" s="464">
        <f t="shared" si="6"/>
        <v>6.3309844140294498</v>
      </c>
      <c r="BQ17" s="464">
        <f t="shared" si="6"/>
        <v>4.0464941607665326</v>
      </c>
      <c r="BR17" s="464">
        <f t="shared" si="6"/>
        <v>4.0127818450624835</v>
      </c>
      <c r="BS17" s="464">
        <f t="shared" si="6"/>
        <v>4.3205159411324408</v>
      </c>
      <c r="BT17" s="464">
        <f t="shared" si="6"/>
        <v>3.6757649574238105</v>
      </c>
      <c r="BU17" s="464">
        <f t="shared" si="6"/>
        <v>5.7424815452268296</v>
      </c>
      <c r="BV17" s="464">
        <f t="shared" si="6"/>
        <v>0.9764424774046363</v>
      </c>
      <c r="BW17" s="464">
        <f t="shared" si="6"/>
        <v>4.6921466824210478</v>
      </c>
      <c r="BX17" s="464">
        <f t="shared" si="6"/>
        <v>3.4048731124169929</v>
      </c>
      <c r="BY17" s="464">
        <f t="shared" si="6"/>
        <v>2.6845400796042749</v>
      </c>
      <c r="BZ17" s="464">
        <f t="shared" si="6"/>
        <v>2.2175390187728885</v>
      </c>
      <c r="CA17" s="464">
        <f t="shared" si="6"/>
        <v>7.0680353413918358</v>
      </c>
      <c r="CB17" s="464">
        <f t="shared" si="6"/>
        <v>4.0589123929583142</v>
      </c>
      <c r="CC17" s="464">
        <f t="shared" si="6"/>
        <v>3.7908544236175645</v>
      </c>
      <c r="CD17" s="464">
        <f t="shared" si="6"/>
        <v>6.7881950609880199</v>
      </c>
      <c r="CE17" s="464">
        <f t="shared" si="6"/>
        <v>3.8187561687411957</v>
      </c>
      <c r="CF17" s="464">
        <f t="shared" si="6"/>
        <v>3.4568924462605053</v>
      </c>
      <c r="CG17" s="464">
        <f t="shared" si="6"/>
        <v>3.1013385519826819</v>
      </c>
      <c r="CH17" s="464">
        <f t="shared" si="6"/>
        <v>3.0260162341340173</v>
      </c>
      <c r="CI17" s="464">
        <f t="shared" si="6"/>
        <v>4.2681268558014045</v>
      </c>
      <c r="CJ17" s="464">
        <f t="shared" ref="CJ17:CX17" si="7">SUMPRODUCT(CJ15:CJ16,$C15:$C16)/SUM($C15:$C16)</f>
        <v>7.8772661935648509</v>
      </c>
      <c r="CK17" s="464">
        <f t="shared" si="7"/>
        <v>4.5879340370797888</v>
      </c>
      <c r="CL17" s="464">
        <f t="shared" si="7"/>
        <v>5.0827243328321954</v>
      </c>
      <c r="CM17" s="464">
        <f t="shared" si="7"/>
        <v>2.1023047374268367</v>
      </c>
      <c r="CN17" s="464">
        <f t="shared" si="7"/>
        <v>3.7670406401581094</v>
      </c>
      <c r="CO17" s="464">
        <f t="shared" si="7"/>
        <v>6.9477236174742822</v>
      </c>
      <c r="CP17" s="464">
        <f t="shared" si="7"/>
        <v>6.469553593369139</v>
      </c>
      <c r="CQ17" s="464">
        <f t="shared" si="7"/>
        <v>2.4777729002733766</v>
      </c>
      <c r="CR17" s="464">
        <f t="shared" si="7"/>
        <v>3.2567305647680631</v>
      </c>
      <c r="CS17" s="464">
        <f t="shared" si="7"/>
        <v>3.6371786444621832</v>
      </c>
      <c r="CT17" s="464">
        <f t="shared" si="7"/>
        <v>3.3673770473268259</v>
      </c>
      <c r="CU17" s="464">
        <f t="shared" si="7"/>
        <v>4.6679167080962678</v>
      </c>
      <c r="CV17" s="464">
        <f t="shared" si="7"/>
        <v>2.462120394788657</v>
      </c>
      <c r="CW17" s="464">
        <f t="shared" si="7"/>
        <v>5.0448878937082604</v>
      </c>
      <c r="CX17" s="464">
        <f t="shared" si="7"/>
        <v>6.0372305195046856</v>
      </c>
      <c r="CZ17" s="584"/>
      <c r="DA17" s="464">
        <f t="array" ref="DA17">SUMPRODUCT(IF(($W$3:$CX$3=DA$3)*($W$2:$CX$2=DA$2),$W17:$CX17),IF(($W$3:$CX$3=DA$3)*($W$2:$CX$2=DA$2),$W$19:$CX$19))/SUM(IF(($W$3:$CX$3=DA$3)*($W$2:$CX$2=DA$2),$W$19:$CX$19))</f>
        <v>4.8517907776387377</v>
      </c>
      <c r="DB17" s="464">
        <f t="array" ref="DB17">SUMPRODUCT(IF(($W$3:$CX$3=DB$3)*($W$2:$CX$2=DB$2),$W17:$CX17),IF(($W$3:$CX$3=DB$3)*($W$2:$CX$2=DB$2),$W$19:$CX$19))/SUM(IF(($W$3:$CX$3=DB$3)*($W$2:$CX$2=DB$2),$W$19:$CX$19))</f>
        <v>4.0498956882375481</v>
      </c>
      <c r="DC17" s="464">
        <f t="array" ref="DC17">SUMPRODUCT(IF(($W$3:$CX$3=DC$3)*($W$2:$CX$2=DC$2),$W17:$CX17),IF(($W$3:$CX$3=DC$3)*($W$2:$CX$2=DC$2),$W$19:$CX$19))/SUM(IF(($W$3:$CX$3=DC$3)*($W$2:$CX$2=DC$2),$W$19:$CX$19))</f>
        <v>4.086735749056924</v>
      </c>
      <c r="DD17" s="464">
        <f t="array" ref="DD17">SUMPRODUCT(IF(($W$3:$CX$3=DD$3)*($W$2:$CX$2=DD$2),$W17:$CX17),IF(($W$3:$CX$3=DD$3)*($W$2:$CX$2=DD$2),$W$19:$CX$19))/SUM(IF(($W$3:$CX$3=DD$3)*($W$2:$CX$2=DD$2),$W$19:$CX$19))</f>
        <v>3.9336776261291408</v>
      </c>
      <c r="DE17" s="464">
        <f t="array" ref="DE17">SUMPRODUCT(IF(($W$3:$CX$3=DE$3)*($W$2:$CX$2=DE$2),$W17:$CX17),IF(($W$3:$CX$3=DE$3)*($W$2:$CX$2=DE$2),$W$19:$CX$19))/SUM(IF(($W$3:$CX$3=DE$3)*($W$2:$CX$2=DE$2),$W$19:$CX$19))</f>
        <v>3.0340875303909525</v>
      </c>
      <c r="DF17" s="464">
        <f t="array" ref="DF17">SUMPRODUCT(IF(($W$3:$CX$3=DF$3)*($W$2:$CX$2=DF$2),$W17:$CX17),IF(($W$3:$CX$3=DF$3)*($W$2:$CX$2=DF$2),$W$19:$CX$19))/SUM(IF(($W$3:$CX$3=DF$3)*($W$2:$CX$2=DF$2),$W$19:$CX$19))</f>
        <v>4.4550016715486267</v>
      </c>
      <c r="DG17" s="464">
        <f t="array" ref="DG17">SUMPRODUCT(IF(($W$3:$CX$3=DG$3)*($W$2:$CX$2=DG$2),$W17:$CX17),IF(($W$3:$CX$3=DG$3)*($W$2:$CX$2=DG$2),$W$19:$CX$19))/SUM(IF(($W$3:$CX$3=DG$3)*($W$2:$CX$2=DG$2),$W$19:$CX$19))</f>
        <v>5.174158599252638</v>
      </c>
      <c r="DH17" s="464">
        <f t="array" ref="DH17">SUMPRODUCT(IF(($W$3:$CX$3=DH$3)*($W$2:$CX$2=DH$2),$W17:$CX17),IF(($W$3:$CX$3=DH$3)*($W$2:$CX$2=DH$2),$W$19:$CX$19))/SUM(IF(($W$3:$CX$3=DH$3)*($W$2:$CX$2=DH$2),$W$19:$CX$19))</f>
        <v>4.3298415608404284</v>
      </c>
      <c r="DI17" s="464">
        <f t="array" ref="DI17">SUMPRODUCT(IF(($W$3:$CX$3=DI$3)*($W$2:$CX$2=DI$2),$W17:$CX17),IF(($W$3:$CX$3=DI$3)*($W$2:$CX$2=DI$2),$W$19:$CX$19))/SUM(IF(($W$3:$CX$3=DI$3)*($W$2:$CX$2=DI$2),$W$19:$CX$19))</f>
        <v>5.1325144687798945</v>
      </c>
      <c r="DJ17" s="464">
        <f t="array" ref="DJ17">SUMPRODUCT(IF(($W$3:$CX$3=DJ$3)*($W$2:$CX$2=DJ$2),$W17:$CX17),IF(($W$3:$CX$3=DJ$3)*($W$2:$CX$2=DJ$2),$W$19:$CX$19))/SUM(IF(($W$3:$CX$3=DJ$3)*($W$2:$CX$2=DJ$2),$W$19:$CX$19))</f>
        <v>4.3470409950624331</v>
      </c>
      <c r="DK17" s="464">
        <f t="array" ref="DK17">SUMPRODUCT(IF(($W$3:$CX$3=DK$3)*1,$W17:$CX17),IF(($W$3:$CX$3=DK$3)*1,$W$19:$CX$19))/SUM(IF(($W$3:$CX$3=DK$3)*1,$W$19:$CX$19))</f>
        <v>4.6625461307422071</v>
      </c>
      <c r="DL17" s="464">
        <f t="array" ref="DL17">SUMPRODUCT(IF(($W$3:$CX$3=DL$3)*1,$W17:$CX17),IF(($W$3:$CX$3=DL$3)*1,$W$19:$CX$19))/SUM(IF(($W$3:$CX$3=DL$3)*1,$W$19:$CX$19))</f>
        <v>4.1954482075215251</v>
      </c>
      <c r="DM17" s="464">
        <f t="array" ref="DM17">SUMPRODUCT(IF(($W$3:$CX$3=DM$3)*1,$W17:$CX17),IF(($W$3:$CX$3=DM$3)*1,$W$19:$CX$19))/SUM(IF(($W$3:$CX$3=DM$3)*1,$W$19:$CX$19))</f>
        <v>4.3132506401847364</v>
      </c>
      <c r="DN17" s="464">
        <f t="array" ref="DN17">SUMPRODUCT(IF(1*($W$2:$CX$2=DN$2),$W17:$CX17),IF(1*($W$2:$CX$2=DN$2),$W$19:$CX$19))/SUM(IF(1*($W$2:$CX$2=DN$2),$W$19:$CX$19))</f>
        <v>4.1207739501063365</v>
      </c>
      <c r="DO17" s="464">
        <f t="array" ref="DO17">SUMPRODUCT(IF(1*($W$2:$CX$2=DO$2),$W17:$CX17),IF(1*($W$2:$CX$2=DO$2),$W$19:$CX$19))/SUM(IF(1*($W$2:$CX$2=DO$2),$W$19:$CX$19))</f>
        <v>4.8190700568616371</v>
      </c>
      <c r="DP17" s="464">
        <f t="array" ref="DP17">SUMPRODUCT(IF(1*1,$W17:$CX17),IF(1*1,$W$19:$CX$19))/SUM(IF(1*1,$W$19:$CX$19))</f>
        <v>4.3836752519843527</v>
      </c>
    </row>
    <row r="18" spans="1:120" s="586" customFormat="1" ht="15.75" customHeight="1" thickBot="1" x14ac:dyDescent="0.3">
      <c r="A18" s="431">
        <f>'MD-ratings-year'!A18</f>
        <v>1</v>
      </c>
      <c r="B18" s="442" t="str">
        <f>'MD-ratings-year'!B18:E18</f>
        <v>Total</v>
      </c>
      <c r="C18" s="432"/>
      <c r="D18" s="432"/>
      <c r="E18" s="457"/>
      <c r="F18" s="432"/>
      <c r="G18" s="654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45"/>
      <c r="W18" s="466">
        <f>(W7*$A4+W11*$A8+W14*$A12+W17*$A15)/($A4+$A8+$A12+$A15)</f>
        <v>6.0599395461663894</v>
      </c>
      <c r="X18" s="466">
        <f t="shared" ref="X18:CI18" si="8">(X7*$A4+X11*$A8+X14*$A12+X17*$A15)/($A4+$A8+$A12+$A15)</f>
        <v>7.2791899283959616</v>
      </c>
      <c r="Y18" s="466">
        <f t="shared" si="8"/>
        <v>4.0970026772542658</v>
      </c>
      <c r="Z18" s="466">
        <f t="shared" si="8"/>
        <v>4.221934504471224</v>
      </c>
      <c r="AA18" s="466">
        <f t="shared" si="8"/>
        <v>4.4474784434060926</v>
      </c>
      <c r="AB18" s="466">
        <f t="shared" si="8"/>
        <v>5.4297662628801699</v>
      </c>
      <c r="AC18" s="466">
        <f t="shared" si="8"/>
        <v>5.4970076446969536</v>
      </c>
      <c r="AD18" s="466">
        <f t="shared" si="8"/>
        <v>5.8286548165633878</v>
      </c>
      <c r="AE18" s="466">
        <f t="shared" si="8"/>
        <v>4.1906085580591919</v>
      </c>
      <c r="AF18" s="466">
        <f t="shared" si="8"/>
        <v>4.0368520492932491</v>
      </c>
      <c r="AG18" s="466">
        <f t="shared" si="8"/>
        <v>5.8889524203984083</v>
      </c>
      <c r="AH18" s="466">
        <f t="shared" si="8"/>
        <v>5.0779686133939874</v>
      </c>
      <c r="AI18" s="466">
        <f t="shared" si="8"/>
        <v>5.5412851891087627</v>
      </c>
      <c r="AJ18" s="466">
        <f t="shared" si="8"/>
        <v>5.1260278000293189</v>
      </c>
      <c r="AK18" s="466">
        <f t="shared" si="8"/>
        <v>4.7226175698835693</v>
      </c>
      <c r="AL18" s="466">
        <f t="shared" si="8"/>
        <v>5.8547556019931299</v>
      </c>
      <c r="AM18" s="466">
        <f t="shared" si="8"/>
        <v>6.0334252727579374</v>
      </c>
      <c r="AN18" s="466">
        <f t="shared" si="8"/>
        <v>5.2821292191096285</v>
      </c>
      <c r="AO18" s="466">
        <f t="shared" si="8"/>
        <v>3.9344073581827335</v>
      </c>
      <c r="AP18" s="466">
        <f t="shared" si="8"/>
        <v>5.2702855929593166</v>
      </c>
      <c r="AQ18" s="466">
        <f t="shared" si="8"/>
        <v>5.0976464199227971</v>
      </c>
      <c r="AR18" s="466">
        <f t="shared" si="8"/>
        <v>6.2766714599819826</v>
      </c>
      <c r="AS18" s="466">
        <f t="shared" si="8"/>
        <v>5.8763515479386905</v>
      </c>
      <c r="AT18" s="466">
        <f t="shared" si="8"/>
        <v>3.0843111416868041</v>
      </c>
      <c r="AU18" s="466">
        <f t="shared" si="8"/>
        <v>3.2462688034212781</v>
      </c>
      <c r="AV18" s="466">
        <f t="shared" si="8"/>
        <v>7.2947916895934179</v>
      </c>
      <c r="AW18" s="466">
        <f t="shared" si="8"/>
        <v>3.8506467503034472</v>
      </c>
      <c r="AX18" s="466">
        <f t="shared" si="8"/>
        <v>2.9200308878253214</v>
      </c>
      <c r="AY18" s="466">
        <f t="shared" si="8"/>
        <v>6.1475634737024452</v>
      </c>
      <c r="AZ18" s="466">
        <f t="shared" si="8"/>
        <v>6.1921054091392893</v>
      </c>
      <c r="BA18" s="466">
        <f t="shared" si="8"/>
        <v>3.4411758933800294</v>
      </c>
      <c r="BB18" s="466">
        <f t="shared" si="8"/>
        <v>5.6774557451767507</v>
      </c>
      <c r="BC18" s="466">
        <f t="shared" si="8"/>
        <v>5.2180255296433229</v>
      </c>
      <c r="BD18" s="466">
        <f t="shared" si="8"/>
        <v>5.4100510448882062</v>
      </c>
      <c r="BE18" s="466">
        <f t="shared" si="8"/>
        <v>4.5233288122654187</v>
      </c>
      <c r="BF18" s="466">
        <f t="shared" si="8"/>
        <v>5.2661007113684102</v>
      </c>
      <c r="BG18" s="466">
        <f t="shared" si="8"/>
        <v>5.282633940536547</v>
      </c>
      <c r="BH18" s="466">
        <f t="shared" si="8"/>
        <v>5.5632508734455604</v>
      </c>
      <c r="BI18" s="466">
        <f t="shared" si="8"/>
        <v>3.5942298469126275</v>
      </c>
      <c r="BJ18" s="466">
        <f t="shared" si="8"/>
        <v>4.9159619228492719</v>
      </c>
      <c r="BK18" s="466">
        <f t="shared" si="8"/>
        <v>3.4822436764132343</v>
      </c>
      <c r="BL18" s="466">
        <f t="shared" si="8"/>
        <v>3.4657029678376872</v>
      </c>
      <c r="BM18" s="466">
        <f t="shared" si="8"/>
        <v>6.8582192874487706</v>
      </c>
      <c r="BN18" s="466">
        <f t="shared" si="8"/>
        <v>6.1513372380905675</v>
      </c>
      <c r="BO18" s="466">
        <f t="shared" si="8"/>
        <v>5.6118540730342046</v>
      </c>
      <c r="BP18" s="466">
        <f t="shared" si="8"/>
        <v>5.3111808551930864</v>
      </c>
      <c r="BQ18" s="466">
        <f t="shared" si="8"/>
        <v>5.3729507805927401</v>
      </c>
      <c r="BR18" s="466">
        <f t="shared" si="8"/>
        <v>4.875218076792212</v>
      </c>
      <c r="BS18" s="466">
        <f t="shared" si="8"/>
        <v>5.3184467821740196</v>
      </c>
      <c r="BT18" s="466">
        <f t="shared" si="8"/>
        <v>4.3719870079622876</v>
      </c>
      <c r="BU18" s="466">
        <f t="shared" si="8"/>
        <v>6.3621935860165175</v>
      </c>
      <c r="BV18" s="466">
        <f t="shared" si="8"/>
        <v>5.7210184918549079</v>
      </c>
      <c r="BW18" s="466">
        <f t="shared" si="8"/>
        <v>4.0229535030589751</v>
      </c>
      <c r="BX18" s="466">
        <f t="shared" si="8"/>
        <v>3.7902420777955936</v>
      </c>
      <c r="BY18" s="466">
        <f t="shared" si="8"/>
        <v>6.248027618598984</v>
      </c>
      <c r="BZ18" s="466">
        <f t="shared" si="8"/>
        <v>3.8553043183415512</v>
      </c>
      <c r="CA18" s="466">
        <f t="shared" si="8"/>
        <v>5.7294278491620148</v>
      </c>
      <c r="CB18" s="466">
        <f t="shared" si="8"/>
        <v>6.7664919795309899</v>
      </c>
      <c r="CC18" s="466">
        <f t="shared" si="8"/>
        <v>6.7101104408535557</v>
      </c>
      <c r="CD18" s="466">
        <f t="shared" si="8"/>
        <v>6.0957519717808104</v>
      </c>
      <c r="CE18" s="466">
        <f t="shared" si="8"/>
        <v>4.9248560983598848</v>
      </c>
      <c r="CF18" s="466">
        <f t="shared" si="8"/>
        <v>7.079632627148654</v>
      </c>
      <c r="CG18" s="466">
        <f t="shared" si="8"/>
        <v>5.5929381923751986</v>
      </c>
      <c r="CH18" s="466">
        <f t="shared" si="8"/>
        <v>5.705624014136375</v>
      </c>
      <c r="CI18" s="466">
        <f t="shared" si="8"/>
        <v>5.9347327998924921</v>
      </c>
      <c r="CJ18" s="466">
        <f t="shared" ref="CJ18:CX18" si="9">(CJ7*$A4+CJ11*$A8+CJ14*$A12+CJ17*$A15)/($A4+$A8+$A12+$A15)</f>
        <v>6.7621914385849937</v>
      </c>
      <c r="CK18" s="466">
        <f t="shared" si="9"/>
        <v>6.355607323424854</v>
      </c>
      <c r="CL18" s="466">
        <f t="shared" si="9"/>
        <v>5.002357419086028</v>
      </c>
      <c r="CM18" s="466">
        <f t="shared" si="9"/>
        <v>7.4342537429375035</v>
      </c>
      <c r="CN18" s="466">
        <f t="shared" si="9"/>
        <v>4.1656087186192874</v>
      </c>
      <c r="CO18" s="466">
        <f t="shared" si="9"/>
        <v>5.1380875916968201</v>
      </c>
      <c r="CP18" s="466">
        <f t="shared" si="9"/>
        <v>5.2460320485504637</v>
      </c>
      <c r="CQ18" s="466">
        <f t="shared" si="9"/>
        <v>3.7480502025134541</v>
      </c>
      <c r="CR18" s="466">
        <f t="shared" si="9"/>
        <v>6.6561891743646093</v>
      </c>
      <c r="CS18" s="466">
        <f t="shared" si="9"/>
        <v>5.0941141777368806</v>
      </c>
      <c r="CT18" s="466">
        <f t="shared" si="9"/>
        <v>4.9888486918222936</v>
      </c>
      <c r="CU18" s="466">
        <f t="shared" si="9"/>
        <v>5.033301740501436</v>
      </c>
      <c r="CV18" s="466">
        <f t="shared" si="9"/>
        <v>5.10826983957854</v>
      </c>
      <c r="CW18" s="466">
        <f t="shared" si="9"/>
        <v>3.0245211993978347</v>
      </c>
      <c r="CX18" s="466">
        <f t="shared" si="9"/>
        <v>2.7626177708161506</v>
      </c>
      <c r="CZ18" s="587"/>
      <c r="DA18" s="588">
        <f t="array" ref="DA18">SUMPRODUCT(IF(($W$3:$CX$3=DA$3)*($W$2:$CX$2=DA$2),$W18:$CX18),IF(($W$3:$CX$3=DA$3)*($W$2:$CX$2=DA$2),$W$19:$CX$19))/SUM(IF(($W$3:$CX$3=DA$3)*($W$2:$CX$2=DA$2),$W$19:$CX$19))</f>
        <v>5.9852767468147645</v>
      </c>
      <c r="DB18" s="588">
        <f t="array" ref="DB18">SUMPRODUCT(IF(($W$3:$CX$3=DB$3)*($W$2:$CX$2=DB$2),$W18:$CX18),IF(($W$3:$CX$3=DB$3)*($W$2:$CX$2=DB$2),$W$19:$CX$19))/SUM(IF(($W$3:$CX$3=DB$3)*($W$2:$CX$2=DB$2),$W$19:$CX$19))</f>
        <v>5.9224558953902999</v>
      </c>
      <c r="DC18" s="588">
        <f t="array" ref="DC18">SUMPRODUCT(IF(($W$3:$CX$3=DC$3)*($W$2:$CX$2=DC$2),$W18:$CX18),IF(($W$3:$CX$3=DC$3)*($W$2:$CX$2=DC$2),$W$19:$CX$19))/SUM(IF(($W$3:$CX$3=DC$3)*($W$2:$CX$2=DC$2),$W$19:$CX$19))</f>
        <v>4.4138571537255711</v>
      </c>
      <c r="DD18" s="588">
        <f t="array" ref="DD18">SUMPRODUCT(IF(($W$3:$CX$3=DD$3)*($W$2:$CX$2=DD$2),$W18:$CX18),IF(($W$3:$CX$3=DD$3)*($W$2:$CX$2=DD$2),$W$19:$CX$19))/SUM(IF(($W$3:$CX$3=DD$3)*($W$2:$CX$2=DD$2),$W$19:$CX$19))</f>
        <v>5.2819294716644345</v>
      </c>
      <c r="DE18" s="588">
        <f t="array" ref="DE18">SUMPRODUCT(IF(($W$3:$CX$3=DE$3)*($W$2:$CX$2=DE$2),$W18:$CX18),IF(($W$3:$CX$3=DE$3)*($W$2:$CX$2=DE$2),$W$19:$CX$19))/SUM(IF(($W$3:$CX$3=DE$3)*($W$2:$CX$2=DE$2),$W$19:$CX$19))</f>
        <v>4.7722958984991015</v>
      </c>
      <c r="DF18" s="588">
        <f t="array" ref="DF18">SUMPRODUCT(IF(($W$3:$CX$3=DF$3)*($W$2:$CX$2=DF$2),$W18:$CX18),IF(($W$3:$CX$3=DF$3)*($W$2:$CX$2=DF$2),$W$19:$CX$19))/SUM(IF(($W$3:$CX$3=DF$3)*($W$2:$CX$2=DF$2),$W$19:$CX$19))</f>
        <v>5.5799667342299983</v>
      </c>
      <c r="DG18" s="588">
        <f t="array" ref="DG18">SUMPRODUCT(IF(($W$3:$CX$3=DG$3)*($W$2:$CX$2=DG$2),$W18:$CX18),IF(($W$3:$CX$3=DG$3)*($W$2:$CX$2=DG$2),$W$19:$CX$19))/SUM(IF(($W$3:$CX$3=DG$3)*($W$2:$CX$2=DG$2),$W$19:$CX$19))</f>
        <v>4.7640262394822486</v>
      </c>
      <c r="DH18" s="588">
        <f t="array" ref="DH18">SUMPRODUCT(IF(($W$3:$CX$3=DH$3)*($W$2:$CX$2=DH$2),$W18:$CX18),IF(($W$3:$CX$3=DH$3)*($W$2:$CX$2=DH$2),$W$19:$CX$19))/SUM(IF(($W$3:$CX$3=DH$3)*($W$2:$CX$2=DH$2),$W$19:$CX$19))</f>
        <v>5.0704790514733782</v>
      </c>
      <c r="DI18" s="588">
        <f t="array" ref="DI18">SUMPRODUCT(IF(($W$3:$CX$3=DI$3)*($W$2:$CX$2=DI$2),$W18:$CX18),IF(($W$3:$CX$3=DI$3)*($W$2:$CX$2=DI$2),$W$19:$CX$19))/SUM(IF(($W$3:$CX$3=DI$3)*($W$2:$CX$2=DI$2),$W$19:$CX$19))</f>
        <v>4.5410330160805934</v>
      </c>
      <c r="DJ18" s="588">
        <f t="array" ref="DJ18">SUMPRODUCT(IF(($W$3:$CX$3=DJ$3)*($W$2:$CX$2=DJ$2),$W18:$CX18),IF(($W$3:$CX$3=DJ$3)*($W$2:$CX$2=DJ$2),$W$19:$CX$19))/SUM(IF(($W$3:$CX$3=DJ$3)*($W$2:$CX$2=DJ$2),$W$19:$CX$19))</f>
        <v>5.1255436748740628</v>
      </c>
      <c r="DK18" s="588">
        <f t="array" ref="DK18">SUMPRODUCT(IF(($W$3:$CX$3=DK$3)*1,$W18:$CX18),IF(($W$3:$CX$3=DK$3)*1,$W$19:$CX$19))/SUM(IF(($W$3:$CX$3=DK$3)*1,$W$19:$CX$19))</f>
        <v>5.291186790673688</v>
      </c>
      <c r="DL18" s="588">
        <f t="array" ref="DL18">SUMPRODUCT(IF(($W$3:$CX$3=DL$3)*1,$W18:$CX18),IF(($W$3:$CX$3=DL$3)*1,$W$19:$CX$19))/SUM(IF(($W$3:$CX$3=DL$3)*1,$W$19:$CX$19))</f>
        <v>4.7074864185389709</v>
      </c>
      <c r="DM18" s="588">
        <f t="array" ref="DM18">SUMPRODUCT(IF(($W$3:$CX$3=DM$3)*1,$W18:$CX18),IF(($W$3:$CX$3=DM$3)*1,$W$19:$CX$19))/SUM(IF(($W$3:$CX$3=DM$3)*1,$W$19:$CX$19))</f>
        <v>5.0473485088978487</v>
      </c>
      <c r="DN18" s="588">
        <f t="array" ref="DN18">SUMPRODUCT(IF(1*($W$2:$CX$2=DN$2),$W18:$CX18),IF(1*($W$2:$CX$2=DN$2),$W$19:$CX$19))/SUM(IF(1*($W$2:$CX$2=DN$2),$W$19:$CX$19))</f>
        <v>5.2765610327753709</v>
      </c>
      <c r="DO18" s="588">
        <f t="array" ref="DO18">SUMPRODUCT(IF(1*($W$2:$CX$2=DO$2),$W18:$CX18),IF(1*($W$2:$CX$2=DO$2),$W$19:$CX$19))/SUM(IF(1*($W$2:$CX$2=DO$2),$W$19:$CX$19))</f>
        <v>4.8666985857093428</v>
      </c>
      <c r="DP18" s="588">
        <f t="array" ref="DP18">SUMPRODUCT(IF(1*1,$W18:$CX18),IF(1*1,$W$19:$CX$19))/SUM(IF(1*1,$W$19:$CX$19))</f>
        <v>5.1222520370897833</v>
      </c>
    </row>
    <row r="19" spans="1:120" x14ac:dyDescent="0.25">
      <c r="W19" s="555">
        <f>'SK-ratios'!AF5</f>
        <v>0.10526357684725458</v>
      </c>
      <c r="X19" s="555">
        <f>'SK-ratios'!AG5</f>
        <v>0.18154377573481928</v>
      </c>
      <c r="Y19" s="555">
        <f>'SK-ratios'!AH5</f>
        <v>0.27976315817403735</v>
      </c>
      <c r="Z19" s="555">
        <f>'SK-ratios'!AI5</f>
        <v>0.26730015205473501</v>
      </c>
      <c r="AA19" s="555">
        <f>'SK-ratios'!AJ5</f>
        <v>0.21003806833768621</v>
      </c>
      <c r="AB19" s="555">
        <f>'SK-ratios'!AK5</f>
        <v>0.22369006968436153</v>
      </c>
      <c r="AC19" s="555">
        <f>'SK-ratios'!AL5</f>
        <v>0.1749349097554975</v>
      </c>
      <c r="AD19" s="555">
        <f>'SK-ratios'!AM5</f>
        <v>0.5337858074256816</v>
      </c>
      <c r="AE19" s="555">
        <f>'SK-ratios'!AN5</f>
        <v>0.63073661457462393</v>
      </c>
      <c r="AF19" s="555">
        <f>'SK-ratios'!AO5</f>
        <v>0.46905006234646984</v>
      </c>
      <c r="AG19" s="555">
        <f>'SK-ratios'!AP5</f>
        <v>0.27399594455174836</v>
      </c>
      <c r="AH19" s="555">
        <f>'SK-ratios'!AQ5</f>
        <v>8.0347352889692691E-2</v>
      </c>
      <c r="AI19" s="555">
        <f>'SK-ratios'!AR5</f>
        <v>0.34256745248702314</v>
      </c>
      <c r="AJ19" s="555">
        <f>'SK-ratios'!AS5</f>
        <v>0.59286334874856472</v>
      </c>
      <c r="AK19" s="555">
        <f>'SK-ratios'!AT5</f>
        <v>0.23827765688379099</v>
      </c>
      <c r="AL19" s="555">
        <f>'SK-ratios'!AU5</f>
        <v>0.91907954086535937</v>
      </c>
      <c r="AM19" s="555">
        <f>'SK-ratios'!AV5</f>
        <v>0.26337103261803518</v>
      </c>
      <c r="AN19" s="555">
        <f>'SK-ratios'!AW5</f>
        <v>0.18526832627814949</v>
      </c>
      <c r="AO19" s="555">
        <f>'SK-ratios'!AX5</f>
        <v>9.8242532368017263E-2</v>
      </c>
      <c r="AP19" s="555">
        <f>'SK-ratios'!AY5</f>
        <v>0.70403739425569201</v>
      </c>
      <c r="AQ19" s="555">
        <f>'SK-ratios'!AZ5</f>
        <v>0.35214620510684785</v>
      </c>
      <c r="AR19" s="555">
        <f>'SK-ratios'!BA5</f>
        <v>0.18393987915838847</v>
      </c>
      <c r="AS19" s="555">
        <f>'SK-ratios'!BB5</f>
        <v>0.59906136494632534</v>
      </c>
      <c r="AT19" s="555">
        <f>'SK-ratios'!BC5</f>
        <v>0.16657814659755363</v>
      </c>
      <c r="AU19" s="555">
        <f>'SK-ratios'!BD5</f>
        <v>0.21493084515624014</v>
      </c>
      <c r="AV19" s="555">
        <f>'SK-ratios'!BE5</f>
        <v>0.20159263049536716</v>
      </c>
      <c r="AW19" s="555">
        <f>'SK-ratios'!BF5</f>
        <v>0.27329196953344603</v>
      </c>
      <c r="AX19" s="555">
        <f>'SK-ratios'!BG5</f>
        <v>7.9598844788793227E-2</v>
      </c>
      <c r="AY19" s="555">
        <f>'SK-ratios'!BH5</f>
        <v>0.11711054516307949</v>
      </c>
      <c r="AZ19" s="555">
        <f>'SK-ratios'!BI5</f>
        <v>0.1170750746935138</v>
      </c>
      <c r="BA19" s="555">
        <f>'SK-ratios'!BJ5</f>
        <v>9.718985013648003E-2</v>
      </c>
      <c r="BB19" s="555">
        <f>'SK-ratios'!BK5</f>
        <v>0.40206376455687159</v>
      </c>
      <c r="BC19" s="555">
        <f>'SK-ratios'!BL5</f>
        <v>0.48112445212236588</v>
      </c>
      <c r="BD19" s="555">
        <f>'SK-ratios'!BM5</f>
        <v>0.29479788109880761</v>
      </c>
      <c r="BE19" s="555">
        <f>'SK-ratios'!BN5</f>
        <v>0.68143282559062468</v>
      </c>
      <c r="BF19" s="555">
        <f>'SK-ratios'!BO5</f>
        <v>0.42658980774704641</v>
      </c>
      <c r="BG19" s="555">
        <f>'SK-ratios'!BP5</f>
        <v>0.31196334190921243</v>
      </c>
      <c r="BH19" s="555">
        <f>'SK-ratios'!BQ5</f>
        <v>0.33616695562112325</v>
      </c>
      <c r="BI19" s="555">
        <f>'SK-ratios'!BR5</f>
        <v>0.24262212551325105</v>
      </c>
      <c r="BJ19" s="555">
        <f>'SK-ratios'!BS5</f>
        <v>0.2688910284581586</v>
      </c>
      <c r="BK19" s="555">
        <f>'SK-ratios'!BT5</f>
        <v>0.23195304264537731</v>
      </c>
      <c r="BL19" s="555">
        <f>'SK-ratios'!BU5</f>
        <v>0.24947725917948055</v>
      </c>
      <c r="BM19" s="555">
        <f>'SK-ratios'!BV5</f>
        <v>0.25710379539865558</v>
      </c>
      <c r="BN19" s="555">
        <f>'SK-ratios'!BW5</f>
        <v>0.19526150495352934</v>
      </c>
      <c r="BO19" s="555">
        <f>'SK-ratios'!BX5</f>
        <v>0.47678679152913439</v>
      </c>
      <c r="BP19" s="555">
        <f>'SK-ratios'!BY5</f>
        <v>0.35595371700901074</v>
      </c>
      <c r="BQ19" s="555">
        <f>'SK-ratios'!BZ5</f>
        <v>0.12176686620629749</v>
      </c>
      <c r="BR19" s="555">
        <f>'SK-ratios'!CA5</f>
        <v>0.26054792154719003</v>
      </c>
      <c r="BS19" s="555">
        <f>'SK-ratios'!CB5</f>
        <v>0.32646493807910332</v>
      </c>
      <c r="BT19" s="555">
        <f>'SK-ratios'!CC5</f>
        <v>0.29877666624039839</v>
      </c>
      <c r="BU19" s="555">
        <f>'SK-ratios'!CD5</f>
        <v>0.73727945347289259</v>
      </c>
      <c r="BV19" s="555">
        <f>'SK-ratios'!CE5</f>
        <v>0.22250090576047576</v>
      </c>
      <c r="BW19" s="555">
        <f>'SK-ratios'!CF5</f>
        <v>0.67412250955690534</v>
      </c>
      <c r="BX19" s="555">
        <f>'SK-ratios'!CG5</f>
        <v>1.2881764345797724</v>
      </c>
      <c r="BY19" s="555">
        <f>'SK-ratios'!CH5</f>
        <v>1.1004056366294168</v>
      </c>
      <c r="BZ19" s="555">
        <f>'SK-ratios'!CI5</f>
        <v>0.4148633444667183</v>
      </c>
      <c r="CA19" s="555">
        <f>'SK-ratios'!CJ5</f>
        <v>0.34870713850724833</v>
      </c>
      <c r="CB19" s="555">
        <f>'SK-ratios'!CK5</f>
        <v>0.14253879990649582</v>
      </c>
      <c r="CC19" s="555">
        <f>'SK-ratios'!CL5</f>
        <v>0.1601260657299613</v>
      </c>
      <c r="CD19" s="555">
        <f>'SK-ratios'!CM5</f>
        <v>0.88034254995505745</v>
      </c>
      <c r="CE19" s="555">
        <f>'SK-ratios'!CN5</f>
        <v>0.35256729892876199</v>
      </c>
      <c r="CF19" s="555">
        <f>'SK-ratios'!CO5</f>
        <v>0.15402243987616235</v>
      </c>
      <c r="CG19" s="555">
        <f>'SK-ratios'!CP5</f>
        <v>0.17388850513390144</v>
      </c>
      <c r="CH19" s="555">
        <f>'SK-ratios'!CQ5</f>
        <v>0.12511574611792478</v>
      </c>
      <c r="CI19" s="555">
        <f>'SK-ratios'!CR5</f>
        <v>0.14063173233309598</v>
      </c>
      <c r="CJ19" s="555">
        <f>'SK-ratios'!CS5</f>
        <v>0.75120010947544624</v>
      </c>
      <c r="CK19" s="555">
        <f>'SK-ratios'!CT5</f>
        <v>0.3819954537013992</v>
      </c>
      <c r="CL19" s="555">
        <f>'SK-ratios'!CU5</f>
        <v>0.35972069681295304</v>
      </c>
      <c r="CM19" s="555">
        <f>'SK-ratios'!CV5</f>
        <v>0.13798766191004261</v>
      </c>
      <c r="CN19" s="555">
        <f>'SK-ratios'!CW5</f>
        <v>0.4398837240912471</v>
      </c>
      <c r="CO19" s="555">
        <f>'SK-ratios'!CX5</f>
        <v>0.25116359090307966</v>
      </c>
      <c r="CP19" s="555">
        <f>'SK-ratios'!CY5</f>
        <v>0.23520382406527066</v>
      </c>
      <c r="CQ19" s="555">
        <f>'SK-ratios'!CZ5</f>
        <v>0.29252871288520926</v>
      </c>
      <c r="CR19" s="555">
        <f>'SK-ratios'!DA5</f>
        <v>0.26762947894357286</v>
      </c>
      <c r="CS19" s="555">
        <f>'SK-ratios'!DB5</f>
        <v>0.38525548711624374</v>
      </c>
      <c r="CT19" s="555">
        <f>'SK-ratios'!DC5</f>
        <v>0.34985367356591734</v>
      </c>
      <c r="CU19" s="555">
        <f>'SK-ratios'!DD5</f>
        <v>9.2508496809559873E-2</v>
      </c>
      <c r="CV19" s="555">
        <f>'SK-ratios'!DE5</f>
        <v>0.54874852989053158</v>
      </c>
      <c r="CW19" s="555">
        <f>'SK-ratios'!DF5</f>
        <v>0.64537528594150739</v>
      </c>
      <c r="CX19" s="555">
        <f>'SK-ratios'!DG5</f>
        <v>0.6812023230821127</v>
      </c>
      <c r="DA19" s="456"/>
      <c r="DB19" s="456"/>
      <c r="DC19" s="456"/>
      <c r="DD19" s="456"/>
      <c r="DE19" s="456"/>
      <c r="DF19" s="456"/>
      <c r="DG19" s="456"/>
      <c r="DH19" s="456"/>
      <c r="DI19" s="456"/>
      <c r="DJ19" s="456"/>
      <c r="DK19" s="456"/>
      <c r="DL19" s="456"/>
      <c r="DM19" s="456"/>
      <c r="DN19" s="456"/>
      <c r="DO19" s="456"/>
      <c r="DP19" s="456"/>
    </row>
    <row r="20" spans="1:120" ht="15.75" thickBot="1" x14ac:dyDescent="0.3">
      <c r="X20" s="593"/>
      <c r="Y20" s="593"/>
      <c r="Z20" s="593"/>
      <c r="AA20" s="593"/>
      <c r="AB20" s="593"/>
      <c r="AC20" s="593"/>
      <c r="AD20" s="593"/>
      <c r="AE20" s="593"/>
      <c r="AF20" s="593"/>
      <c r="AG20" s="593"/>
      <c r="AH20" s="593"/>
      <c r="AI20" s="593"/>
      <c r="AJ20" s="593"/>
      <c r="AK20" s="593"/>
      <c r="AL20" s="593"/>
      <c r="AM20" s="593"/>
      <c r="AN20" s="593"/>
      <c r="AO20" s="593"/>
      <c r="AP20" s="593"/>
      <c r="AQ20" s="593"/>
      <c r="AR20" s="593"/>
      <c r="AS20" s="593"/>
      <c r="AT20" s="593"/>
      <c r="AU20" s="593"/>
      <c r="AV20" s="593"/>
      <c r="AW20" s="593"/>
      <c r="AX20" s="593"/>
      <c r="AY20" s="593"/>
      <c r="AZ20" s="593"/>
      <c r="BA20" s="593"/>
      <c r="BB20" s="593"/>
      <c r="BC20" s="593"/>
      <c r="BD20" s="593"/>
      <c r="BE20" s="593"/>
      <c r="BF20" s="593"/>
      <c r="BG20" s="593"/>
      <c r="BH20" s="593"/>
      <c r="BI20" s="593"/>
      <c r="BJ20" s="593"/>
      <c r="BK20" s="593"/>
      <c r="BL20" s="593"/>
      <c r="BM20" s="593"/>
      <c r="BN20" s="593"/>
      <c r="BO20" s="593"/>
      <c r="BP20" s="593"/>
      <c r="BQ20" s="593"/>
      <c r="BR20" s="593"/>
      <c r="BS20" s="593"/>
      <c r="BT20" s="593"/>
      <c r="BU20" s="593"/>
      <c r="BV20" s="593"/>
      <c r="BW20" s="593"/>
      <c r="BX20" s="593"/>
      <c r="BY20" s="593"/>
      <c r="BZ20" s="593"/>
      <c r="CA20" s="593"/>
      <c r="CB20" s="593"/>
      <c r="CC20" s="593"/>
      <c r="CD20" s="593"/>
      <c r="CE20" s="593"/>
      <c r="CF20" s="593"/>
      <c r="CG20" s="593"/>
      <c r="CH20" s="593"/>
      <c r="CI20" s="593"/>
      <c r="CJ20" s="593"/>
      <c r="CK20" s="593"/>
      <c r="CL20" s="593"/>
      <c r="CM20" s="593"/>
      <c r="CN20" s="593"/>
      <c r="CO20" s="593"/>
      <c r="CP20" s="593"/>
      <c r="CQ20" s="593"/>
      <c r="CR20" s="593"/>
      <c r="CS20" s="593"/>
      <c r="CT20" s="593"/>
      <c r="CU20" s="593"/>
      <c r="CV20" s="593"/>
      <c r="CW20" s="593"/>
      <c r="CX20" s="593"/>
      <c r="DA20" s="456"/>
      <c r="DB20" s="456"/>
      <c r="DC20" s="456"/>
      <c r="DD20" s="456"/>
      <c r="DE20" s="456"/>
      <c r="DF20" s="456"/>
      <c r="DG20" s="456"/>
      <c r="DH20" s="456"/>
      <c r="DI20" s="456"/>
      <c r="DJ20" s="456"/>
      <c r="DK20" s="456"/>
      <c r="DL20" s="456"/>
      <c r="DM20" s="456"/>
      <c r="DN20" s="456"/>
      <c r="DO20" s="456"/>
      <c r="DP20" s="456"/>
    </row>
    <row r="21" spans="1:120" s="429" customFormat="1" ht="15.75" customHeight="1" thickBot="1" x14ac:dyDescent="0.3">
      <c r="A21" s="639">
        <f>'MD-ratings-year'!A21</f>
        <v>0.25</v>
      </c>
      <c r="B21" s="633" t="str">
        <f>'MD-ratings-year'!B21</f>
        <v>Liquidity</v>
      </c>
      <c r="C21" s="231">
        <f>'MD-ratings-year'!C21</f>
        <v>8.3333333333333329E-2</v>
      </c>
      <c r="D21" s="434" t="str">
        <f>'MD-ratings-year'!D21</f>
        <v>Current Ratio</v>
      </c>
      <c r="E21" s="437" t="str">
        <f>'MD-ratings-year'!E21</f>
        <v>Current Assets ÷ Current Liabilities</v>
      </c>
      <c r="F21" s="439" t="s">
        <v>400</v>
      </c>
      <c r="G21" s="653">
        <v>2016</v>
      </c>
      <c r="I21" s="579">
        <f>'SK-ratios'!U24</f>
        <v>25.428188289080342</v>
      </c>
      <c r="K21" s="260">
        <f>'MD-ratings-year'!P21</f>
        <v>0</v>
      </c>
      <c r="L21" s="567">
        <f>'MD-ratings-year'!Q21</f>
        <v>0.92385991622305896</v>
      </c>
      <c r="M21" s="567">
        <f>'MD-ratings-year'!R21</f>
        <v>1.9229713965396571</v>
      </c>
      <c r="N21" s="567">
        <f>'MD-ratings-year'!S21</f>
        <v>4.0025754196882692</v>
      </c>
      <c r="O21" s="260">
        <f>'MD-ratings-year'!T21</f>
        <v>11.100561961639293</v>
      </c>
      <c r="P21" s="260"/>
      <c r="Q21" s="260"/>
      <c r="R21" s="260"/>
      <c r="S21" s="259"/>
      <c r="T21" s="259"/>
      <c r="U21" s="259"/>
      <c r="V21" s="261"/>
      <c r="W21" s="454">
        <f>IF('SK-ratios'!AF24&gt;'SK-ratios'!$AC24,10,10*LOG(1+('SK-ratios'!$U24-1)*('SK-ratios'!AF24-'SK-ratios'!$Y24)/('SK-ratios'!$AC24-'SK-ratios'!$Y24))/LOG('SK-ratios'!$U24))</f>
        <v>9.994388242765023</v>
      </c>
      <c r="X21" s="454">
        <f>IF('SK-ratios'!AG24&gt;'SK-ratios'!$AC24,10,10*LOG(1+('SK-ratios'!$U24-1)*('SK-ratios'!AG24-'SK-ratios'!$Y24)/('SK-ratios'!$AC24-'SK-ratios'!$Y24))/LOG('SK-ratios'!$U24))</f>
        <v>8.8734023390276882</v>
      </c>
      <c r="Y21" s="454">
        <f>IF('SK-ratios'!AH24&gt;'SK-ratios'!$AC24,10,10*LOG(1+('SK-ratios'!$U24-1)*('SK-ratios'!AH24-'SK-ratios'!$Y24)/('SK-ratios'!$AC24-'SK-ratios'!$Y24))/LOG('SK-ratios'!$U24))</f>
        <v>4.6464679535478579</v>
      </c>
      <c r="Z21" s="454">
        <f>IF('SK-ratios'!AI24&gt;'SK-ratios'!$AC24,10,10*LOG(1+('SK-ratios'!$U24-1)*('SK-ratios'!AI24-'SK-ratios'!$Y24)/('SK-ratios'!$AC24-'SK-ratios'!$Y24))/LOG('SK-ratios'!$U24))</f>
        <v>3.9355455371106012</v>
      </c>
      <c r="AA21" s="454">
        <f>IF('SK-ratios'!AJ24&gt;'SK-ratios'!$AC24,10,10*LOG(1+('SK-ratios'!$U24-1)*('SK-ratios'!AJ24-'SK-ratios'!$Y24)/('SK-ratios'!$AC24-'SK-ratios'!$Y24))/LOG('SK-ratios'!$U24))</f>
        <v>2.719750932749172</v>
      </c>
      <c r="AB21" s="454">
        <f>IF('SK-ratios'!AK24&gt;'SK-ratios'!$AC24,10,10*LOG(1+('SK-ratios'!$U24-1)*('SK-ratios'!AK24-'SK-ratios'!$Y24)/('SK-ratios'!$AC24-'SK-ratios'!$Y24))/LOG('SK-ratios'!$U24))</f>
        <v>5.3007740452913099</v>
      </c>
      <c r="AC21" s="454">
        <f>IF('SK-ratios'!AL24&gt;'SK-ratios'!$AC24,10,10*LOG(1+('SK-ratios'!$U24-1)*('SK-ratios'!AL24-'SK-ratios'!$Y24)/('SK-ratios'!$AC24-'SK-ratios'!$Y24))/LOG('SK-ratios'!$U24))</f>
        <v>6.4897076403325062</v>
      </c>
      <c r="AD21" s="454">
        <f>IF('SK-ratios'!AM24&gt;'SK-ratios'!$AC24,10,10*LOG(1+('SK-ratios'!$U24-1)*('SK-ratios'!AM24-'SK-ratios'!$Y24)/('SK-ratios'!$AC24-'SK-ratios'!$Y24))/LOG('SK-ratios'!$U24))</f>
        <v>4.9382977418764034</v>
      </c>
      <c r="AE21" s="454">
        <f>IF('SK-ratios'!AN24&gt;'SK-ratios'!$AC24,10,10*LOG(1+('SK-ratios'!$U24-1)*('SK-ratios'!AN24-'SK-ratios'!$Y24)/('SK-ratios'!$AC24-'SK-ratios'!$Y24))/LOG('SK-ratios'!$U24))</f>
        <v>4.9933730169468671</v>
      </c>
      <c r="AF21" s="454">
        <f>IF('SK-ratios'!AO24&gt;'SK-ratios'!$AC24,10,10*LOG(1+('SK-ratios'!$U24-1)*('SK-ratios'!AO24-'SK-ratios'!$Y24)/('SK-ratios'!$AC24-'SK-ratios'!$Y24))/LOG('SK-ratios'!$U24))</f>
        <v>3.9546143322183336</v>
      </c>
      <c r="AG21" s="454">
        <f>IF('SK-ratios'!AP24&gt;'SK-ratios'!$AC24,10,10*LOG(1+('SK-ratios'!$U24-1)*('SK-ratios'!AP24-'SK-ratios'!$Y24)/('SK-ratios'!$AC24-'SK-ratios'!$Y24))/LOG('SK-ratios'!$U24))</f>
        <v>5.746329763802664</v>
      </c>
      <c r="AH21" s="454">
        <f>IF('SK-ratios'!AQ24&gt;'SK-ratios'!$AC24,10,10*LOG(1+('SK-ratios'!$U24-1)*('SK-ratios'!AQ24-'SK-ratios'!$Y24)/('SK-ratios'!$AC24-'SK-ratios'!$Y24))/LOG('SK-ratios'!$U24))</f>
        <v>10</v>
      </c>
      <c r="AI21" s="454">
        <f>IF('SK-ratios'!AR24&gt;'SK-ratios'!$AC24,10,10*LOG(1+('SK-ratios'!$U24-1)*('SK-ratios'!AR24-'SK-ratios'!$Y24)/('SK-ratios'!$AC24-'SK-ratios'!$Y24))/LOG('SK-ratios'!$U24))</f>
        <v>3.8455877649780099</v>
      </c>
      <c r="AJ21" s="454">
        <f>IF('SK-ratios'!AS24&gt;'SK-ratios'!$AC24,10,10*LOG(1+('SK-ratios'!$U24-1)*('SK-ratios'!AS24-'SK-ratios'!$Y24)/('SK-ratios'!$AC24-'SK-ratios'!$Y24))/LOG('SK-ratios'!$U24))</f>
        <v>4.0801056314864006</v>
      </c>
      <c r="AK21" s="454">
        <f>IF('SK-ratios'!AT24&gt;'SK-ratios'!$AC24,10,10*LOG(1+('SK-ratios'!$U24-1)*('SK-ratios'!AT24-'SK-ratios'!$Y24)/('SK-ratios'!$AC24-'SK-ratios'!$Y24))/LOG('SK-ratios'!$U24))</f>
        <v>4.366967963892729</v>
      </c>
      <c r="AL21" s="454">
        <f>IF('SK-ratios'!AU24&gt;'SK-ratios'!$AC24,10,10*LOG(1+('SK-ratios'!$U24-1)*('SK-ratios'!AU24-'SK-ratios'!$Y24)/('SK-ratios'!$AC24-'SK-ratios'!$Y24))/LOG('SK-ratios'!$U24))</f>
        <v>9.5745509143746208</v>
      </c>
      <c r="AM21" s="454">
        <f>IF('SK-ratios'!AV24&gt;'SK-ratios'!$AC24,10,10*LOG(1+('SK-ratios'!$U24-1)*('SK-ratios'!AV24-'SK-ratios'!$Y24)/('SK-ratios'!$AC24-'SK-ratios'!$Y24))/LOG('SK-ratios'!$U24))</f>
        <v>5.5776865341003159</v>
      </c>
      <c r="AN21" s="454">
        <f>IF('SK-ratios'!AW24&gt;'SK-ratios'!$AC24,10,10*LOG(1+('SK-ratios'!$U24-1)*('SK-ratios'!AW24-'SK-ratios'!$Y24)/('SK-ratios'!$AC24-'SK-ratios'!$Y24))/LOG('SK-ratios'!$U24))</f>
        <v>4.0748149938581086</v>
      </c>
      <c r="AO21" s="454">
        <f>IF('SK-ratios'!AX24&gt;'SK-ratios'!$AC24,10,10*LOG(1+('SK-ratios'!$U24-1)*('SK-ratios'!AX24-'SK-ratios'!$Y24)/('SK-ratios'!$AC24-'SK-ratios'!$Y24))/LOG('SK-ratios'!$U24))</f>
        <v>4.8866287831752464</v>
      </c>
      <c r="AP21" s="454">
        <f>IF('SK-ratios'!AY24&gt;'SK-ratios'!$AC24,10,10*LOG(1+('SK-ratios'!$U24-1)*('SK-ratios'!AY24-'SK-ratios'!$Y24)/('SK-ratios'!$AC24-'SK-ratios'!$Y24))/LOG('SK-ratios'!$U24))</f>
        <v>3.7637122421142801</v>
      </c>
      <c r="AQ21" s="454">
        <f>IF('SK-ratios'!AZ24&gt;'SK-ratios'!$AC24,10,10*LOG(1+('SK-ratios'!$U24-1)*('SK-ratios'!AZ24-'SK-ratios'!$Y24)/('SK-ratios'!$AC24-'SK-ratios'!$Y24))/LOG('SK-ratios'!$U24))</f>
        <v>10</v>
      </c>
      <c r="AR21" s="454">
        <f>IF('SK-ratios'!BA24&gt;'SK-ratios'!$AC24,10,10*LOG(1+('SK-ratios'!$U24-1)*('SK-ratios'!BA24-'SK-ratios'!$Y24)/('SK-ratios'!$AC24-'SK-ratios'!$Y24))/LOG('SK-ratios'!$U24))</f>
        <v>8.2265974173438519</v>
      </c>
      <c r="AS21" s="454">
        <f>IF('SK-ratios'!BB24&gt;'SK-ratios'!$AC24,10,10*LOG(1+('SK-ratios'!$U24-1)*('SK-ratios'!BB24-'SK-ratios'!$Y24)/('SK-ratios'!$AC24-'SK-ratios'!$Y24))/LOG('SK-ratios'!$U24))</f>
        <v>5.9930973625632094</v>
      </c>
      <c r="AT21" s="454">
        <f>IF('SK-ratios'!BC24&gt;'SK-ratios'!$AC24,10,10*LOG(1+('SK-ratios'!$U24-1)*('SK-ratios'!BC24-'SK-ratios'!$Y24)/('SK-ratios'!$AC24-'SK-ratios'!$Y24))/LOG('SK-ratios'!$U24))</f>
        <v>3.6331792937509544</v>
      </c>
      <c r="AU21" s="454">
        <f>IF('SK-ratios'!BD24&gt;'SK-ratios'!$AC24,10,10*LOG(1+('SK-ratios'!$U24-1)*('SK-ratios'!BD24-'SK-ratios'!$Y24)/('SK-ratios'!$AC24-'SK-ratios'!$Y24))/LOG('SK-ratios'!$U24))</f>
        <v>4.148505469784447</v>
      </c>
      <c r="AV21" s="454">
        <f>IF('SK-ratios'!BE24&gt;'SK-ratios'!$AC24,10,10*LOG(1+('SK-ratios'!$U24-1)*('SK-ratios'!BE24-'SK-ratios'!$Y24)/('SK-ratios'!$AC24-'SK-ratios'!$Y24))/LOG('SK-ratios'!$U24))</f>
        <v>10</v>
      </c>
      <c r="AW21" s="454">
        <f>IF('SK-ratios'!BF24&gt;'SK-ratios'!$AC24,10,10*LOG(1+('SK-ratios'!$U24-1)*('SK-ratios'!BF24-'SK-ratios'!$Y24)/('SK-ratios'!$AC24-'SK-ratios'!$Y24))/LOG('SK-ratios'!$U24))</f>
        <v>6.3056737963902201</v>
      </c>
      <c r="AX21" s="454">
        <f>IF('SK-ratios'!BG24&gt;'SK-ratios'!$AC24,10,10*LOG(1+('SK-ratios'!$U24-1)*('SK-ratios'!BG24-'SK-ratios'!$Y24)/('SK-ratios'!$AC24-'SK-ratios'!$Y24))/LOG('SK-ratios'!$U24))</f>
        <v>1.3334877746150762</v>
      </c>
      <c r="AY21" s="454">
        <f>IF('SK-ratios'!BH24&gt;'SK-ratios'!$AC24,10,10*LOG(1+('SK-ratios'!$U24-1)*('SK-ratios'!BH24-'SK-ratios'!$Y24)/('SK-ratios'!$AC24-'SK-ratios'!$Y24))/LOG('SK-ratios'!$U24))</f>
        <v>6.3832966007500582</v>
      </c>
      <c r="AZ21" s="454">
        <f>IF('SK-ratios'!BI24&gt;'SK-ratios'!$AC24,10,10*LOG(1+('SK-ratios'!$U24-1)*('SK-ratios'!BI24-'SK-ratios'!$Y24)/('SK-ratios'!$AC24-'SK-ratios'!$Y24))/LOG('SK-ratios'!$U24))</f>
        <v>6.2686837226540142</v>
      </c>
      <c r="BA21" s="454">
        <f>IF('SK-ratios'!BJ24&gt;'SK-ratios'!$AC24,10,10*LOG(1+('SK-ratios'!$U24-1)*('SK-ratios'!BJ24-'SK-ratios'!$Y24)/('SK-ratios'!$AC24-'SK-ratios'!$Y24))/LOG('SK-ratios'!$U24))</f>
        <v>0.50977175542443209</v>
      </c>
      <c r="BB21" s="454">
        <f>IF('SK-ratios'!BK24&gt;'SK-ratios'!$AC24,10,10*LOG(1+('SK-ratios'!$U24-1)*('SK-ratios'!BK24-'SK-ratios'!$Y24)/('SK-ratios'!$AC24-'SK-ratios'!$Y24))/LOG('SK-ratios'!$U24))</f>
        <v>7.9465268935963849</v>
      </c>
      <c r="BC21" s="454">
        <f>IF('SK-ratios'!BL24&gt;'SK-ratios'!$AC24,10,10*LOG(1+('SK-ratios'!$U24-1)*('SK-ratios'!BL24-'SK-ratios'!$Y24)/('SK-ratios'!$AC24-'SK-ratios'!$Y24))/LOG('SK-ratios'!$U24))</f>
        <v>4.8626588986378181</v>
      </c>
      <c r="BD21" s="454">
        <f>IF('SK-ratios'!BM24&gt;'SK-ratios'!$AC24,10,10*LOG(1+('SK-ratios'!$U24-1)*('SK-ratios'!BM24-'SK-ratios'!$Y24)/('SK-ratios'!$AC24-'SK-ratios'!$Y24))/LOG('SK-ratios'!$U24))</f>
        <v>8.4296131144650328</v>
      </c>
      <c r="BE21" s="454">
        <f>IF('SK-ratios'!BN24&gt;'SK-ratios'!$AC24,10,10*LOG(1+('SK-ratios'!$U24-1)*('SK-ratios'!BN24-'SK-ratios'!$Y24)/('SK-ratios'!$AC24-'SK-ratios'!$Y24))/LOG('SK-ratios'!$U24))</f>
        <v>6.6462835051439217</v>
      </c>
      <c r="BF21" s="454">
        <f>IF('SK-ratios'!BO24&gt;'SK-ratios'!$AC24,10,10*LOG(1+('SK-ratios'!$U24-1)*('SK-ratios'!BO24-'SK-ratios'!$Y24)/('SK-ratios'!$AC24-'SK-ratios'!$Y24))/LOG('SK-ratios'!$U24))</f>
        <v>7.954304544849629</v>
      </c>
      <c r="BG21" s="454">
        <f>IF('SK-ratios'!BP24&gt;'SK-ratios'!$AC24,10,10*LOG(1+('SK-ratios'!$U24-1)*('SK-ratios'!BP24-'SK-ratios'!$Y24)/('SK-ratios'!$AC24-'SK-ratios'!$Y24))/LOG('SK-ratios'!$U24))</f>
        <v>5.9423626254208832</v>
      </c>
      <c r="BH21" s="454">
        <f>IF('SK-ratios'!BQ24&gt;'SK-ratios'!$AC24,10,10*LOG(1+('SK-ratios'!$U24-1)*('SK-ratios'!BQ24-'SK-ratios'!$Y24)/('SK-ratios'!$AC24-'SK-ratios'!$Y24))/LOG('SK-ratios'!$U24))</f>
        <v>4.9679371332429296</v>
      </c>
      <c r="BI21" s="454">
        <f>IF('SK-ratios'!BR24&gt;'SK-ratios'!$AC24,10,10*LOG(1+('SK-ratios'!$U24-1)*('SK-ratios'!BR24-'SK-ratios'!$Y24)/('SK-ratios'!$AC24-'SK-ratios'!$Y24))/LOG('SK-ratios'!$U24))</f>
        <v>2.9728745546569457</v>
      </c>
      <c r="BJ21" s="454">
        <f>IF('SK-ratios'!BS24&gt;'SK-ratios'!$AC24,10,10*LOG(1+('SK-ratios'!$U24-1)*('SK-ratios'!BS24-'SK-ratios'!$Y24)/('SK-ratios'!$AC24-'SK-ratios'!$Y24))/LOG('SK-ratios'!$U24))</f>
        <v>4.2117527051140486</v>
      </c>
      <c r="BK21" s="454">
        <f>IF('SK-ratios'!BT24&gt;'SK-ratios'!$AC24,10,10*LOG(1+('SK-ratios'!$U24-1)*('SK-ratios'!BT24-'SK-ratios'!$Y24)/('SK-ratios'!$AC24-'SK-ratios'!$Y24))/LOG('SK-ratios'!$U24))</f>
        <v>3.0905424074007786</v>
      </c>
      <c r="BL21" s="454">
        <f>IF('SK-ratios'!BU24&gt;'SK-ratios'!$AC24,10,10*LOG(1+('SK-ratios'!$U24-1)*('SK-ratios'!BU24-'SK-ratios'!$Y24)/('SK-ratios'!$AC24-'SK-ratios'!$Y24))/LOG('SK-ratios'!$U24))</f>
        <v>3.2741030323424178</v>
      </c>
      <c r="BM21" s="454">
        <f>IF('SK-ratios'!BV24&gt;'SK-ratios'!$AC24,10,10*LOG(1+('SK-ratios'!$U24-1)*('SK-ratios'!BV24-'SK-ratios'!$Y24)/('SK-ratios'!$AC24-'SK-ratios'!$Y24))/LOG('SK-ratios'!$U24))</f>
        <v>9.8041160023644345</v>
      </c>
      <c r="BN21" s="454">
        <f>IF('SK-ratios'!BW24&gt;'SK-ratios'!$AC24,10,10*LOG(1+('SK-ratios'!$U24-1)*('SK-ratios'!BW24-'SK-ratios'!$Y24)/('SK-ratios'!$AC24-'SK-ratios'!$Y24))/LOG('SK-ratios'!$U24))</f>
        <v>5.2594118770964382</v>
      </c>
      <c r="BO21" s="454">
        <f>IF('SK-ratios'!BX24&gt;'SK-ratios'!$AC24,10,10*LOG(1+('SK-ratios'!$U24-1)*('SK-ratios'!BX24-'SK-ratios'!$Y24)/('SK-ratios'!$AC24-'SK-ratios'!$Y24))/LOG('SK-ratios'!$U24))</f>
        <v>5.0202904117786584</v>
      </c>
      <c r="BP21" s="454">
        <f>IF('SK-ratios'!BY24&gt;'SK-ratios'!$AC24,10,10*LOG(1+('SK-ratios'!$U24-1)*('SK-ratios'!BY24-'SK-ratios'!$Y24)/('SK-ratios'!$AC24-'SK-ratios'!$Y24))/LOG('SK-ratios'!$U24))</f>
        <v>2.5353957179493323</v>
      </c>
      <c r="BQ21" s="454">
        <f>IF('SK-ratios'!BZ24&gt;'SK-ratios'!$AC24,10,10*LOG(1+('SK-ratios'!$U24-1)*('SK-ratios'!BZ24-'SK-ratios'!$Y24)/('SK-ratios'!$AC24-'SK-ratios'!$Y24))/LOG('SK-ratios'!$U24))</f>
        <v>9.1311557193867809</v>
      </c>
      <c r="BR21" s="454">
        <f>IF('SK-ratios'!CA24&gt;'SK-ratios'!$AC24,10,10*LOG(1+('SK-ratios'!$U24-1)*('SK-ratios'!CA24-'SK-ratios'!$Y24)/('SK-ratios'!$AC24-'SK-ratios'!$Y24))/LOG('SK-ratios'!$U24))</f>
        <v>10</v>
      </c>
      <c r="BS21" s="454">
        <f>IF('SK-ratios'!CB24&gt;'SK-ratios'!$AC24,10,10*LOG(1+('SK-ratios'!$U24-1)*('SK-ratios'!CB24-'SK-ratios'!$Y24)/('SK-ratios'!$AC24-'SK-ratios'!$Y24))/LOG('SK-ratios'!$U24))</f>
        <v>3.2955418478098766</v>
      </c>
      <c r="BT21" s="454">
        <f>IF('SK-ratios'!CC24&gt;'SK-ratios'!$AC24,10,10*LOG(1+('SK-ratios'!$U24-1)*('SK-ratios'!CC24-'SK-ratios'!$Y24)/('SK-ratios'!$AC24-'SK-ratios'!$Y24))/LOG('SK-ratios'!$U24))</f>
        <v>2.5583146880924423</v>
      </c>
      <c r="BU21" s="454">
        <f>IF('SK-ratios'!CD24&gt;'SK-ratios'!$AC24,10,10*LOG(1+('SK-ratios'!$U24-1)*('SK-ratios'!CD24-'SK-ratios'!$Y24)/('SK-ratios'!$AC24-'SK-ratios'!$Y24))/LOG('SK-ratios'!$U24))</f>
        <v>4.53556544751725</v>
      </c>
      <c r="BV21" s="454">
        <f>IF('SK-ratios'!CE24&gt;'SK-ratios'!$AC24,10,10*LOG(1+('SK-ratios'!$U24-1)*('SK-ratios'!CE24-'SK-ratios'!$Y24)/('SK-ratios'!$AC24-'SK-ratios'!$Y24))/LOG('SK-ratios'!$U24))</f>
        <v>10</v>
      </c>
      <c r="BW21" s="454">
        <f>IF('SK-ratios'!CF24&gt;'SK-ratios'!$AC24,10,10*LOG(1+('SK-ratios'!$U24-1)*('SK-ratios'!CF24-'SK-ratios'!$Y24)/('SK-ratios'!$AC24-'SK-ratios'!$Y24))/LOG('SK-ratios'!$U24))</f>
        <v>3.9824686547651087</v>
      </c>
      <c r="BX21" s="454">
        <f>IF('SK-ratios'!CG24&gt;'SK-ratios'!$AC24,10,10*LOG(1+('SK-ratios'!$U24-1)*('SK-ratios'!CG24-'SK-ratios'!$Y24)/('SK-ratios'!$AC24-'SK-ratios'!$Y24))/LOG('SK-ratios'!$U24))</f>
        <v>3.9471649262547261</v>
      </c>
      <c r="BY21" s="454">
        <f>IF('SK-ratios'!CH24&gt;'SK-ratios'!$AC24,10,10*LOG(1+('SK-ratios'!$U24-1)*('SK-ratios'!CH24-'SK-ratios'!$Y24)/('SK-ratios'!$AC24-'SK-ratios'!$Y24))/LOG('SK-ratios'!$U24))</f>
        <v>6.1443088415789511</v>
      </c>
      <c r="BZ21" s="454">
        <f>IF('SK-ratios'!CI24&gt;'SK-ratios'!$AC24,10,10*LOG(1+('SK-ratios'!$U24-1)*('SK-ratios'!CI24-'SK-ratios'!$Y24)/('SK-ratios'!$AC24-'SK-ratios'!$Y24))/LOG('SK-ratios'!$U24))</f>
        <v>5.8650561908886996</v>
      </c>
      <c r="CA21" s="454">
        <f>IF('SK-ratios'!CJ24&gt;'SK-ratios'!$AC24,10,10*LOG(1+('SK-ratios'!$U24-1)*('SK-ratios'!CJ24-'SK-ratios'!$Y24)/('SK-ratios'!$AC24-'SK-ratios'!$Y24))/LOG('SK-ratios'!$U24))</f>
        <v>4.4270167766450239</v>
      </c>
      <c r="CB21" s="454">
        <f>IF('SK-ratios'!CK24&gt;'SK-ratios'!$AC24,10,10*LOG(1+('SK-ratios'!$U24-1)*('SK-ratios'!CK24-'SK-ratios'!$Y24)/('SK-ratios'!$AC24-'SK-ratios'!$Y24))/LOG('SK-ratios'!$U24))</f>
        <v>9.6851445852251441</v>
      </c>
      <c r="CC21" s="454">
        <f>IF('SK-ratios'!CL24&gt;'SK-ratios'!$AC24,10,10*LOG(1+('SK-ratios'!$U24-1)*('SK-ratios'!CL24-'SK-ratios'!$Y24)/('SK-ratios'!$AC24-'SK-ratios'!$Y24))/LOG('SK-ratios'!$U24))</f>
        <v>8.7982955567414827</v>
      </c>
      <c r="CD21" s="454">
        <f>IF('SK-ratios'!CM24&gt;'SK-ratios'!$AC24,10,10*LOG(1+('SK-ratios'!$U24-1)*('SK-ratios'!CM24-'SK-ratios'!$Y24)/('SK-ratios'!$AC24-'SK-ratios'!$Y24))/LOG('SK-ratios'!$U24))</f>
        <v>3.7235321087642754</v>
      </c>
      <c r="CE21" s="454">
        <f>IF('SK-ratios'!CN24&gt;'SK-ratios'!$AC24,10,10*LOG(1+('SK-ratios'!$U24-1)*('SK-ratios'!CN24-'SK-ratios'!$Y24)/('SK-ratios'!$AC24-'SK-ratios'!$Y24))/LOG('SK-ratios'!$U24))</f>
        <v>5.6860824642754189</v>
      </c>
      <c r="CF21" s="454">
        <f>IF('SK-ratios'!CO24&gt;'SK-ratios'!$AC24,10,10*LOG(1+('SK-ratios'!$U24-1)*('SK-ratios'!CO24-'SK-ratios'!$Y24)/('SK-ratios'!$AC24-'SK-ratios'!$Y24))/LOG('SK-ratios'!$U24))</f>
        <v>9.3447447532491577</v>
      </c>
      <c r="CG21" s="454">
        <f>IF('SK-ratios'!CP24&gt;'SK-ratios'!$AC24,10,10*LOG(1+('SK-ratios'!$U24-1)*('SK-ratios'!CP24-'SK-ratios'!$Y24)/('SK-ratios'!$AC24-'SK-ratios'!$Y24))/LOG('SK-ratios'!$U24))</f>
        <v>6.8279240408319177</v>
      </c>
      <c r="CH21" s="454">
        <f>IF('SK-ratios'!CQ24&gt;'SK-ratios'!$AC24,10,10*LOG(1+('SK-ratios'!$U24-1)*('SK-ratios'!CQ24-'SK-ratios'!$Y24)/('SK-ratios'!$AC24-'SK-ratios'!$Y24))/LOG('SK-ratios'!$U24))</f>
        <v>7.7111107486466119</v>
      </c>
      <c r="CI21" s="454">
        <f>IF('SK-ratios'!CR24&gt;'SK-ratios'!$AC24,10,10*LOG(1+('SK-ratios'!$U24-1)*('SK-ratios'!CR24-'SK-ratios'!$Y24)/('SK-ratios'!$AC24-'SK-ratios'!$Y24))/LOG('SK-ratios'!$U24))</f>
        <v>7.4103885309508621</v>
      </c>
      <c r="CJ21" s="454">
        <f>IF('SK-ratios'!CS24&gt;'SK-ratios'!$AC24,10,10*LOG(1+('SK-ratios'!$U24-1)*('SK-ratios'!CS24-'SK-ratios'!$Y24)/('SK-ratios'!$AC24-'SK-ratios'!$Y24))/LOG('SK-ratios'!$U24))</f>
        <v>6.9379192024744176</v>
      </c>
      <c r="CK21" s="454">
        <f>IF('SK-ratios'!CT24&gt;'SK-ratios'!$AC24,10,10*LOG(1+('SK-ratios'!$U24-1)*('SK-ratios'!CT24-'SK-ratios'!$Y24)/('SK-ratios'!$AC24-'SK-ratios'!$Y24))/LOG('SK-ratios'!$U24))</f>
        <v>7.2086185848428457</v>
      </c>
      <c r="CL21" s="454">
        <f>IF('SK-ratios'!CU24&gt;'SK-ratios'!$AC24,10,10*LOG(1+('SK-ratios'!$U24-1)*('SK-ratios'!CU24-'SK-ratios'!$Y24)/('SK-ratios'!$AC24-'SK-ratios'!$Y24))/LOG('SK-ratios'!$U24))</f>
        <v>4.2759102206746364</v>
      </c>
      <c r="CM21" s="454">
        <f>IF('SK-ratios'!CV24&gt;'SK-ratios'!$AC24,10,10*LOG(1+('SK-ratios'!$U24-1)*('SK-ratios'!CV24-'SK-ratios'!$Y24)/('SK-ratios'!$AC24-'SK-ratios'!$Y24))/LOG('SK-ratios'!$U24))</f>
        <v>8.0850667265124248</v>
      </c>
      <c r="CN21" s="454">
        <f>IF('SK-ratios'!CW24&gt;'SK-ratios'!$AC24,10,10*LOG(1+('SK-ratios'!$U24-1)*('SK-ratios'!CW24-'SK-ratios'!$Y24)/('SK-ratios'!$AC24-'SK-ratios'!$Y24))/LOG('SK-ratios'!$U24))</f>
        <v>10</v>
      </c>
      <c r="CO21" s="454">
        <f>IF('SK-ratios'!CX24&gt;'SK-ratios'!$AC24,10,10*LOG(1+('SK-ratios'!$U24-1)*('SK-ratios'!CX24-'SK-ratios'!$Y24)/('SK-ratios'!$AC24-'SK-ratios'!$Y24))/LOG('SK-ratios'!$U24))</f>
        <v>3.7922388690522544</v>
      </c>
      <c r="CP21" s="454">
        <f>IF('SK-ratios'!CY24&gt;'SK-ratios'!$AC24,10,10*LOG(1+('SK-ratios'!$U24-1)*('SK-ratios'!CY24-'SK-ratios'!$Y24)/('SK-ratios'!$AC24-'SK-ratios'!$Y24))/LOG('SK-ratios'!$U24))</f>
        <v>3.4728893462067822</v>
      </c>
      <c r="CQ21" s="454">
        <f>IF('SK-ratios'!CZ24&gt;'SK-ratios'!$AC24,10,10*LOG(1+('SK-ratios'!$U24-1)*('SK-ratios'!CZ24-'SK-ratios'!$Y24)/('SK-ratios'!$AC24-'SK-ratios'!$Y24))/LOG('SK-ratios'!$U24))</f>
        <v>0.56318648998263898</v>
      </c>
      <c r="CR21" s="454">
        <f>IF('SK-ratios'!DA24&gt;'SK-ratios'!$AC24,10,10*LOG(1+('SK-ratios'!$U24-1)*('SK-ratios'!DA24-'SK-ratios'!$Y24)/('SK-ratios'!$AC24-'SK-ratios'!$Y24))/LOG('SK-ratios'!$U24))</f>
        <v>8.2789119764015666</v>
      </c>
      <c r="CS21" s="454">
        <f>IF('SK-ratios'!DB24&gt;'SK-ratios'!$AC24,10,10*LOG(1+('SK-ratios'!$U24-1)*('SK-ratios'!DB24-'SK-ratios'!$Y24)/('SK-ratios'!$AC24-'SK-ratios'!$Y24))/LOG('SK-ratios'!$U24))</f>
        <v>6.193202663847071</v>
      </c>
      <c r="CT21" s="454">
        <f>IF('SK-ratios'!DC24&gt;'SK-ratios'!$AC24,10,10*LOG(1+('SK-ratios'!$U24-1)*('SK-ratios'!DC24-'SK-ratios'!$Y24)/('SK-ratios'!$AC24-'SK-ratios'!$Y24))/LOG('SK-ratios'!$U24))</f>
        <v>3.6719409982053133</v>
      </c>
      <c r="CU21" s="454">
        <f>IF('SK-ratios'!DD24&gt;'SK-ratios'!$AC24,10,10*LOG(1+('SK-ratios'!$U24-1)*('SK-ratios'!DD24-'SK-ratios'!$Y24)/('SK-ratios'!$AC24-'SK-ratios'!$Y24))/LOG('SK-ratios'!$U24))</f>
        <v>4.3288672551907155</v>
      </c>
      <c r="CV21" s="454">
        <f>IF('SK-ratios'!DE24&gt;'SK-ratios'!$AC24,10,10*LOG(1+('SK-ratios'!$U24-1)*('SK-ratios'!DE24-'SK-ratios'!$Y24)/('SK-ratios'!$AC24-'SK-ratios'!$Y24))/LOG('SK-ratios'!$U24))</f>
        <v>4.0022692871404724</v>
      </c>
      <c r="CW21" s="454">
        <f>IF('SK-ratios'!DF24&gt;'SK-ratios'!$AC24,10,10*LOG(1+('SK-ratios'!$U24-1)*('SK-ratios'!DF24-'SK-ratios'!$Y24)/('SK-ratios'!$AC24-'SK-ratios'!$Y24))/LOG('SK-ratios'!$U24))</f>
        <v>2.9977876729570885</v>
      </c>
      <c r="CX21" s="454">
        <f>IF('SK-ratios'!DG24&gt;'SK-ratios'!$AC24,10,10*LOG(1+('SK-ratios'!$U24-1)*('SK-ratios'!DG24-'SK-ratios'!$Y24)/('SK-ratios'!$AC24-'SK-ratios'!$Y24))/LOG('SK-ratios'!$U24))</f>
        <v>3.8100724615076711</v>
      </c>
      <c r="CZ21" s="558"/>
      <c r="DA21" s="454">
        <f t="array" ref="DA21">SUMPRODUCT(IF(($W$3:$CX$3=DA$3)*($W$2:$CX$2=DA$2),$W21:$CX21),IF(($W$3:$CX$3=DA$3)*($W$2:$CX$2=DA$2),$W$36:$CX$36))/SUM(IF(($W$3:$CX$3=DA$3)*($W$2:$CX$2=DA$2),$W$36:$CX$36))</f>
        <v>6.7615783261807003</v>
      </c>
      <c r="DB21" s="454">
        <f t="array" ref="DB21">SUMPRODUCT(IF(($W$3:$CX$3=DB$3)*($W$2:$CX$2=DB$2),$W21:$CX21),IF(($W$3:$CX$3=DB$3)*($W$2:$CX$2=DB$2),$W$36:$CX$36))/SUM(IF(($W$3:$CX$3=DB$3)*($W$2:$CX$2=DB$2),$W$36:$CX$36))</f>
        <v>6.5455848424817766</v>
      </c>
      <c r="DC21" s="454">
        <f t="array" ref="DC21">SUMPRODUCT(IF(($W$3:$CX$3=DC$3)*($W$2:$CX$2=DC$2),$W21:$CX21),IF(($W$3:$CX$3=DC$3)*($W$2:$CX$2=DC$2),$W$36:$CX$36))/SUM(IF(($W$3:$CX$3=DC$3)*($W$2:$CX$2=DC$2),$W$36:$CX$36))</f>
        <v>5.1783537172715199</v>
      </c>
      <c r="DD21" s="454">
        <f t="array" ref="DD21">SUMPRODUCT(IF(($W$3:$CX$3=DD$3)*($W$2:$CX$2=DD$2),$W21:$CX21),IF(($W$3:$CX$3=DD$3)*($W$2:$CX$2=DD$2),$W$36:$CX$36))/SUM(IF(($W$3:$CX$3=DD$3)*($W$2:$CX$2=DD$2),$W$36:$CX$36))</f>
        <v>6.2579720045183711</v>
      </c>
      <c r="DE21" s="454">
        <f t="array" ref="DE21">SUMPRODUCT(IF(($W$3:$CX$3=DE$3)*($W$2:$CX$2=DE$2),$W21:$CX21),IF(($W$3:$CX$3=DE$3)*($W$2:$CX$2=DE$2),$W$36:$CX$36))/SUM(IF(($W$3:$CX$3=DE$3)*($W$2:$CX$2=DE$2),$W$36:$CX$36))</f>
        <v>3.9744041088869722</v>
      </c>
      <c r="DF21" s="454">
        <f t="array" ref="DF21">SUMPRODUCT(IF(($W$3:$CX$3=DF$3)*($W$2:$CX$2=DF$2),$W21:$CX21),IF(($W$3:$CX$3=DF$3)*($W$2:$CX$2=DF$2),$W$36:$CX$36))/SUM(IF(($W$3:$CX$3=DF$3)*($W$2:$CX$2=DF$2),$W$36:$CX$36))</f>
        <v>7.4049140315548092</v>
      </c>
      <c r="DG21" s="454">
        <f t="array" ref="DG21">SUMPRODUCT(IF(($W$3:$CX$3=DG$3)*($W$2:$CX$2=DG$2),$W21:$CX21),IF(($W$3:$CX$3=DG$3)*($W$2:$CX$2=DG$2),$W$36:$CX$36))/SUM(IF(($W$3:$CX$3=DG$3)*($W$2:$CX$2=DG$2),$W$36:$CX$36))</f>
        <v>4.3308913891668093</v>
      </c>
      <c r="DH21" s="454">
        <f t="array" ref="DH21">SUMPRODUCT(IF(($W$3:$CX$3=DH$3)*($W$2:$CX$2=DH$2),$W21:$CX21),IF(($W$3:$CX$3=DH$3)*($W$2:$CX$2=DH$2),$W$36:$CX$36))/SUM(IF(($W$3:$CX$3=DH$3)*($W$2:$CX$2=DH$2),$W$36:$CX$36))</f>
        <v>4.79247620396659</v>
      </c>
      <c r="DI21" s="454">
        <f t="array" ref="DI21">SUMPRODUCT(IF(($W$3:$CX$3=DI$3)*($W$2:$CX$2=DI$2),$W21:$CX21),IF(($W$3:$CX$3=DI$3)*($W$2:$CX$2=DI$2),$W$36:$CX$36))/SUM(IF(($W$3:$CX$3=DI$3)*($W$2:$CX$2=DI$2),$W$36:$CX$36))</f>
        <v>4.0849591037934383</v>
      </c>
      <c r="DJ21" s="454">
        <f t="array" ref="DJ21">SUMPRODUCT(IF(($W$3:$CX$3=DJ$3)*($W$2:$CX$2=DJ$2),$W21:$CX21),IF(($W$3:$CX$3=DJ$3)*($W$2:$CX$2=DJ$2),$W$36:$CX$36))/SUM(IF(($W$3:$CX$3=DJ$3)*($W$2:$CX$2=DJ$2),$W$36:$CX$36))</f>
        <v>3.3072399895153142</v>
      </c>
      <c r="DK21" s="454">
        <f t="array" ref="DK21">SUMPRODUCT(IF(($W$3:$CX$3=DK$3)*1,$W21:$CX21),IF(($W$3:$CX$3=DK$3)*1,$W$36:$CX$36))/SUM(IF(($W$3:$CX$3=DK$3)*1,$W$36:$CX$36))</f>
        <v>5.3268352983739211</v>
      </c>
      <c r="DL21" s="454">
        <f t="array" ref="DL21">SUMPRODUCT(IF(($W$3:$CX$3=DL$3)*1,$W21:$CX21),IF(($W$3:$CX$3=DL$3)*1,$W$36:$CX$36))/SUM(IF(($W$3:$CX$3=DL$3)*1,$W$36:$CX$36))</f>
        <v>4.9998532877850614</v>
      </c>
      <c r="DM21" s="454">
        <f t="array" ref="DM21">SUMPRODUCT(IF(($W$3:$CX$3=DM$3)*1,$W21:$CX21),IF(($W$3:$CX$3=DM$3)*1,$W$36:$CX$36))/SUM(IF(($W$3:$CX$3=DM$3)*1,$W$36:$CX$36))</f>
        <v>5.5619077159624695</v>
      </c>
      <c r="DN21" s="454">
        <f t="array" ref="DN21">SUMPRODUCT(IF(1*($W$2:$CX$2=DN$2),$W21:$CX21),IF(1*($W$2:$CX$2=DN$2),$W$36:$CX$36))/SUM(IF(1*($W$2:$CX$2=DN$2),$W$36:$CX$36))</f>
        <v>6.1764289174938245</v>
      </c>
      <c r="DO21" s="454">
        <f t="array" ref="DO21">SUMPRODUCT(IF(1*($W$2:$CX$2=DO$2),$W21:$CX21),IF(1*($W$2:$CX$2=DO$2),$W$36:$CX$36))/SUM(IF(1*($W$2:$CX$2=DO$2),$W$36:$CX$36))</f>
        <v>4.4154807411110957</v>
      </c>
      <c r="DP21" s="454">
        <f t="array" ref="DP21">SUMPRODUCT(IF(1*1,$W21:$CX21),IF(1*1,$W$36:$CX$36))/SUM(IF(1*1,$W$36:$CX$36))</f>
        <v>5.5026631694479811</v>
      </c>
    </row>
    <row r="22" spans="1:120" s="428" customFormat="1" ht="15.75" customHeight="1" thickBot="1" x14ac:dyDescent="0.3">
      <c r="A22" s="640"/>
      <c r="B22" s="634"/>
      <c r="C22" s="231">
        <f>'MD-ratings-year'!C22</f>
        <v>8.3333333333333329E-2</v>
      </c>
      <c r="D22" s="434" t="str">
        <f>'MD-ratings-year'!D22</f>
        <v>Quick Asset Ratio</v>
      </c>
      <c r="E22" s="437" t="str">
        <f>'MD-ratings-year'!E22</f>
        <v>Cash + Marketable Securities + Accounts Receivable) ÷ Current Liabilities</v>
      </c>
      <c r="F22" s="440" t="s">
        <v>400</v>
      </c>
      <c r="G22" s="653"/>
      <c r="I22" s="580">
        <f>'SK-ratios'!U25</f>
        <v>25.288244529129319</v>
      </c>
      <c r="K22" s="258">
        <f>'MD-ratings-year'!P22</f>
        <v>0</v>
      </c>
      <c r="L22" s="568">
        <f>'MD-ratings-year'!Q22</f>
        <v>0.51052771991818313</v>
      </c>
      <c r="M22" s="568">
        <f>'MD-ratings-year'!R22</f>
        <v>1.2132572801322747</v>
      </c>
      <c r="N22" s="568">
        <f>'MD-ratings-year'!S22</f>
        <v>2.8832777738882931</v>
      </c>
      <c r="O22" s="258">
        <f>'MD-ratings-year'!T22</f>
        <v>10.352387055368238</v>
      </c>
      <c r="P22" s="258"/>
      <c r="Q22" s="258"/>
      <c r="R22" s="258"/>
      <c r="S22" s="243"/>
      <c r="T22" s="243"/>
      <c r="U22" s="243"/>
      <c r="V22" s="252"/>
      <c r="W22" s="455">
        <f>IF('SK-ratios'!AF25&gt;'SK-ratios'!$AC25,10,10*LOG(1+('SK-ratios'!$U25-1)*('SK-ratios'!AF25-'SK-ratios'!$Y25)/('SK-ratios'!$AC25-'SK-ratios'!$Y25))/LOG('SK-ratios'!$U25))</f>
        <v>10</v>
      </c>
      <c r="X22" s="455">
        <f>IF('SK-ratios'!AG25&gt;'SK-ratios'!$AC25,10,10*LOG(1+('SK-ratios'!$U25-1)*('SK-ratios'!AG25-'SK-ratios'!$Y25)/('SK-ratios'!$AC25-'SK-ratios'!$Y25))/LOG('SK-ratios'!$U25))</f>
        <v>9.0091967593930722</v>
      </c>
      <c r="Y22" s="455">
        <f>IF('SK-ratios'!AH25&gt;'SK-ratios'!$AC25,10,10*LOG(1+('SK-ratios'!$U25-1)*('SK-ratios'!AH25-'SK-ratios'!$Y25)/('SK-ratios'!$AC25-'SK-ratios'!$Y25))/LOG('SK-ratios'!$U25))</f>
        <v>4.7810396307341998</v>
      </c>
      <c r="Z22" s="455">
        <f>IF('SK-ratios'!AI25&gt;'SK-ratios'!$AC25,10,10*LOG(1+('SK-ratios'!$U25-1)*('SK-ratios'!AI25-'SK-ratios'!$Y25)/('SK-ratios'!$AC25-'SK-ratios'!$Y25))/LOG('SK-ratios'!$U25))</f>
        <v>3.982134045624159</v>
      </c>
      <c r="AA22" s="455">
        <f>IF('SK-ratios'!AJ25&gt;'SK-ratios'!$AC25,10,10*LOG(1+('SK-ratios'!$U25-1)*('SK-ratios'!AJ25-'SK-ratios'!$Y25)/('SK-ratios'!$AC25-'SK-ratios'!$Y25))/LOG('SK-ratios'!$U25))</f>
        <v>2.7164949757307273</v>
      </c>
      <c r="AB22" s="455">
        <f>IF('SK-ratios'!AK25&gt;'SK-ratios'!$AC25,10,10*LOG(1+('SK-ratios'!$U25-1)*('SK-ratios'!AK25-'SK-ratios'!$Y25)/('SK-ratios'!$AC25-'SK-ratios'!$Y25))/LOG('SK-ratios'!$U25))</f>
        <v>4.6159625089230953</v>
      </c>
      <c r="AC22" s="455">
        <f>IF('SK-ratios'!AL25&gt;'SK-ratios'!$AC25,10,10*LOG(1+('SK-ratios'!$U25-1)*('SK-ratios'!AL25-'SK-ratios'!$Y25)/('SK-ratios'!$AC25-'SK-ratios'!$Y25))/LOG('SK-ratios'!$U25))</f>
        <v>6.5782371774838735</v>
      </c>
      <c r="AD22" s="455">
        <f>IF('SK-ratios'!AM25&gt;'SK-ratios'!$AC25,10,10*LOG(1+('SK-ratios'!$U25-1)*('SK-ratios'!AM25-'SK-ratios'!$Y25)/('SK-ratios'!$AC25-'SK-ratios'!$Y25))/LOG('SK-ratios'!$U25))</f>
        <v>5.0087022415984119</v>
      </c>
      <c r="AE22" s="455">
        <f>IF('SK-ratios'!AN25&gt;'SK-ratios'!$AC25,10,10*LOG(1+('SK-ratios'!$U25-1)*('SK-ratios'!AN25-'SK-ratios'!$Y25)/('SK-ratios'!$AC25-'SK-ratios'!$Y25))/LOG('SK-ratios'!$U25))</f>
        <v>5.0514407334059461</v>
      </c>
      <c r="AF22" s="455">
        <f>IF('SK-ratios'!AO25&gt;'SK-ratios'!$AC25,10,10*LOG(1+('SK-ratios'!$U25-1)*('SK-ratios'!AO25-'SK-ratios'!$Y25)/('SK-ratios'!$AC25-'SK-ratios'!$Y25))/LOG('SK-ratios'!$U25))</f>
        <v>4.1042653351761658</v>
      </c>
      <c r="AG22" s="455">
        <f>IF('SK-ratios'!AP25&gt;'SK-ratios'!$AC25,10,10*LOG(1+('SK-ratios'!$U25-1)*('SK-ratios'!AP25-'SK-ratios'!$Y25)/('SK-ratios'!$AC25-'SK-ratios'!$Y25))/LOG('SK-ratios'!$U25))</f>
        <v>5.876445198060507</v>
      </c>
      <c r="AH22" s="455">
        <f>IF('SK-ratios'!AQ25&gt;'SK-ratios'!$AC25,10,10*LOG(1+('SK-ratios'!$U25-1)*('SK-ratios'!AQ25-'SK-ratios'!$Y25)/('SK-ratios'!$AC25-'SK-ratios'!$Y25))/LOG('SK-ratios'!$U25))</f>
        <v>10</v>
      </c>
      <c r="AI22" s="455">
        <f>IF('SK-ratios'!AR25&gt;'SK-ratios'!$AC25,10,10*LOG(1+('SK-ratios'!$U25-1)*('SK-ratios'!AR25-'SK-ratios'!$Y25)/('SK-ratios'!$AC25-'SK-ratios'!$Y25))/LOG('SK-ratios'!$U25))</f>
        <v>3.9410917884390773</v>
      </c>
      <c r="AJ22" s="455">
        <f>IF('SK-ratios'!AS25&gt;'SK-ratios'!$AC25,10,10*LOG(1+('SK-ratios'!$U25-1)*('SK-ratios'!AS25-'SK-ratios'!$Y25)/('SK-ratios'!$AC25-'SK-ratios'!$Y25))/LOG('SK-ratios'!$U25))</f>
        <v>4.0778071946533538</v>
      </c>
      <c r="AK22" s="455">
        <f>IF('SK-ratios'!AT25&gt;'SK-ratios'!$AC25,10,10*LOG(1+('SK-ratios'!$U25-1)*('SK-ratios'!AT25-'SK-ratios'!$Y25)/('SK-ratios'!$AC25-'SK-ratios'!$Y25))/LOG('SK-ratios'!$U25))</f>
        <v>4.4792772680922717</v>
      </c>
      <c r="AL22" s="455">
        <f>IF('SK-ratios'!AU25&gt;'SK-ratios'!$AC25,10,10*LOG(1+('SK-ratios'!$U25-1)*('SK-ratios'!AU25-'SK-ratios'!$Y25)/('SK-ratios'!$AC25-'SK-ratios'!$Y25))/LOG('SK-ratios'!$U25))</f>
        <v>9.6431215563680848</v>
      </c>
      <c r="AM22" s="455">
        <f>IF('SK-ratios'!AV25&gt;'SK-ratios'!$AC25,10,10*LOG(1+('SK-ratios'!$U25-1)*('SK-ratios'!AV25-'SK-ratios'!$Y25)/('SK-ratios'!$AC25-'SK-ratios'!$Y25))/LOG('SK-ratios'!$U25))</f>
        <v>5.7483363745164722</v>
      </c>
      <c r="AN22" s="455">
        <f>IF('SK-ratios'!AW25&gt;'SK-ratios'!$AC25,10,10*LOG(1+('SK-ratios'!$U25-1)*('SK-ratios'!AW25-'SK-ratios'!$Y25)/('SK-ratios'!$AC25-'SK-ratios'!$Y25))/LOG('SK-ratios'!$U25))</f>
        <v>3.96550161516083</v>
      </c>
      <c r="AO22" s="455">
        <f>IF('SK-ratios'!AX25&gt;'SK-ratios'!$AC25,10,10*LOG(1+('SK-ratios'!$U25-1)*('SK-ratios'!AX25-'SK-ratios'!$Y25)/('SK-ratios'!$AC25-'SK-ratios'!$Y25))/LOG('SK-ratios'!$U25))</f>
        <v>4.9531571597089492</v>
      </c>
      <c r="AP22" s="455">
        <f>IF('SK-ratios'!AY25&gt;'SK-ratios'!$AC25,10,10*LOG(1+('SK-ratios'!$U25-1)*('SK-ratios'!AY25-'SK-ratios'!$Y25)/('SK-ratios'!$AC25-'SK-ratios'!$Y25))/LOG('SK-ratios'!$U25))</f>
        <v>3.903363349198969</v>
      </c>
      <c r="AQ22" s="455">
        <f>IF('SK-ratios'!AZ25&gt;'SK-ratios'!$AC25,10,10*LOG(1+('SK-ratios'!$U25-1)*('SK-ratios'!AZ25-'SK-ratios'!$Y25)/('SK-ratios'!$AC25-'SK-ratios'!$Y25))/LOG('SK-ratios'!$U25))</f>
        <v>10</v>
      </c>
      <c r="AR22" s="455">
        <f>IF('SK-ratios'!BA25&gt;'SK-ratios'!$AC25,10,10*LOG(1+('SK-ratios'!$U25-1)*('SK-ratios'!BA25-'SK-ratios'!$Y25)/('SK-ratios'!$AC25-'SK-ratios'!$Y25))/LOG('SK-ratios'!$U25))</f>
        <v>7.2822924591632541</v>
      </c>
      <c r="AS22" s="455">
        <f>IF('SK-ratios'!BB25&gt;'SK-ratios'!$AC25,10,10*LOG(1+('SK-ratios'!$U25-1)*('SK-ratios'!BB25-'SK-ratios'!$Y25)/('SK-ratios'!$AC25-'SK-ratios'!$Y25))/LOG('SK-ratios'!$U25))</f>
        <v>5.488933127436133</v>
      </c>
      <c r="AT22" s="455">
        <f>IF('SK-ratios'!BC25&gt;'SK-ratios'!$AC25,10,10*LOG(1+('SK-ratios'!$U25-1)*('SK-ratios'!BC25-'SK-ratios'!$Y25)/('SK-ratios'!$AC25-'SK-ratios'!$Y25))/LOG('SK-ratios'!$U25))</f>
        <v>3.6749520514913168</v>
      </c>
      <c r="AU22" s="455">
        <f>IF('SK-ratios'!BD25&gt;'SK-ratios'!$AC25,10,10*LOG(1+('SK-ratios'!$U25-1)*('SK-ratios'!BD25-'SK-ratios'!$Y25)/('SK-ratios'!$AC25-'SK-ratios'!$Y25))/LOG('SK-ratios'!$U25))</f>
        <v>3.5641392375533556</v>
      </c>
      <c r="AV22" s="455">
        <f>IF('SK-ratios'!BE25&gt;'SK-ratios'!$AC25,10,10*LOG(1+('SK-ratios'!$U25-1)*('SK-ratios'!BE25-'SK-ratios'!$Y25)/('SK-ratios'!$AC25-'SK-ratios'!$Y25))/LOG('SK-ratios'!$U25))</f>
        <v>10</v>
      </c>
      <c r="AW22" s="455">
        <f>IF('SK-ratios'!BF25&gt;'SK-ratios'!$AC25,10,10*LOG(1+('SK-ratios'!$U25-1)*('SK-ratios'!BF25-'SK-ratios'!$Y25)/('SK-ratios'!$AC25-'SK-ratios'!$Y25))/LOG('SK-ratios'!$U25))</f>
        <v>6.3632106393928121</v>
      </c>
      <c r="AX22" s="455">
        <f>IF('SK-ratios'!BG25&gt;'SK-ratios'!$AC25,10,10*LOG(1+('SK-ratios'!$U25-1)*('SK-ratios'!BG25-'SK-ratios'!$Y25)/('SK-ratios'!$AC25-'SK-ratios'!$Y25))/LOG('SK-ratios'!$U25))</f>
        <v>1.2301442463005658</v>
      </c>
      <c r="AY22" s="455">
        <f>IF('SK-ratios'!BH25&gt;'SK-ratios'!$AC25,10,10*LOG(1+('SK-ratios'!$U25-1)*('SK-ratios'!BH25-'SK-ratios'!$Y25)/('SK-ratios'!$AC25-'SK-ratios'!$Y25))/LOG('SK-ratios'!$U25))</f>
        <v>6.2491980964161655</v>
      </c>
      <c r="AZ22" s="455">
        <f>IF('SK-ratios'!BI25&gt;'SK-ratios'!$AC25,10,10*LOG(1+('SK-ratios'!$U25-1)*('SK-ratios'!BI25-'SK-ratios'!$Y25)/('SK-ratios'!$AC25-'SK-ratios'!$Y25))/LOG('SK-ratios'!$U25))</f>
        <v>6.3968579972450996</v>
      </c>
      <c r="BA22" s="455">
        <f>IF('SK-ratios'!BJ25&gt;'SK-ratios'!$AC25,10,10*LOG(1+('SK-ratios'!$U25-1)*('SK-ratios'!BJ25-'SK-ratios'!$Y25)/('SK-ratios'!$AC25-'SK-ratios'!$Y25))/LOG('SK-ratios'!$U25))</f>
        <v>0.31181346774432839</v>
      </c>
      <c r="BB22" s="455">
        <f>IF('SK-ratios'!BK25&gt;'SK-ratios'!$AC25,10,10*LOG(1+('SK-ratios'!$U25-1)*('SK-ratios'!BK25-'SK-ratios'!$Y25)/('SK-ratios'!$AC25-'SK-ratios'!$Y25))/LOG('SK-ratios'!$U25))</f>
        <v>7.9809162548993138</v>
      </c>
      <c r="BC22" s="455">
        <f>IF('SK-ratios'!BL25&gt;'SK-ratios'!$AC25,10,10*LOG(1+('SK-ratios'!$U25-1)*('SK-ratios'!BL25-'SK-ratios'!$Y25)/('SK-ratios'!$AC25-'SK-ratios'!$Y25))/LOG('SK-ratios'!$U25))</f>
        <v>5.0240205707432226</v>
      </c>
      <c r="BD22" s="455">
        <f>IF('SK-ratios'!BM25&gt;'SK-ratios'!$AC25,10,10*LOG(1+('SK-ratios'!$U25-1)*('SK-ratios'!BM25-'SK-ratios'!$Y25)/('SK-ratios'!$AC25-'SK-ratios'!$Y25))/LOG('SK-ratios'!$U25))</f>
        <v>6.2854952830667656</v>
      </c>
      <c r="BE22" s="455">
        <f>IF('SK-ratios'!BN25&gt;'SK-ratios'!$AC25,10,10*LOG(1+('SK-ratios'!$U25-1)*('SK-ratios'!BN25-'SK-ratios'!$Y25)/('SK-ratios'!$AC25-'SK-ratios'!$Y25))/LOG('SK-ratios'!$U25))</f>
        <v>6.8100727818116882</v>
      </c>
      <c r="BF22" s="455">
        <f>IF('SK-ratios'!BO25&gt;'SK-ratios'!$AC25,10,10*LOG(1+('SK-ratios'!$U25-1)*('SK-ratios'!BO25-'SK-ratios'!$Y25)/('SK-ratios'!$AC25-'SK-ratios'!$Y25))/LOG('SK-ratios'!$U25))</f>
        <v>7.7524217075505168</v>
      </c>
      <c r="BG22" s="455">
        <f>IF('SK-ratios'!BP25&gt;'SK-ratios'!$AC25,10,10*LOG(1+('SK-ratios'!$U25-1)*('SK-ratios'!BP25-'SK-ratios'!$Y25)/('SK-ratios'!$AC25-'SK-ratios'!$Y25))/LOG('SK-ratios'!$U25))</f>
        <v>5.9464377796271126</v>
      </c>
      <c r="BH22" s="455">
        <f>IF('SK-ratios'!BQ25&gt;'SK-ratios'!$AC25,10,10*LOG(1+('SK-ratios'!$U25-1)*('SK-ratios'!BQ25-'SK-ratios'!$Y25)/('SK-ratios'!$AC25-'SK-ratios'!$Y25))/LOG('SK-ratios'!$U25))</f>
        <v>4.6486862280450731</v>
      </c>
      <c r="BI22" s="455">
        <f>IF('SK-ratios'!BR25&gt;'SK-ratios'!$AC25,10,10*LOG(1+('SK-ratios'!$U25-1)*('SK-ratios'!BR25-'SK-ratios'!$Y25)/('SK-ratios'!$AC25-'SK-ratios'!$Y25))/LOG('SK-ratios'!$U25))</f>
        <v>2.7717416579664516</v>
      </c>
      <c r="BJ22" s="455">
        <f>IF('SK-ratios'!BS25&gt;'SK-ratios'!$AC25,10,10*LOG(1+('SK-ratios'!$U25-1)*('SK-ratios'!BS25-'SK-ratios'!$Y25)/('SK-ratios'!$AC25-'SK-ratios'!$Y25))/LOG('SK-ratios'!$U25))</f>
        <v>4.160449771394866</v>
      </c>
      <c r="BK22" s="455">
        <f>IF('SK-ratios'!BT25&gt;'SK-ratios'!$AC25,10,10*LOG(1+('SK-ratios'!$U25-1)*('SK-ratios'!BT25-'SK-ratios'!$Y25)/('SK-ratios'!$AC25-'SK-ratios'!$Y25))/LOG('SK-ratios'!$U25))</f>
        <v>2.5530734121013383</v>
      </c>
      <c r="BL22" s="455">
        <f>IF('SK-ratios'!BU25&gt;'SK-ratios'!$AC25,10,10*LOG(1+('SK-ratios'!$U25-1)*('SK-ratios'!BU25-'SK-ratios'!$Y25)/('SK-ratios'!$AC25-'SK-ratios'!$Y25))/LOG('SK-ratios'!$U25))</f>
        <v>3.0616349915082455</v>
      </c>
      <c r="BM22" s="455">
        <f>IF('SK-ratios'!BV25&gt;'SK-ratios'!$AC25,10,10*LOG(1+('SK-ratios'!$U25-1)*('SK-ratios'!BV25-'SK-ratios'!$Y25)/('SK-ratios'!$AC25-'SK-ratios'!$Y25))/LOG('SK-ratios'!$U25))</f>
        <v>9.8430803525694692</v>
      </c>
      <c r="BN22" s="455">
        <f>IF('SK-ratios'!BW25&gt;'SK-ratios'!$AC25,10,10*LOG(1+('SK-ratios'!$U25-1)*('SK-ratios'!BW25-'SK-ratios'!$Y25)/('SK-ratios'!$AC25-'SK-ratios'!$Y25))/LOG('SK-ratios'!$U25))</f>
        <v>4.795466488902969</v>
      </c>
      <c r="BO22" s="455">
        <f>IF('SK-ratios'!BX25&gt;'SK-ratios'!$AC25,10,10*LOG(1+('SK-ratios'!$U25-1)*('SK-ratios'!BX25-'SK-ratios'!$Y25)/('SK-ratios'!$AC25-'SK-ratios'!$Y25))/LOG('SK-ratios'!$U25))</f>
        <v>5.1865899552913053</v>
      </c>
      <c r="BP22" s="455">
        <f>IF('SK-ratios'!BY25&gt;'SK-ratios'!$AC25,10,10*LOG(1+('SK-ratios'!$U25-1)*('SK-ratios'!BY25-'SK-ratios'!$Y25)/('SK-ratios'!$AC25-'SK-ratios'!$Y25))/LOG('SK-ratios'!$U25))</f>
        <v>2.6522437315046585</v>
      </c>
      <c r="BQ22" s="455">
        <f>IF('SK-ratios'!BZ25&gt;'SK-ratios'!$AC25,10,10*LOG(1+('SK-ratios'!$U25-1)*('SK-ratios'!BZ25-'SK-ratios'!$Y25)/('SK-ratios'!$AC25-'SK-ratios'!$Y25))/LOG('SK-ratios'!$U25))</f>
        <v>9.2976082631325649</v>
      </c>
      <c r="BR22" s="455">
        <f>IF('SK-ratios'!CA25&gt;'SK-ratios'!$AC25,10,10*LOG(1+('SK-ratios'!$U25-1)*('SK-ratios'!CA25-'SK-ratios'!$Y25)/('SK-ratios'!$AC25-'SK-ratios'!$Y25))/LOG('SK-ratios'!$U25))</f>
        <v>10</v>
      </c>
      <c r="BS22" s="455">
        <f>IF('SK-ratios'!CB25&gt;'SK-ratios'!$AC25,10,10*LOG(1+('SK-ratios'!$U25-1)*('SK-ratios'!CB25-'SK-ratios'!$Y25)/('SK-ratios'!$AC25-'SK-ratios'!$Y25))/LOG('SK-ratios'!$U25))</f>
        <v>3.4086432734650804</v>
      </c>
      <c r="BT22" s="455">
        <f>IF('SK-ratios'!CC25&gt;'SK-ratios'!$AC25,10,10*LOG(1+('SK-ratios'!$U25-1)*('SK-ratios'!CC25-'SK-ratios'!$Y25)/('SK-ratios'!$AC25-'SK-ratios'!$Y25))/LOG('SK-ratios'!$U25))</f>
        <v>2.6144037712485129</v>
      </c>
      <c r="BU22" s="455">
        <f>IF('SK-ratios'!CD25&gt;'SK-ratios'!$AC25,10,10*LOG(1+('SK-ratios'!$U25-1)*('SK-ratios'!CD25-'SK-ratios'!$Y25)/('SK-ratios'!$AC25-'SK-ratios'!$Y25))/LOG('SK-ratios'!$U25))</f>
        <v>4.6597053270805526</v>
      </c>
      <c r="BV22" s="455">
        <f>IF('SK-ratios'!CE25&gt;'SK-ratios'!$AC25,10,10*LOG(1+('SK-ratios'!$U25-1)*('SK-ratios'!CE25-'SK-ratios'!$Y25)/('SK-ratios'!$AC25-'SK-ratios'!$Y25))/LOG('SK-ratios'!$U25))</f>
        <v>10</v>
      </c>
      <c r="BW22" s="455">
        <f>IF('SK-ratios'!CF25&gt;'SK-ratios'!$AC25,10,10*LOG(1+('SK-ratios'!$U25-1)*('SK-ratios'!CF25-'SK-ratios'!$Y25)/('SK-ratios'!$AC25-'SK-ratios'!$Y25))/LOG('SK-ratios'!$U25))</f>
        <v>4.0861209800461111</v>
      </c>
      <c r="BX22" s="455">
        <f>IF('SK-ratios'!CG25&gt;'SK-ratios'!$AC25,10,10*LOG(1+('SK-ratios'!$U25-1)*('SK-ratios'!CG25-'SK-ratios'!$Y25)/('SK-ratios'!$AC25-'SK-ratios'!$Y25))/LOG('SK-ratios'!$U25))</f>
        <v>2.7205739703555487</v>
      </c>
      <c r="BY22" s="455">
        <f>IF('SK-ratios'!CH25&gt;'SK-ratios'!$AC25,10,10*LOG(1+('SK-ratios'!$U25-1)*('SK-ratios'!CH25-'SK-ratios'!$Y25)/('SK-ratios'!$AC25-'SK-ratios'!$Y25))/LOG('SK-ratios'!$U25))</f>
        <v>5.9841685955797672</v>
      </c>
      <c r="BZ22" s="455">
        <f>IF('SK-ratios'!CI25&gt;'SK-ratios'!$AC25,10,10*LOG(1+('SK-ratios'!$U25-1)*('SK-ratios'!CI25-'SK-ratios'!$Y25)/('SK-ratios'!$AC25-'SK-ratios'!$Y25))/LOG('SK-ratios'!$U25))</f>
        <v>5.8445903832702859</v>
      </c>
      <c r="CA22" s="455">
        <f>IF('SK-ratios'!CJ25&gt;'SK-ratios'!$AC25,10,10*LOG(1+('SK-ratios'!$U25-1)*('SK-ratios'!CJ25-'SK-ratios'!$Y25)/('SK-ratios'!$AC25-'SK-ratios'!$Y25))/LOG('SK-ratios'!$U25))</f>
        <v>4.4337229446345212</v>
      </c>
      <c r="CB22" s="455">
        <f>IF('SK-ratios'!CK25&gt;'SK-ratios'!$AC25,10,10*LOG(1+('SK-ratios'!$U25-1)*('SK-ratios'!CK25-'SK-ratios'!$Y25)/('SK-ratios'!$AC25-'SK-ratios'!$Y25))/LOG('SK-ratios'!$U25))</f>
        <v>9.841287382737125</v>
      </c>
      <c r="CC22" s="455">
        <f>IF('SK-ratios'!CL25&gt;'SK-ratios'!$AC25,10,10*LOG(1+('SK-ratios'!$U25-1)*('SK-ratios'!CL25-'SK-ratios'!$Y25)/('SK-ratios'!$AC25-'SK-ratios'!$Y25))/LOG('SK-ratios'!$U25))</f>
        <v>8.9908972475868154</v>
      </c>
      <c r="CD22" s="455">
        <f>IF('SK-ratios'!CM25&gt;'SK-ratios'!$AC25,10,10*LOG(1+('SK-ratios'!$U25-1)*('SK-ratios'!CM25-'SK-ratios'!$Y25)/('SK-ratios'!$AC25-'SK-ratios'!$Y25))/LOG('SK-ratios'!$U25))</f>
        <v>3.8700253739206265</v>
      </c>
      <c r="CE22" s="455">
        <f>IF('SK-ratios'!CN25&gt;'SK-ratios'!$AC25,10,10*LOG(1+('SK-ratios'!$U25-1)*('SK-ratios'!CN25-'SK-ratios'!$Y25)/('SK-ratios'!$AC25-'SK-ratios'!$Y25))/LOG('SK-ratios'!$U25))</f>
        <v>5.6944117428157295</v>
      </c>
      <c r="CF22" s="455">
        <f>IF('SK-ratios'!CO25&gt;'SK-ratios'!$AC25,10,10*LOG(1+('SK-ratios'!$U25-1)*('SK-ratios'!CO25-'SK-ratios'!$Y25)/('SK-ratios'!$AC25-'SK-ratios'!$Y25))/LOG('SK-ratios'!$U25))</f>
        <v>9.5449788741934967</v>
      </c>
      <c r="CG22" s="455">
        <f>IF('SK-ratios'!CP25&gt;'SK-ratios'!$AC25,10,10*LOG(1+('SK-ratios'!$U25-1)*('SK-ratios'!CP25-'SK-ratios'!$Y25)/('SK-ratios'!$AC25-'SK-ratios'!$Y25))/LOG('SK-ratios'!$U25))</f>
        <v>7.014994523794325</v>
      </c>
      <c r="CH22" s="455">
        <f>IF('SK-ratios'!CQ25&gt;'SK-ratios'!$AC25,10,10*LOG(1+('SK-ratios'!$U25-1)*('SK-ratios'!CQ25-'SK-ratios'!$Y25)/('SK-ratios'!$AC25-'SK-ratios'!$Y25))/LOG('SK-ratios'!$U25))</f>
        <v>7.6798054575769061</v>
      </c>
      <c r="CI22" s="455">
        <f>IF('SK-ratios'!CR25&gt;'SK-ratios'!$AC25,10,10*LOG(1+('SK-ratios'!$U25-1)*('SK-ratios'!CR25-'SK-ratios'!$Y25)/('SK-ratios'!$AC25-'SK-ratios'!$Y25))/LOG('SK-ratios'!$U25))</f>
        <v>7.5305902984172226</v>
      </c>
      <c r="CJ22" s="455">
        <f>IF('SK-ratios'!CS25&gt;'SK-ratios'!$AC25,10,10*LOG(1+('SK-ratios'!$U25-1)*('SK-ratios'!CS25-'SK-ratios'!$Y25)/('SK-ratios'!$AC25-'SK-ratios'!$Y25))/LOG('SK-ratios'!$U25))</f>
        <v>7.0384570831601048</v>
      </c>
      <c r="CK22" s="455">
        <f>IF('SK-ratios'!CT25&gt;'SK-ratios'!$AC25,10,10*LOG(1+('SK-ratios'!$U25-1)*('SK-ratios'!CT25-'SK-ratios'!$Y25)/('SK-ratios'!$AC25-'SK-ratios'!$Y25))/LOG('SK-ratios'!$U25))</f>
        <v>7.285600762839116</v>
      </c>
      <c r="CL22" s="455">
        <f>IF('SK-ratios'!CU25&gt;'SK-ratios'!$AC25,10,10*LOG(1+('SK-ratios'!$U25-1)*('SK-ratios'!CU25-'SK-ratios'!$Y25)/('SK-ratios'!$AC25-'SK-ratios'!$Y25))/LOG('SK-ratios'!$U25))</f>
        <v>4.3340269079302596</v>
      </c>
      <c r="CM22" s="455">
        <f>IF('SK-ratios'!CV25&gt;'SK-ratios'!$AC25,10,10*LOG(1+('SK-ratios'!$U25-1)*('SK-ratios'!CV25-'SK-ratios'!$Y25)/('SK-ratios'!$AC25-'SK-ratios'!$Y25))/LOG('SK-ratios'!$U25))</f>
        <v>8.2830400944786469</v>
      </c>
      <c r="CN22" s="455">
        <f>IF('SK-ratios'!CW25&gt;'SK-ratios'!$AC25,10,10*LOG(1+('SK-ratios'!$U25-1)*('SK-ratios'!CW25-'SK-ratios'!$Y25)/('SK-ratios'!$AC25-'SK-ratios'!$Y25))/LOG('SK-ratios'!$U25))</f>
        <v>10</v>
      </c>
      <c r="CO22" s="455">
        <f>IF('SK-ratios'!CX25&gt;'SK-ratios'!$AC25,10,10*LOG(1+('SK-ratios'!$U25-1)*('SK-ratios'!CX25-'SK-ratios'!$Y25)/('SK-ratios'!$AC25-'SK-ratios'!$Y25))/LOG('SK-ratios'!$U25))</f>
        <v>3.2503707240581692</v>
      </c>
      <c r="CP22" s="455">
        <f>IF('SK-ratios'!CY25&gt;'SK-ratios'!$AC25,10,10*LOG(1+('SK-ratios'!$U25-1)*('SK-ratios'!CY25-'SK-ratios'!$Y25)/('SK-ratios'!$AC25-'SK-ratios'!$Y25))/LOG('SK-ratios'!$U25))</f>
        <v>3.2788017669847425</v>
      </c>
      <c r="CQ22" s="455">
        <f>IF('SK-ratios'!CZ25&gt;'SK-ratios'!$AC25,10,10*LOG(1+('SK-ratios'!$U25-1)*('SK-ratios'!CZ25-'SK-ratios'!$Y25)/('SK-ratios'!$AC25-'SK-ratios'!$Y25))/LOG('SK-ratios'!$U25))</f>
        <v>0.59806625365821708</v>
      </c>
      <c r="CR22" s="455">
        <f>IF('SK-ratios'!DA25&gt;'SK-ratios'!$AC25,10,10*LOG(1+('SK-ratios'!$U25-1)*('SK-ratios'!DA25-'SK-ratios'!$Y25)/('SK-ratios'!$AC25-'SK-ratios'!$Y25))/LOG('SK-ratios'!$U25))</f>
        <v>8.3418167564358825</v>
      </c>
      <c r="CS22" s="455">
        <f>IF('SK-ratios'!DB25&gt;'SK-ratios'!$AC25,10,10*LOG(1+('SK-ratios'!$U25-1)*('SK-ratios'!DB25-'SK-ratios'!$Y25)/('SK-ratios'!$AC25-'SK-ratios'!$Y25))/LOG('SK-ratios'!$U25))</f>
        <v>6.2107507983775765</v>
      </c>
      <c r="CT22" s="455">
        <f>IF('SK-ratios'!DC25&gt;'SK-ratios'!$AC25,10,10*LOG(1+('SK-ratios'!$U25-1)*('SK-ratios'!DC25-'SK-ratios'!$Y25)/('SK-ratios'!$AC25-'SK-ratios'!$Y25))/LOG('SK-ratios'!$U25))</f>
        <v>3.816143090022508</v>
      </c>
      <c r="CU22" s="455">
        <f>IF('SK-ratios'!DD25&gt;'SK-ratios'!$AC25,10,10*LOG(1+('SK-ratios'!$U25-1)*('SK-ratios'!DD25-'SK-ratios'!$Y25)/('SK-ratios'!$AC25-'SK-ratios'!$Y25))/LOG('SK-ratios'!$U25))</f>
        <v>4.4339932634508168</v>
      </c>
      <c r="CV22" s="455">
        <f>IF('SK-ratios'!DE25&gt;'SK-ratios'!$AC25,10,10*LOG(1+('SK-ratios'!$U25-1)*('SK-ratios'!DE25-'SK-ratios'!$Y25)/('SK-ratios'!$AC25-'SK-ratios'!$Y25))/LOG('SK-ratios'!$U25))</f>
        <v>4.0040653638706933</v>
      </c>
      <c r="CW22" s="455">
        <f>IF('SK-ratios'!DF25&gt;'SK-ratios'!$AC25,10,10*LOG(1+('SK-ratios'!$U25-1)*('SK-ratios'!DF25-'SK-ratios'!$Y25)/('SK-ratios'!$AC25-'SK-ratios'!$Y25))/LOG('SK-ratios'!$U25))</f>
        <v>2.8828640989133247</v>
      </c>
      <c r="CX22" s="455">
        <f>IF('SK-ratios'!DG25&gt;'SK-ratios'!$AC25,10,10*LOG(1+('SK-ratios'!$U25-1)*('SK-ratios'!DG25-'SK-ratios'!$Y25)/('SK-ratios'!$AC25-'SK-ratios'!$Y25))/LOG('SK-ratios'!$U25))</f>
        <v>3.6661458521522348</v>
      </c>
      <c r="CZ22" s="546"/>
      <c r="DA22" s="455">
        <f t="array" ref="DA22">SUMPRODUCT(IF(($W$3:$CX$3=DA$3)*($W$2:$CX$2=DA$2),$W22:$CX22),IF(($W$3:$CX$3=DA$3)*($W$2:$CX$2=DA$2),$W$36:$CX$36))/SUM(IF(($W$3:$CX$3=DA$3)*($W$2:$CX$2=DA$2),$W$36:$CX$36))</f>
        <v>6.3177064620759351</v>
      </c>
      <c r="DB22" s="455">
        <f t="array" ref="DB22">SUMPRODUCT(IF(($W$3:$CX$3=DB$3)*($W$2:$CX$2=DB$2),$W22:$CX22),IF(($W$3:$CX$3=DB$3)*($W$2:$CX$2=DB$2),$W$36:$CX$36))/SUM(IF(($W$3:$CX$3=DB$3)*($W$2:$CX$2=DB$2),$W$36:$CX$36))</f>
        <v>6.5714775147109519</v>
      </c>
      <c r="DC22" s="455">
        <f t="array" ref="DC22">SUMPRODUCT(IF(($W$3:$CX$3=DC$3)*($W$2:$CX$2=DC$2),$W22:$CX22),IF(($W$3:$CX$3=DC$3)*($W$2:$CX$2=DC$2),$W$36:$CX$36))/SUM(IF(($W$3:$CX$3=DC$3)*($W$2:$CX$2=DC$2),$W$36:$CX$36))</f>
        <v>5.2037928691877937</v>
      </c>
      <c r="DD22" s="455">
        <f t="array" ref="DD22">SUMPRODUCT(IF(($W$3:$CX$3=DD$3)*($W$2:$CX$2=DD$2),$W22:$CX22),IF(($W$3:$CX$3=DD$3)*($W$2:$CX$2=DD$2),$W$36:$CX$36))/SUM(IF(($W$3:$CX$3=DD$3)*($W$2:$CX$2=DD$2),$W$36:$CX$36))</f>
        <v>6.1712085455470227</v>
      </c>
      <c r="DE22" s="455">
        <f t="array" ref="DE22">SUMPRODUCT(IF(($W$3:$CX$3=DE$3)*($W$2:$CX$2=DE$2),$W22:$CX22),IF(($W$3:$CX$3=DE$3)*($W$2:$CX$2=DE$2),$W$36:$CX$36))/SUM(IF(($W$3:$CX$3=DE$3)*($W$2:$CX$2=DE$2),$W$36:$CX$36))</f>
        <v>4.0855042849465617</v>
      </c>
      <c r="DF22" s="455">
        <f t="array" ref="DF22">SUMPRODUCT(IF(($W$3:$CX$3=DF$3)*($W$2:$CX$2=DF$2),$W22:$CX22),IF(($W$3:$CX$3=DF$3)*($W$2:$CX$2=DF$2),$W$36:$CX$36))/SUM(IF(($W$3:$CX$3=DF$3)*($W$2:$CX$2=DF$2),$W$36:$CX$36))</f>
        <v>7.1664440961434686</v>
      </c>
      <c r="DG22" s="455">
        <f t="array" ref="DG22">SUMPRODUCT(IF(($W$3:$CX$3=DG$3)*($W$2:$CX$2=DG$2),$W22:$CX22),IF(($W$3:$CX$3=DG$3)*($W$2:$CX$2=DG$2),$W$36:$CX$36))/SUM(IF(($W$3:$CX$3=DG$3)*($W$2:$CX$2=DG$2),$W$36:$CX$36))</f>
        <v>4.0748039533217213</v>
      </c>
      <c r="DH22" s="455">
        <f t="array" ref="DH22">SUMPRODUCT(IF(($W$3:$CX$3=DH$3)*($W$2:$CX$2=DH$2),$W22:$CX22),IF(($W$3:$CX$3=DH$3)*($W$2:$CX$2=DH$2),$W$36:$CX$36))/SUM(IF(($W$3:$CX$3=DH$3)*($W$2:$CX$2=DH$2),$W$36:$CX$36))</f>
        <v>4.8850079973377794</v>
      </c>
      <c r="DI22" s="455">
        <f t="array" ref="DI22">SUMPRODUCT(IF(($W$3:$CX$3=DI$3)*($W$2:$CX$2=DI$2),$W22:$CX22),IF(($W$3:$CX$3=DI$3)*($W$2:$CX$2=DI$2),$W$36:$CX$36))/SUM(IF(($W$3:$CX$3=DI$3)*($W$2:$CX$2=DI$2),$W$36:$CX$36))</f>
        <v>3.9625436714568201</v>
      </c>
      <c r="DJ22" s="455">
        <f t="array" ref="DJ22">SUMPRODUCT(IF(($W$3:$CX$3=DJ$3)*($W$2:$CX$2=DJ$2),$W22:$CX22),IF(($W$3:$CX$3=DJ$3)*($W$2:$CX$2=DJ$2),$W$36:$CX$36))/SUM(IF(($W$3:$CX$3=DJ$3)*($W$2:$CX$2=DJ$2),$W$36:$CX$36))</f>
        <v>3.3555193936764174</v>
      </c>
      <c r="DK22" s="455">
        <f t="array" ref="DK22">SUMPRODUCT(IF(($W$3:$CX$3=DK$3)*1,$W22:$CX22),IF(($W$3:$CX$3=DK$3)*1,$W$36:$CX$36))/SUM(IF(($W$3:$CX$3=DK$3)*1,$W$36:$CX$36))</f>
        <v>5.1975538413579896</v>
      </c>
      <c r="DL22" s="455">
        <f t="array" ref="DL22">SUMPRODUCT(IF(($W$3:$CX$3=DL$3)*1,$W22:$CX22),IF(($W$3:$CX$3=DL$3)*1,$W$36:$CX$36))/SUM(IF(($W$3:$CX$3=DL$3)*1,$W$36:$CX$36))</f>
        <v>5.0563283640611445</v>
      </c>
      <c r="DM22" s="455">
        <f t="array" ref="DM22">SUMPRODUCT(IF(($W$3:$CX$3=DM$3)*1,$W22:$CX22),IF(($W$3:$CX$3=DM$3)*1,$W$36:$CX$36))/SUM(IF(($W$3:$CX$3=DM$3)*1,$W$36:$CX$36))</f>
        <v>5.4637241381930091</v>
      </c>
      <c r="DN22" s="455">
        <f t="array" ref="DN22">SUMPRODUCT(IF(1*($W$2:$CX$2=DN$2),$W22:$CX22),IF(1*($W$2:$CX$2=DN$2),$W$36:$CX$36))/SUM(IF(1*($W$2:$CX$2=DN$2),$W$36:$CX$36))</f>
        <v>6.0984677011462463</v>
      </c>
      <c r="DO22" s="455">
        <f t="array" ref="DO22">SUMPRODUCT(IF(1*($W$2:$CX$2=DO$2),$W22:$CX22),IF(1*($W$2:$CX$2=DO$2),$W$36:$CX$36))/SUM(IF(1*($W$2:$CX$2=DO$2),$W$36:$CX$36))</f>
        <v>4.3184175539212184</v>
      </c>
      <c r="DP22" s="455">
        <f t="array" ref="DP22">SUMPRODUCT(IF(1*1,$W22:$CX22),IF(1*1,$W$36:$CX$36))/SUM(IF(1*1,$W$36:$CX$36))</f>
        <v>5.4173932464352488</v>
      </c>
    </row>
    <row r="23" spans="1:120" s="428" customFormat="1" ht="15.75" customHeight="1" thickBot="1" x14ac:dyDescent="0.3">
      <c r="A23" s="640"/>
      <c r="B23" s="634"/>
      <c r="C23" s="235">
        <f>'MD-ratings-year'!C23</f>
        <v>8.3333333333333329E-2</v>
      </c>
      <c r="D23" s="434" t="str">
        <f>'MD-ratings-year'!D23</f>
        <v>Cash Position Ratio</v>
      </c>
      <c r="E23" s="437" t="str">
        <f>'MD-ratings-year'!E23</f>
        <v>Cash ÷ Current Liabilities</v>
      </c>
      <c r="F23" s="440" t="s">
        <v>400</v>
      </c>
      <c r="G23" s="653"/>
      <c r="I23" s="580">
        <f>'SK-ratios'!U26</f>
        <v>61.244236598546493</v>
      </c>
      <c r="K23" s="258">
        <f>'MD-ratings-year'!P23</f>
        <v>0</v>
      </c>
      <c r="L23" s="568">
        <f>'MD-ratings-year'!Q23</f>
        <v>0.15270896624519492</v>
      </c>
      <c r="M23" s="568">
        <f>'MD-ratings-year'!R23</f>
        <v>0.5450961190967416</v>
      </c>
      <c r="N23" s="568">
        <f>'MD-ratings-year'!S23</f>
        <v>1.9457258231795442</v>
      </c>
      <c r="O23" s="258">
        <f>'MD-ratings-year'!T23</f>
        <v>9.0372450797684873</v>
      </c>
      <c r="P23" s="258"/>
      <c r="Q23" s="258"/>
      <c r="R23" s="258"/>
      <c r="S23" s="243"/>
      <c r="T23" s="243"/>
      <c r="U23" s="243"/>
      <c r="V23" s="252"/>
      <c r="W23" s="455">
        <f>IF('SK-ratios'!AF26&gt;'SK-ratios'!$AC26,10,10*LOG(1+('SK-ratios'!$U26-1)*('SK-ratios'!AF26-'SK-ratios'!$Y26)/('SK-ratios'!$AC26-'SK-ratios'!$Y26))/LOG('SK-ratios'!$U26))</f>
        <v>10</v>
      </c>
      <c r="X23" s="455">
        <f>IF('SK-ratios'!AG26&gt;'SK-ratios'!$AC26,10,10*LOG(1+('SK-ratios'!$U26-1)*('SK-ratios'!AG26-'SK-ratios'!$Y26)/('SK-ratios'!$AC26-'SK-ratios'!$Y26))/LOG('SK-ratios'!$U26))</f>
        <v>9.1129797913301118</v>
      </c>
      <c r="Y23" s="455">
        <f>IF('SK-ratios'!AH26&gt;'SK-ratios'!$AC26,10,10*LOG(1+('SK-ratios'!$U26-1)*('SK-ratios'!AH26-'SK-ratios'!$Y26)/('SK-ratios'!$AC26-'SK-ratios'!$Y26))/LOG('SK-ratios'!$U26))</f>
        <v>4.9051464565711553</v>
      </c>
      <c r="Z23" s="455">
        <f>IF('SK-ratios'!AI26&gt;'SK-ratios'!$AC26,10,10*LOG(1+('SK-ratios'!$U26-1)*('SK-ratios'!AI26-'SK-ratios'!$Y26)/('SK-ratios'!$AC26-'SK-ratios'!$Y26))/LOG('SK-ratios'!$U26))</f>
        <v>4.9636631224504715</v>
      </c>
      <c r="AA23" s="455">
        <f>IF('SK-ratios'!AJ26&gt;'SK-ratios'!$AC26,10,10*LOG(1+('SK-ratios'!$U26-1)*('SK-ratios'!AJ26-'SK-ratios'!$Y26)/('SK-ratios'!$AC26-'SK-ratios'!$Y26))/LOG('SK-ratios'!$U26))</f>
        <v>1.9093431339550231</v>
      </c>
      <c r="AB23" s="455">
        <f>IF('SK-ratios'!AK26&gt;'SK-ratios'!$AC26,10,10*LOG(1+('SK-ratios'!$U26-1)*('SK-ratios'!AK26-'SK-ratios'!$Y26)/('SK-ratios'!$AC26-'SK-ratios'!$Y26))/LOG('SK-ratios'!$U26))</f>
        <v>5.5236280071241497</v>
      </c>
      <c r="AC23" s="455">
        <f>IF('SK-ratios'!AL26&gt;'SK-ratios'!$AC26,10,10*LOG(1+('SK-ratios'!$U26-1)*('SK-ratios'!AL26-'SK-ratios'!$Y26)/('SK-ratios'!$AC26-'SK-ratios'!$Y26))/LOG('SK-ratios'!$U26))</f>
        <v>6.0338807063808666</v>
      </c>
      <c r="AD23" s="455">
        <f>IF('SK-ratios'!AM26&gt;'SK-ratios'!$AC26,10,10*LOG(1+('SK-ratios'!$U26-1)*('SK-ratios'!AM26-'SK-ratios'!$Y26)/('SK-ratios'!$AC26-'SK-ratios'!$Y26))/LOG('SK-ratios'!$U26))</f>
        <v>1.4854470756347309</v>
      </c>
      <c r="AE23" s="455">
        <f>IF('SK-ratios'!AN26&gt;'SK-ratios'!$AC26,10,10*LOG(1+('SK-ratios'!$U26-1)*('SK-ratios'!AN26-'SK-ratios'!$Y26)/('SK-ratios'!$AC26-'SK-ratios'!$Y26))/LOG('SK-ratios'!$U26))</f>
        <v>9.5801210305152484E-2</v>
      </c>
      <c r="AF23" s="455">
        <f>IF('SK-ratios'!AO26&gt;'SK-ratios'!$AC26,10,10*LOG(1+('SK-ratios'!$U26-1)*('SK-ratios'!AO26-'SK-ratios'!$Y26)/('SK-ratios'!$AC26-'SK-ratios'!$Y26))/LOG('SK-ratios'!$U26))</f>
        <v>3.4289363652954092</v>
      </c>
      <c r="AG23" s="455">
        <f>IF('SK-ratios'!AP26&gt;'SK-ratios'!$AC26,10,10*LOG(1+('SK-ratios'!$U26-1)*('SK-ratios'!AP26-'SK-ratios'!$Y26)/('SK-ratios'!$AC26-'SK-ratios'!$Y26))/LOG('SK-ratios'!$U26))</f>
        <v>4.7995488997097606</v>
      </c>
      <c r="AH23" s="455">
        <f>IF('SK-ratios'!AQ26&gt;'SK-ratios'!$AC26,10,10*LOG(1+('SK-ratios'!$U26-1)*('SK-ratios'!AQ26-'SK-ratios'!$Y26)/('SK-ratios'!$AC26-'SK-ratios'!$Y26))/LOG('SK-ratios'!$U26))</f>
        <v>10</v>
      </c>
      <c r="AI23" s="455">
        <f>IF('SK-ratios'!AR26&gt;'SK-ratios'!$AC26,10,10*LOG(1+('SK-ratios'!$U26-1)*('SK-ratios'!AR26-'SK-ratios'!$Y26)/('SK-ratios'!$AC26-'SK-ratios'!$Y26))/LOG('SK-ratios'!$U26))</f>
        <v>1.5445158698875068</v>
      </c>
      <c r="AJ23" s="455">
        <f>IF('SK-ratios'!AS26&gt;'SK-ratios'!$AC26,10,10*LOG(1+('SK-ratios'!$U26-1)*('SK-ratios'!AS26-'SK-ratios'!$Y26)/('SK-ratios'!$AC26-'SK-ratios'!$Y26))/LOG('SK-ratios'!$U26))</f>
        <v>1.4708797444970039</v>
      </c>
      <c r="AK23" s="455">
        <f>IF('SK-ratios'!AT26&gt;'SK-ratios'!$AC26,10,10*LOG(1+('SK-ratios'!$U26-1)*('SK-ratios'!AT26-'SK-ratios'!$Y26)/('SK-ratios'!$AC26-'SK-ratios'!$Y26))/LOG('SK-ratios'!$U26))</f>
        <v>4.4222587400555291</v>
      </c>
      <c r="AL23" s="455">
        <f>IF('SK-ratios'!AU26&gt;'SK-ratios'!$AC26,10,10*LOG(1+('SK-ratios'!$U26-1)*('SK-ratios'!AU26-'SK-ratios'!$Y26)/('SK-ratios'!$AC26-'SK-ratios'!$Y26))/LOG('SK-ratios'!$U26))</f>
        <v>6.098327900658342</v>
      </c>
      <c r="AM23" s="455">
        <f>IF('SK-ratios'!AV26&gt;'SK-ratios'!$AC26,10,10*LOG(1+('SK-ratios'!$U26-1)*('SK-ratios'!AV26-'SK-ratios'!$Y26)/('SK-ratios'!$AC26-'SK-ratios'!$Y26))/LOG('SK-ratios'!$U26))</f>
        <v>5.725386036019164</v>
      </c>
      <c r="AN23" s="455">
        <f>IF('SK-ratios'!AW26&gt;'SK-ratios'!$AC26,10,10*LOG(1+('SK-ratios'!$U26-1)*('SK-ratios'!AW26-'SK-ratios'!$Y26)/('SK-ratios'!$AC26-'SK-ratios'!$Y26))/LOG('SK-ratios'!$U26))</f>
        <v>4.0825605901402566</v>
      </c>
      <c r="AO23" s="455">
        <f>IF('SK-ratios'!AX26&gt;'SK-ratios'!$AC26,10,10*LOG(1+('SK-ratios'!$U26-1)*('SK-ratios'!AX26-'SK-ratios'!$Y26)/('SK-ratios'!$AC26-'SK-ratios'!$Y26))/LOG('SK-ratios'!$U26))</f>
        <v>5.0148303436456416</v>
      </c>
      <c r="AP23" s="455">
        <f>IF('SK-ratios'!AY26&gt;'SK-ratios'!$AC26,10,10*LOG(1+('SK-ratios'!$U26-1)*('SK-ratios'!AY26-'SK-ratios'!$Y26)/('SK-ratios'!$AC26-'SK-ratios'!$Y26))/LOG('SK-ratios'!$U26))</f>
        <v>0.99245065137328281</v>
      </c>
      <c r="AQ23" s="455">
        <f>IF('SK-ratios'!AZ26&gt;'SK-ratios'!$AC26,10,10*LOG(1+('SK-ratios'!$U26-1)*('SK-ratios'!AZ26-'SK-ratios'!$Y26)/('SK-ratios'!$AC26-'SK-ratios'!$Y26))/LOG('SK-ratios'!$U26))</f>
        <v>10</v>
      </c>
      <c r="AR23" s="455">
        <f>IF('SK-ratios'!BA26&gt;'SK-ratios'!$AC26,10,10*LOG(1+('SK-ratios'!$U26-1)*('SK-ratios'!BA26-'SK-ratios'!$Y26)/('SK-ratios'!$AC26-'SK-ratios'!$Y26))/LOG('SK-ratios'!$U26))</f>
        <v>5.4206658201129478</v>
      </c>
      <c r="AS23" s="455">
        <f>IF('SK-ratios'!BB26&gt;'SK-ratios'!$AC26,10,10*LOG(1+('SK-ratios'!$U26-1)*('SK-ratios'!BB26-'SK-ratios'!$Y26)/('SK-ratios'!$AC26-'SK-ratios'!$Y26))/LOG('SK-ratios'!$U26))</f>
        <v>3.88922390250519</v>
      </c>
      <c r="AT23" s="455">
        <f>IF('SK-ratios'!BC26&gt;'SK-ratios'!$AC26,10,10*LOG(1+('SK-ratios'!$U26-1)*('SK-ratios'!BC26-'SK-ratios'!$Y26)/('SK-ratios'!$AC26-'SK-ratios'!$Y26))/LOG('SK-ratios'!$U26))</f>
        <v>1.4645254160534151</v>
      </c>
      <c r="AU23" s="455">
        <f>IF('SK-ratios'!BD26&gt;'SK-ratios'!$AC26,10,10*LOG(1+('SK-ratios'!$U26-1)*('SK-ratios'!BD26-'SK-ratios'!$Y26)/('SK-ratios'!$AC26-'SK-ratios'!$Y26))/LOG('SK-ratios'!$U26))</f>
        <v>3.9159803572286656</v>
      </c>
      <c r="AV23" s="455">
        <f>IF('SK-ratios'!BE26&gt;'SK-ratios'!$AC26,10,10*LOG(1+('SK-ratios'!$U26-1)*('SK-ratios'!BE26-'SK-ratios'!$Y26)/('SK-ratios'!$AC26-'SK-ratios'!$Y26))/LOG('SK-ratios'!$U26))</f>
        <v>10</v>
      </c>
      <c r="AW23" s="455">
        <f>IF('SK-ratios'!BF26&gt;'SK-ratios'!$AC26,10,10*LOG(1+('SK-ratios'!$U26-1)*('SK-ratios'!BF26-'SK-ratios'!$Y26)/('SK-ratios'!$AC26-'SK-ratios'!$Y26))/LOG('SK-ratios'!$U26))</f>
        <v>6.2168808621838982</v>
      </c>
      <c r="AX23" s="455">
        <f>IF('SK-ratios'!BG26&gt;'SK-ratios'!$AC26,10,10*LOG(1+('SK-ratios'!$U26-1)*('SK-ratios'!BG26-'SK-ratios'!$Y26)/('SK-ratios'!$AC26-'SK-ratios'!$Y26))/LOG('SK-ratios'!$U26))</f>
        <v>1.594504215686289</v>
      </c>
      <c r="AY23" s="455">
        <f>IF('SK-ratios'!BH26&gt;'SK-ratios'!$AC26,10,10*LOG(1+('SK-ratios'!$U26-1)*('SK-ratios'!BH26-'SK-ratios'!$Y26)/('SK-ratios'!$AC26-'SK-ratios'!$Y26))/LOG('SK-ratios'!$U26))</f>
        <v>5.017975440530031</v>
      </c>
      <c r="AZ23" s="455">
        <f>IF('SK-ratios'!BI26&gt;'SK-ratios'!$AC26,10,10*LOG(1+('SK-ratios'!$U26-1)*('SK-ratios'!BI26-'SK-ratios'!$Y26)/('SK-ratios'!$AC26-'SK-ratios'!$Y26))/LOG('SK-ratios'!$U26))</f>
        <v>6.9134984098061159</v>
      </c>
      <c r="BA23" s="455">
        <f>IF('SK-ratios'!BJ26&gt;'SK-ratios'!$AC26,10,10*LOG(1+('SK-ratios'!$U26-1)*('SK-ratios'!BJ26-'SK-ratios'!$Y26)/('SK-ratios'!$AC26-'SK-ratios'!$Y26))/LOG('SK-ratios'!$U26))</f>
        <v>0.27444641102315182</v>
      </c>
      <c r="BB23" s="455">
        <f>IF('SK-ratios'!BK26&gt;'SK-ratios'!$AC26,10,10*LOG(1+('SK-ratios'!$U26-1)*('SK-ratios'!BK26-'SK-ratios'!$Y26)/('SK-ratios'!$AC26-'SK-ratios'!$Y26))/LOG('SK-ratios'!$U26))</f>
        <v>7.3687217581062239</v>
      </c>
      <c r="BC23" s="455">
        <f>IF('SK-ratios'!BL26&gt;'SK-ratios'!$AC26,10,10*LOG(1+('SK-ratios'!$U26-1)*('SK-ratios'!BL26-'SK-ratios'!$Y26)/('SK-ratios'!$AC26-'SK-ratios'!$Y26))/LOG('SK-ratios'!$U26))</f>
        <v>1.7668062064689984</v>
      </c>
      <c r="BD23" s="455">
        <f>IF('SK-ratios'!BM26&gt;'SK-ratios'!$AC26,10,10*LOG(1+('SK-ratios'!$U26-1)*('SK-ratios'!BM26-'SK-ratios'!$Y26)/('SK-ratios'!$AC26-'SK-ratios'!$Y26))/LOG('SK-ratios'!$U26))</f>
        <v>6.446407044645202</v>
      </c>
      <c r="BE23" s="455">
        <f>IF('SK-ratios'!BN26&gt;'SK-ratios'!$AC26,10,10*LOG(1+('SK-ratios'!$U26-1)*('SK-ratios'!BN26-'SK-ratios'!$Y26)/('SK-ratios'!$AC26-'SK-ratios'!$Y26))/LOG('SK-ratios'!$U26))</f>
        <v>2.4242486288865543</v>
      </c>
      <c r="BF23" s="455">
        <f>IF('SK-ratios'!BO26&gt;'SK-ratios'!$AC26,10,10*LOG(1+('SK-ratios'!$U26-1)*('SK-ratios'!BO26-'SK-ratios'!$Y26)/('SK-ratios'!$AC26-'SK-ratios'!$Y26))/LOG('SK-ratios'!$U26))</f>
        <v>7.1728737342141029</v>
      </c>
      <c r="BG23" s="455">
        <f>IF('SK-ratios'!BP26&gt;'SK-ratios'!$AC26,10,10*LOG(1+('SK-ratios'!$U26-1)*('SK-ratios'!BP26-'SK-ratios'!$Y26)/('SK-ratios'!$AC26-'SK-ratios'!$Y26))/LOG('SK-ratios'!$U26))</f>
        <v>3.7415256651388695</v>
      </c>
      <c r="BH23" s="455">
        <f>IF('SK-ratios'!BQ26&gt;'SK-ratios'!$AC26,10,10*LOG(1+('SK-ratios'!$U26-1)*('SK-ratios'!BQ26-'SK-ratios'!$Y26)/('SK-ratios'!$AC26-'SK-ratios'!$Y26))/LOG('SK-ratios'!$U26))</f>
        <v>3.1644464800809633</v>
      </c>
      <c r="BI23" s="455">
        <f>IF('SK-ratios'!BR26&gt;'SK-ratios'!$AC26,10,10*LOG(1+('SK-ratios'!$U26-1)*('SK-ratios'!BR26-'SK-ratios'!$Y26)/('SK-ratios'!$AC26-'SK-ratios'!$Y26))/LOG('SK-ratios'!$U26))</f>
        <v>4.0686670336758775E-2</v>
      </c>
      <c r="BJ23" s="455">
        <f>IF('SK-ratios'!BS26&gt;'SK-ratios'!$AC26,10,10*LOG(1+('SK-ratios'!$U26-1)*('SK-ratios'!BS26-'SK-ratios'!$Y26)/('SK-ratios'!$AC26-'SK-ratios'!$Y26))/LOG('SK-ratios'!$U26))</f>
        <v>3.0793081888814675E-2</v>
      </c>
      <c r="BK23" s="455">
        <f>IF('SK-ratios'!BT26&gt;'SK-ratios'!$AC26,10,10*LOG(1+('SK-ratios'!$U26-1)*('SK-ratios'!BT26-'SK-ratios'!$Y26)/('SK-ratios'!$AC26-'SK-ratios'!$Y26))/LOG('SK-ratios'!$U26))</f>
        <v>1.7712870697034002</v>
      </c>
      <c r="BL23" s="455">
        <f>IF('SK-ratios'!BU26&gt;'SK-ratios'!$AC26,10,10*LOG(1+('SK-ratios'!$U26-1)*('SK-ratios'!BU26-'SK-ratios'!$Y26)/('SK-ratios'!$AC26-'SK-ratios'!$Y26))/LOG('SK-ratios'!$U26))</f>
        <v>9.2313822842289006E-2</v>
      </c>
      <c r="BM23" s="455">
        <f>IF('SK-ratios'!BV26&gt;'SK-ratios'!$AC26,10,10*LOG(1+('SK-ratios'!$U26-1)*('SK-ratios'!BV26-'SK-ratios'!$Y26)/('SK-ratios'!$AC26-'SK-ratios'!$Y26))/LOG('SK-ratios'!$U26))</f>
        <v>9.8672312682239802</v>
      </c>
      <c r="BN23" s="455">
        <f>IF('SK-ratios'!BW26&gt;'SK-ratios'!$AC26,10,10*LOG(1+('SK-ratios'!$U26-1)*('SK-ratios'!BW26-'SK-ratios'!$Y26)/('SK-ratios'!$AC26-'SK-ratios'!$Y26))/LOG('SK-ratios'!$U26))</f>
        <v>4.8637221798342436</v>
      </c>
      <c r="BO23" s="455">
        <f>IF('SK-ratios'!BX26&gt;'SK-ratios'!$AC26,10,10*LOG(1+('SK-ratios'!$U26-1)*('SK-ratios'!BX26-'SK-ratios'!$Y26)/('SK-ratios'!$AC26-'SK-ratios'!$Y26))/LOG('SK-ratios'!$U26))</f>
        <v>3.3985707344522598</v>
      </c>
      <c r="BP23" s="455">
        <f>IF('SK-ratios'!BY26&gt;'SK-ratios'!$AC26,10,10*LOG(1+('SK-ratios'!$U26-1)*('SK-ratios'!BY26-'SK-ratios'!$Y26)/('SK-ratios'!$AC26-'SK-ratios'!$Y26))/LOG('SK-ratios'!$U26))</f>
        <v>0.46957067727831509</v>
      </c>
      <c r="BQ23" s="455">
        <f>IF('SK-ratios'!BZ26&gt;'SK-ratios'!$AC26,10,10*LOG(1+('SK-ratios'!$U26-1)*('SK-ratios'!BZ26-'SK-ratios'!$Y26)/('SK-ratios'!$AC26-'SK-ratios'!$Y26))/LOG('SK-ratios'!$U26))</f>
        <v>9.7038527315579639</v>
      </c>
      <c r="BR23" s="455">
        <f>IF('SK-ratios'!CA26&gt;'SK-ratios'!$AC26,10,10*LOG(1+('SK-ratios'!$U26-1)*('SK-ratios'!CA26-'SK-ratios'!$Y26)/('SK-ratios'!$AC26-'SK-ratios'!$Y26))/LOG('SK-ratios'!$U26))</f>
        <v>4.1199197896094439</v>
      </c>
      <c r="BS23" s="455">
        <f>IF('SK-ratios'!CB26&gt;'SK-ratios'!$AC26,10,10*LOG(1+('SK-ratios'!$U26-1)*('SK-ratios'!CB26-'SK-ratios'!$Y26)/('SK-ratios'!$AC26-'SK-ratios'!$Y26))/LOG('SK-ratios'!$U26))</f>
        <v>2.9938921676272199</v>
      </c>
      <c r="BT23" s="455">
        <f>IF('SK-ratios'!CC26&gt;'SK-ratios'!$AC26,10,10*LOG(1+('SK-ratios'!$U26-1)*('SK-ratios'!CC26-'SK-ratios'!$Y26)/('SK-ratios'!$AC26-'SK-ratios'!$Y26))/LOG('SK-ratios'!$U26))</f>
        <v>0.30838601192117054</v>
      </c>
      <c r="BU23" s="455">
        <f>IF('SK-ratios'!CD26&gt;'SK-ratios'!$AC26,10,10*LOG(1+('SK-ratios'!$U26-1)*('SK-ratios'!CD26-'SK-ratios'!$Y26)/('SK-ratios'!$AC26-'SK-ratios'!$Y26))/LOG('SK-ratios'!$U26))</f>
        <v>4.7205935532838126</v>
      </c>
      <c r="BV23" s="455">
        <f>IF('SK-ratios'!CE26&gt;'SK-ratios'!$AC26,10,10*LOG(1+('SK-ratios'!$U26-1)*('SK-ratios'!CE26-'SK-ratios'!$Y26)/('SK-ratios'!$AC26-'SK-ratios'!$Y26))/LOG('SK-ratios'!$U26))</f>
        <v>10</v>
      </c>
      <c r="BW23" s="455">
        <f>IF('SK-ratios'!CF26&gt;'SK-ratios'!$AC26,10,10*LOG(1+('SK-ratios'!$U26-1)*('SK-ratios'!CF26-'SK-ratios'!$Y26)/('SK-ratios'!$AC26-'SK-ratios'!$Y26))/LOG('SK-ratios'!$U26))</f>
        <v>4.336007895176345</v>
      </c>
      <c r="BX23" s="455">
        <f>IF('SK-ratios'!CG26&gt;'SK-ratios'!$AC26,10,10*LOG(1+('SK-ratios'!$U26-1)*('SK-ratios'!CG26-'SK-ratios'!$Y26)/('SK-ratios'!$AC26-'SK-ratios'!$Y26))/LOG('SK-ratios'!$U26))</f>
        <v>0.7043809116986437</v>
      </c>
      <c r="BY23" s="455">
        <f>IF('SK-ratios'!CH26&gt;'SK-ratios'!$AC26,10,10*LOG(1+('SK-ratios'!$U26-1)*('SK-ratios'!CH26-'SK-ratios'!$Y26)/('SK-ratios'!$AC26-'SK-ratios'!$Y26))/LOG('SK-ratios'!$U26))</f>
        <v>5.4936132116843144</v>
      </c>
      <c r="BZ23" s="455">
        <f>IF('SK-ratios'!CI26&gt;'SK-ratios'!$AC26,10,10*LOG(1+('SK-ratios'!$U26-1)*('SK-ratios'!CI26-'SK-ratios'!$Y26)/('SK-ratios'!$AC26-'SK-ratios'!$Y26))/LOG('SK-ratios'!$U26))</f>
        <v>5.0296164038011666</v>
      </c>
      <c r="CA23" s="455">
        <f>IF('SK-ratios'!CJ26&gt;'SK-ratios'!$AC26,10,10*LOG(1+('SK-ratios'!$U26-1)*('SK-ratios'!CJ26-'SK-ratios'!$Y26)/('SK-ratios'!$AC26-'SK-ratios'!$Y26))/LOG('SK-ratios'!$U26))</f>
        <v>4.0300920391604889</v>
      </c>
      <c r="CB23" s="455">
        <f>IF('SK-ratios'!CK26&gt;'SK-ratios'!$AC26,10,10*LOG(1+('SK-ratios'!$U26-1)*('SK-ratios'!CK26-'SK-ratios'!$Y26)/('SK-ratios'!$AC26-'SK-ratios'!$Y26))/LOG('SK-ratios'!$U26))</f>
        <v>10</v>
      </c>
      <c r="CC23" s="455">
        <f>IF('SK-ratios'!CL26&gt;'SK-ratios'!$AC26,10,10*LOG(1+('SK-ratios'!$U26-1)*('SK-ratios'!CL26-'SK-ratios'!$Y26)/('SK-ratios'!$AC26-'SK-ratios'!$Y26))/LOG('SK-ratios'!$U26))</f>
        <v>9.4429947549483515</v>
      </c>
      <c r="CD23" s="455">
        <f>IF('SK-ratios'!CM26&gt;'SK-ratios'!$AC26,10,10*LOG(1+('SK-ratios'!$U26-1)*('SK-ratios'!CM26-'SK-ratios'!$Y26)/('SK-ratios'!$AC26-'SK-ratios'!$Y26))/LOG('SK-ratios'!$U26))</f>
        <v>2.15075169765506</v>
      </c>
      <c r="CE23" s="455">
        <f>IF('SK-ratios'!CN26&gt;'SK-ratios'!$AC26,10,10*LOG(1+('SK-ratios'!$U26-1)*('SK-ratios'!CN26-'SK-ratios'!$Y26)/('SK-ratios'!$AC26-'SK-ratios'!$Y26))/LOG('SK-ratios'!$U26))</f>
        <v>5.2266241529035167</v>
      </c>
      <c r="CF23" s="455">
        <f>IF('SK-ratios'!CO26&gt;'SK-ratios'!$AC26,10,10*LOG(1+('SK-ratios'!$U26-1)*('SK-ratios'!CO26-'SK-ratios'!$Y26)/('SK-ratios'!$AC26-'SK-ratios'!$Y26))/LOG('SK-ratios'!$U26))</f>
        <v>9.7079610381621393</v>
      </c>
      <c r="CG23" s="455">
        <f>IF('SK-ratios'!CP26&gt;'SK-ratios'!$AC26,10,10*LOG(1+('SK-ratios'!$U26-1)*('SK-ratios'!CP26-'SK-ratios'!$Y26)/('SK-ratios'!$AC26-'SK-ratios'!$Y26))/LOG('SK-ratios'!$U26))</f>
        <v>7.2218762405507233</v>
      </c>
      <c r="CH23" s="455">
        <f>IF('SK-ratios'!CQ26&gt;'SK-ratios'!$AC26,10,10*LOG(1+('SK-ratios'!$U26-1)*('SK-ratios'!CQ26-'SK-ratios'!$Y26)/('SK-ratios'!$AC26-'SK-ratios'!$Y26))/LOG('SK-ratios'!$U26))</f>
        <v>4.4031799706790924</v>
      </c>
      <c r="CI23" s="455">
        <f>IF('SK-ratios'!CR26&gt;'SK-ratios'!$AC26,10,10*LOG(1+('SK-ratios'!$U26-1)*('SK-ratios'!CR26-'SK-ratios'!$Y26)/('SK-ratios'!$AC26-'SK-ratios'!$Y26))/LOG('SK-ratios'!$U26))</f>
        <v>7.9727331444437759</v>
      </c>
      <c r="CJ23" s="455">
        <f>IF('SK-ratios'!CS26&gt;'SK-ratios'!$AC26,10,10*LOG(1+('SK-ratios'!$U26-1)*('SK-ratios'!CS26-'SK-ratios'!$Y26)/('SK-ratios'!$AC26-'SK-ratios'!$Y26))/LOG('SK-ratios'!$U26))</f>
        <v>7.6651380659387769</v>
      </c>
      <c r="CK23" s="455">
        <f>IF('SK-ratios'!CT26&gt;'SK-ratios'!$AC26,10,10*LOG(1+('SK-ratios'!$U26-1)*('SK-ratios'!CT26-'SK-ratios'!$Y26)/('SK-ratios'!$AC26-'SK-ratios'!$Y26))/LOG('SK-ratios'!$U26))</f>
        <v>7.1927584886369695</v>
      </c>
      <c r="CL23" s="455">
        <f>IF('SK-ratios'!CU26&gt;'SK-ratios'!$AC26,10,10*LOG(1+('SK-ratios'!$U26-1)*('SK-ratios'!CU26-'SK-ratios'!$Y26)/('SK-ratios'!$AC26-'SK-ratios'!$Y26))/LOG('SK-ratios'!$U26))</f>
        <v>0.15241682313152033</v>
      </c>
      <c r="CM23" s="455">
        <f>IF('SK-ratios'!CV26&gt;'SK-ratios'!$AC26,10,10*LOG(1+('SK-ratios'!$U26-1)*('SK-ratios'!CV26-'SK-ratios'!$Y26)/('SK-ratios'!$AC26-'SK-ratios'!$Y26))/LOG('SK-ratios'!$U26))</f>
        <v>8.6190912743379844</v>
      </c>
      <c r="CN23" s="455">
        <f>IF('SK-ratios'!CW26&gt;'SK-ratios'!$AC26,10,10*LOG(1+('SK-ratios'!$U26-1)*('SK-ratios'!CW26-'SK-ratios'!$Y26)/('SK-ratios'!$AC26-'SK-ratios'!$Y26))/LOG('SK-ratios'!$U26))</f>
        <v>8.2774955170176359</v>
      </c>
      <c r="CO23" s="455">
        <f>IF('SK-ratios'!CX26&gt;'SK-ratios'!$AC26,10,10*LOG(1+('SK-ratios'!$U26-1)*('SK-ratios'!CX26-'SK-ratios'!$Y26)/('SK-ratios'!$AC26-'SK-ratios'!$Y26))/LOG('SK-ratios'!$U26))</f>
        <v>0.4091861981226172</v>
      </c>
      <c r="CP23" s="455">
        <f>IF('SK-ratios'!CY26&gt;'SK-ratios'!$AC26,10,10*LOG(1+('SK-ratios'!$U26-1)*('SK-ratios'!CY26-'SK-ratios'!$Y26)/('SK-ratios'!$AC26-'SK-ratios'!$Y26))/LOG('SK-ratios'!$U26))</f>
        <v>0.42346684110083921</v>
      </c>
      <c r="CQ23" s="455">
        <f>IF('SK-ratios'!CZ26&gt;'SK-ratios'!$AC26,10,10*LOG(1+('SK-ratios'!$U26-1)*('SK-ratios'!CZ26-'SK-ratios'!$Y26)/('SK-ratios'!$AC26-'SK-ratios'!$Y26))/LOG('SK-ratios'!$U26))</f>
        <v>1.007338019782249</v>
      </c>
      <c r="CR23" s="455">
        <f>IF('SK-ratios'!DA26&gt;'SK-ratios'!$AC26,10,10*LOG(1+('SK-ratios'!$U26-1)*('SK-ratios'!DA26-'SK-ratios'!$Y26)/('SK-ratios'!$AC26-'SK-ratios'!$Y26))/LOG('SK-ratios'!$U26))</f>
        <v>7.964105417086814</v>
      </c>
      <c r="CS23" s="455">
        <f>IF('SK-ratios'!DB26&gt;'SK-ratios'!$AC26,10,10*LOG(1+('SK-ratios'!$U26-1)*('SK-ratios'!DB26-'SK-ratios'!$Y26)/('SK-ratios'!$AC26-'SK-ratios'!$Y26))/LOG('SK-ratios'!$U26))</f>
        <v>6.1023846500458099</v>
      </c>
      <c r="CT23" s="455">
        <f>IF('SK-ratios'!DC26&gt;'SK-ratios'!$AC26,10,10*LOG(1+('SK-ratios'!$U26-1)*('SK-ratios'!DC26-'SK-ratios'!$Y26)/('SK-ratios'!$AC26-'SK-ratios'!$Y26))/LOG('SK-ratios'!$U26))</f>
        <v>4.7436629855403512</v>
      </c>
      <c r="CU23" s="455">
        <f>IF('SK-ratios'!DD26&gt;'SK-ratios'!$AC26,10,10*LOG(1+('SK-ratios'!$U26-1)*('SK-ratios'!DD26-'SK-ratios'!$Y26)/('SK-ratios'!$AC26-'SK-ratios'!$Y26))/LOG('SK-ratios'!$U26))</f>
        <v>5.4804943609258032</v>
      </c>
      <c r="CV23" s="455">
        <f>IF('SK-ratios'!DE26&gt;'SK-ratios'!$AC26,10,10*LOG(1+('SK-ratios'!$U26-1)*('SK-ratios'!DE26-'SK-ratios'!$Y26)/('SK-ratios'!$AC26-'SK-ratios'!$Y26))/LOG('SK-ratios'!$U26))</f>
        <v>4.2651164167128206</v>
      </c>
      <c r="CW23" s="455">
        <f>IF('SK-ratios'!DF26&gt;'SK-ratios'!$AC26,10,10*LOG(1+('SK-ratios'!$U26-1)*('SK-ratios'!DF26-'SK-ratios'!$Y26)/('SK-ratios'!$AC26-'SK-ratios'!$Y26))/LOG('SK-ratios'!$U26))</f>
        <v>2.7606443100967194E-2</v>
      </c>
      <c r="CX23" s="455">
        <f>IF('SK-ratios'!DG26&gt;'SK-ratios'!$AC26,10,10*LOG(1+('SK-ratios'!$U26-1)*('SK-ratios'!DG26-'SK-ratios'!$Y26)/('SK-ratios'!$AC26-'SK-ratios'!$Y26))/LOG('SK-ratios'!$U26))</f>
        <v>0.1994767457816321</v>
      </c>
      <c r="CZ23" s="546"/>
      <c r="DA23" s="455">
        <f t="array" ref="DA23">SUMPRODUCT(IF(($W$3:$CX$3=DA$3)*($W$2:$CX$2=DA$2),$W23:$CX23),IF(($W$3:$CX$3=DA$3)*($W$2:$CX$2=DA$2),$W$36:$CX$36))/SUM(IF(($W$3:$CX$3=DA$3)*($W$2:$CX$2=DA$2),$W$36:$CX$36))</f>
        <v>4.8251043211302962</v>
      </c>
      <c r="DB23" s="455">
        <f t="array" ref="DB23">SUMPRODUCT(IF(($W$3:$CX$3=DB$3)*($W$2:$CX$2=DB$2),$W23:$CX23),IF(($W$3:$CX$3=DB$3)*($W$2:$CX$2=DB$2),$W$36:$CX$36))/SUM(IF(($W$3:$CX$3=DB$3)*($W$2:$CX$2=DB$2),$W$36:$CX$36))</f>
        <v>5.0860203251646983</v>
      </c>
      <c r="DC23" s="455">
        <f t="array" ref="DC23">SUMPRODUCT(IF(($W$3:$CX$3=DC$3)*($W$2:$CX$2=DC$2),$W23:$CX23),IF(($W$3:$CX$3=DC$3)*($W$2:$CX$2=DC$2),$W$36:$CX$36))/SUM(IF(($W$3:$CX$3=DC$3)*($W$2:$CX$2=DC$2),$W$36:$CX$36))</f>
        <v>3.7716839383334952</v>
      </c>
      <c r="DD23" s="455">
        <f t="array" ref="DD23">SUMPRODUCT(IF(($W$3:$CX$3=DD$3)*($W$2:$CX$2=DD$2),$W23:$CX23),IF(($W$3:$CX$3=DD$3)*($W$2:$CX$2=DD$2),$W$36:$CX$36))/SUM(IF(($W$3:$CX$3=DD$3)*($W$2:$CX$2=DD$2),$W$36:$CX$36))</f>
        <v>5.5861781386509923</v>
      </c>
      <c r="DE23" s="455">
        <f t="array" ref="DE23">SUMPRODUCT(IF(($W$3:$CX$3=DE$3)*($W$2:$CX$2=DE$2),$W23:$CX23),IF(($W$3:$CX$3=DE$3)*($W$2:$CX$2=DE$2),$W$36:$CX$36))/SUM(IF(($W$3:$CX$3=DE$3)*($W$2:$CX$2=DE$2),$W$36:$CX$36))</f>
        <v>4.6007987807840554</v>
      </c>
      <c r="DF23" s="455">
        <f t="array" ref="DF23">SUMPRODUCT(IF(($W$3:$CX$3=DF$3)*($W$2:$CX$2=DF$2),$W23:$CX23),IF(($W$3:$CX$3=DF$3)*($W$2:$CX$2=DF$2),$W$36:$CX$36))/SUM(IF(($W$3:$CX$3=DF$3)*($W$2:$CX$2=DF$2),$W$36:$CX$36))</f>
        <v>7.2546366048816751</v>
      </c>
      <c r="DG23" s="455">
        <f t="array" ref="DG23">SUMPRODUCT(IF(($W$3:$CX$3=DG$3)*($W$2:$CX$2=DG$2),$W23:$CX23),IF(($W$3:$CX$3=DG$3)*($W$2:$CX$2=DG$2),$W$36:$CX$36))/SUM(IF(($W$3:$CX$3=DG$3)*($W$2:$CX$2=DG$2),$W$36:$CX$36))</f>
        <v>1.3301647422265812</v>
      </c>
      <c r="DH23" s="455">
        <f t="array" ref="DH23">SUMPRODUCT(IF(($W$3:$CX$3=DH$3)*($W$2:$CX$2=DH$2),$W23:$CX23),IF(($W$3:$CX$3=DH$3)*($W$2:$CX$2=DH$2),$W$36:$CX$36))/SUM(IF(($W$3:$CX$3=DH$3)*($W$2:$CX$2=DH$2),$W$36:$CX$36))</f>
        <v>3.4894879309201916</v>
      </c>
      <c r="DI23" s="455">
        <f t="array" ref="DI23">SUMPRODUCT(IF(($W$3:$CX$3=DI$3)*($W$2:$CX$2=DI$2),$W23:$CX23),IF(($W$3:$CX$3=DI$3)*($W$2:$CX$2=DI$2),$W$36:$CX$36))/SUM(IF(($W$3:$CX$3=DI$3)*($W$2:$CX$2=DI$2),$W$36:$CX$36))</f>
        <v>1.0048125773423031</v>
      </c>
      <c r="DJ23" s="455">
        <f t="array" ref="DJ23">SUMPRODUCT(IF(($W$3:$CX$3=DJ$3)*($W$2:$CX$2=DJ$2),$W23:$CX23),IF(($W$3:$CX$3=DJ$3)*($W$2:$CX$2=DJ$2),$W$36:$CX$36))/SUM(IF(($W$3:$CX$3=DJ$3)*($W$2:$CX$2=DJ$2),$W$36:$CX$36))</f>
        <v>1.7189673893408766</v>
      </c>
      <c r="DK23" s="455">
        <f t="array" ref="DK23">SUMPRODUCT(IF(($W$3:$CX$3=DK$3)*1,$W23:$CX23),IF(($W$3:$CX$3=DK$3)*1,$W$36:$CX$36))/SUM(IF(($W$3:$CX$3=DK$3)*1,$W$36:$CX$36))</f>
        <v>3.0191666607944816</v>
      </c>
      <c r="DL23" s="455">
        <f t="array" ref="DL23">SUMPRODUCT(IF(($W$3:$CX$3=DL$3)*1,$W23:$CX23),IF(($W$3:$CX$3=DL$3)*1,$W$36:$CX$36))/SUM(IF(($W$3:$CX$3=DL$3)*1,$W$36:$CX$36))</f>
        <v>3.6411448247914397</v>
      </c>
      <c r="DM23" s="455">
        <f t="array" ref="DM23">SUMPRODUCT(IF(($W$3:$CX$3=DM$3)*1,$W23:$CX23),IF(($W$3:$CX$3=DM$3)*1,$W$36:$CX$36))/SUM(IF(($W$3:$CX$3=DM$3)*1,$W$36:$CX$36))</f>
        <v>4.1186650102277804</v>
      </c>
      <c r="DN23" s="455">
        <f t="array" ref="DN23">SUMPRODUCT(IF(1*($W$2:$CX$2=DN$2),$W23:$CX23),IF(1*($W$2:$CX$2=DN$2),$W$36:$CX$36))/SUM(IF(1*($W$2:$CX$2=DN$2),$W$36:$CX$36))</f>
        <v>5.2124279207626563</v>
      </c>
      <c r="DO23" s="455">
        <f t="array" ref="DO23">SUMPRODUCT(IF(1*($W$2:$CX$2=DO$2),$W23:$CX23),IF(1*($W$2:$CX$2=DO$2),$W$36:$CX$36))/SUM(IF(1*($W$2:$CX$2=DO$2),$W$36:$CX$36))</f>
        <v>2.0937156475883163</v>
      </c>
      <c r="DP23" s="455">
        <f t="array" ref="DP23">SUMPRODUCT(IF(1*1,$W23:$CX23),IF(1*1,$W$36:$CX$36))/SUM(IF(1*1,$W$36:$CX$36))</f>
        <v>4.0191608298528942</v>
      </c>
    </row>
    <row r="24" spans="1:120" s="461" customFormat="1" ht="15.75" customHeight="1" thickBot="1" x14ac:dyDescent="0.3">
      <c r="A24" s="641"/>
      <c r="B24" s="635"/>
      <c r="C24" s="677" t="str">
        <f>'MD-ratings-year'!C24:E24</f>
        <v>Liquidity total</v>
      </c>
      <c r="D24" s="678"/>
      <c r="E24" s="682"/>
      <c r="F24" s="589" t="s">
        <v>400</v>
      </c>
      <c r="G24" s="653"/>
      <c r="K24" s="267"/>
      <c r="L24" s="267"/>
      <c r="M24" s="267"/>
      <c r="N24" s="267"/>
      <c r="O24" s="267"/>
      <c r="P24" s="267"/>
      <c r="Q24" s="267"/>
      <c r="R24" s="267"/>
      <c r="S24" s="266"/>
      <c r="T24" s="266"/>
      <c r="U24" s="266"/>
      <c r="V24" s="268"/>
      <c r="W24" s="462">
        <f>SUMPRODUCT(W21:W23,$C21:$C23)/SUM($C21:$C23)</f>
        <v>9.9981294142550077</v>
      </c>
      <c r="X24" s="462">
        <f t="shared" ref="X24:CI24" si="10">SUMPRODUCT(X21:X23,$C21:$C23)/SUM($C21:$C23)</f>
        <v>8.9985262965836235</v>
      </c>
      <c r="Y24" s="462">
        <f t="shared" si="10"/>
        <v>4.7775513469510713</v>
      </c>
      <c r="Z24" s="462">
        <f t="shared" si="10"/>
        <v>4.293780901728411</v>
      </c>
      <c r="AA24" s="462">
        <f t="shared" si="10"/>
        <v>2.4485296808116406</v>
      </c>
      <c r="AB24" s="462">
        <f t="shared" si="10"/>
        <v>5.1467881871128514</v>
      </c>
      <c r="AC24" s="462">
        <f t="shared" si="10"/>
        <v>6.3672751747324146</v>
      </c>
      <c r="AD24" s="462">
        <f t="shared" si="10"/>
        <v>3.8108156863698484</v>
      </c>
      <c r="AE24" s="462">
        <f t="shared" si="10"/>
        <v>3.3802049868859885</v>
      </c>
      <c r="AF24" s="462">
        <f t="shared" si="10"/>
        <v>3.829272010896636</v>
      </c>
      <c r="AG24" s="462">
        <f t="shared" si="10"/>
        <v>5.4741079538576436</v>
      </c>
      <c r="AH24" s="462">
        <f t="shared" si="10"/>
        <v>10</v>
      </c>
      <c r="AI24" s="462">
        <f t="shared" si="10"/>
        <v>3.1103984744348647</v>
      </c>
      <c r="AJ24" s="462">
        <f t="shared" si="10"/>
        <v>3.209597523545586</v>
      </c>
      <c r="AK24" s="462">
        <f t="shared" si="10"/>
        <v>4.4228346573468427</v>
      </c>
      <c r="AL24" s="462">
        <f t="shared" si="10"/>
        <v>8.4386667904670158</v>
      </c>
      <c r="AM24" s="462">
        <f t="shared" si="10"/>
        <v>5.683802981545317</v>
      </c>
      <c r="AN24" s="462">
        <f t="shared" si="10"/>
        <v>4.0409590663863986</v>
      </c>
      <c r="AO24" s="462">
        <f t="shared" si="10"/>
        <v>4.9515387621766118</v>
      </c>
      <c r="AP24" s="462">
        <f t="shared" si="10"/>
        <v>2.8865087475621771</v>
      </c>
      <c r="AQ24" s="462">
        <f t="shared" si="10"/>
        <v>10</v>
      </c>
      <c r="AR24" s="462">
        <f t="shared" si="10"/>
        <v>6.976518565540017</v>
      </c>
      <c r="AS24" s="462">
        <f t="shared" si="10"/>
        <v>5.1237514641681772</v>
      </c>
      <c r="AT24" s="462">
        <f t="shared" si="10"/>
        <v>2.9242189204318958</v>
      </c>
      <c r="AU24" s="462">
        <f t="shared" si="10"/>
        <v>3.8762083548554891</v>
      </c>
      <c r="AV24" s="462">
        <f t="shared" si="10"/>
        <v>10</v>
      </c>
      <c r="AW24" s="462">
        <f t="shared" si="10"/>
        <v>6.2952550993223104</v>
      </c>
      <c r="AX24" s="462">
        <f t="shared" si="10"/>
        <v>1.3860454122006436</v>
      </c>
      <c r="AY24" s="462">
        <f t="shared" si="10"/>
        <v>5.8834900458987516</v>
      </c>
      <c r="AZ24" s="462">
        <f t="shared" si="10"/>
        <v>6.5263467099017429</v>
      </c>
      <c r="BA24" s="462">
        <f t="shared" si="10"/>
        <v>0.36534387806397073</v>
      </c>
      <c r="BB24" s="462">
        <f t="shared" si="10"/>
        <v>7.7653883022006402</v>
      </c>
      <c r="BC24" s="462">
        <f t="shared" si="10"/>
        <v>3.8844952252833465</v>
      </c>
      <c r="BD24" s="462">
        <f t="shared" si="10"/>
        <v>7.0538384807256662</v>
      </c>
      <c r="BE24" s="462">
        <f t="shared" si="10"/>
        <v>5.2935349719473876</v>
      </c>
      <c r="BF24" s="462">
        <f t="shared" si="10"/>
        <v>7.6265333288714157</v>
      </c>
      <c r="BG24" s="462">
        <f t="shared" si="10"/>
        <v>5.2101086900622882</v>
      </c>
      <c r="BH24" s="462">
        <f t="shared" si="10"/>
        <v>4.2603566137896554</v>
      </c>
      <c r="BI24" s="462">
        <f t="shared" si="10"/>
        <v>1.9284342943200521</v>
      </c>
      <c r="BJ24" s="462">
        <f t="shared" si="10"/>
        <v>2.8009985194659093</v>
      </c>
      <c r="BK24" s="462">
        <f t="shared" si="10"/>
        <v>2.471634296401839</v>
      </c>
      <c r="BL24" s="462">
        <f t="shared" si="10"/>
        <v>2.142683948897651</v>
      </c>
      <c r="BM24" s="462">
        <f t="shared" si="10"/>
        <v>9.838142541052628</v>
      </c>
      <c r="BN24" s="462">
        <f t="shared" si="10"/>
        <v>4.9728668486112166</v>
      </c>
      <c r="BO24" s="462">
        <f t="shared" si="10"/>
        <v>4.535150367174074</v>
      </c>
      <c r="BP24" s="462">
        <f t="shared" si="10"/>
        <v>1.8857367089107684</v>
      </c>
      <c r="BQ24" s="462">
        <f t="shared" si="10"/>
        <v>9.377538904692436</v>
      </c>
      <c r="BR24" s="462">
        <f t="shared" si="10"/>
        <v>8.039973263203148</v>
      </c>
      <c r="BS24" s="462">
        <f t="shared" si="10"/>
        <v>3.2326924296340591</v>
      </c>
      <c r="BT24" s="462">
        <f t="shared" si="10"/>
        <v>1.8270348237540419</v>
      </c>
      <c r="BU24" s="462">
        <f t="shared" si="10"/>
        <v>4.6386214426272048</v>
      </c>
      <c r="BV24" s="462">
        <f t="shared" si="10"/>
        <v>10</v>
      </c>
      <c r="BW24" s="462">
        <f t="shared" si="10"/>
        <v>4.1348658433291883</v>
      </c>
      <c r="BX24" s="462">
        <f t="shared" si="10"/>
        <v>2.4573732694363062</v>
      </c>
      <c r="BY24" s="462">
        <f t="shared" si="10"/>
        <v>5.8740302162810103</v>
      </c>
      <c r="BZ24" s="462">
        <f t="shared" si="10"/>
        <v>5.5797543259867171</v>
      </c>
      <c r="CA24" s="462">
        <f t="shared" si="10"/>
        <v>4.2969439201466777</v>
      </c>
      <c r="CB24" s="462">
        <f t="shared" si="10"/>
        <v>9.842143989320757</v>
      </c>
      <c r="CC24" s="462">
        <f t="shared" si="10"/>
        <v>9.0773958530922165</v>
      </c>
      <c r="CD24" s="462">
        <f t="shared" si="10"/>
        <v>3.2481030601133201</v>
      </c>
      <c r="CE24" s="462">
        <f t="shared" si="10"/>
        <v>5.5357061199982214</v>
      </c>
      <c r="CF24" s="462">
        <f t="shared" si="10"/>
        <v>9.5325615552015979</v>
      </c>
      <c r="CG24" s="462">
        <f t="shared" si="10"/>
        <v>7.0215982683923217</v>
      </c>
      <c r="CH24" s="462">
        <f t="shared" si="10"/>
        <v>6.5980320589675356</v>
      </c>
      <c r="CI24" s="462">
        <f t="shared" si="10"/>
        <v>7.637903991270619</v>
      </c>
      <c r="CJ24" s="462">
        <f t="shared" ref="CJ24:CX24" si="11">SUMPRODUCT(CJ21:CJ23,$C21:$C23)/SUM($C21:$C23)</f>
        <v>7.2138381171910995</v>
      </c>
      <c r="CK24" s="462">
        <f t="shared" si="11"/>
        <v>7.2289926121063095</v>
      </c>
      <c r="CL24" s="462">
        <f t="shared" si="11"/>
        <v>2.9207846505788053</v>
      </c>
      <c r="CM24" s="462">
        <f t="shared" si="11"/>
        <v>8.3290660317763514</v>
      </c>
      <c r="CN24" s="462">
        <f t="shared" si="11"/>
        <v>9.4258318390058768</v>
      </c>
      <c r="CO24" s="462">
        <f t="shared" si="11"/>
        <v>2.4839319304110132</v>
      </c>
      <c r="CP24" s="462">
        <f t="shared" si="11"/>
        <v>2.3917193180974547</v>
      </c>
      <c r="CQ24" s="462">
        <f t="shared" si="11"/>
        <v>0.72286358780770166</v>
      </c>
      <c r="CR24" s="462">
        <f t="shared" si="11"/>
        <v>8.1949447166414195</v>
      </c>
      <c r="CS24" s="462">
        <f t="shared" si="11"/>
        <v>6.1687793707568188</v>
      </c>
      <c r="CT24" s="462">
        <f t="shared" si="11"/>
        <v>4.0772490245893902</v>
      </c>
      <c r="CU24" s="462">
        <f t="shared" si="11"/>
        <v>4.7477849598557782</v>
      </c>
      <c r="CV24" s="462">
        <f t="shared" si="11"/>
        <v>4.0904836892413288</v>
      </c>
      <c r="CW24" s="462">
        <f t="shared" si="11"/>
        <v>1.9694194049904601</v>
      </c>
      <c r="CX24" s="462">
        <f t="shared" si="11"/>
        <v>2.5585650198138454</v>
      </c>
      <c r="CZ24" s="585"/>
      <c r="DA24" s="462">
        <f t="array" ref="DA24">SUMPRODUCT(IF(($W$3:$CX$3=DA$3)*($W$2:$CX$2=DA$2),$W24:$CX24),IF(($W$3:$CX$3=DA$3)*($W$2:$CX$2=DA$2),$W$36:$CX$36))/SUM(IF(($W$3:$CX$3=DA$3)*($W$2:$CX$2=DA$2),$W$36:$CX$36))</f>
        <v>5.9681297031289766</v>
      </c>
      <c r="DB24" s="462">
        <f t="array" ref="DB24">SUMPRODUCT(IF(($W$3:$CX$3=DB$3)*($W$2:$CX$2=DB$2),$W24:$CX24),IF(($W$3:$CX$3=DB$3)*($W$2:$CX$2=DB$2),$W$36:$CX$36))/SUM(IF(($W$3:$CX$3=DB$3)*($W$2:$CX$2=DB$2),$W$36:$CX$36))</f>
        <v>6.067694227452475</v>
      </c>
      <c r="DC24" s="462">
        <f t="array" ref="DC24">SUMPRODUCT(IF(($W$3:$CX$3=DC$3)*($W$2:$CX$2=DC$2),$W24:$CX24),IF(($W$3:$CX$3=DC$3)*($W$2:$CX$2=DC$2),$W$36:$CX$36))/SUM(IF(($W$3:$CX$3=DC$3)*($W$2:$CX$2=DC$2),$W$36:$CX$36))</f>
        <v>4.7179435082642698</v>
      </c>
      <c r="DD24" s="462">
        <f t="array" ref="DD24">SUMPRODUCT(IF(($W$3:$CX$3=DD$3)*($W$2:$CX$2=DD$2),$W24:$CX24),IF(($W$3:$CX$3=DD$3)*($W$2:$CX$2=DD$2),$W$36:$CX$36))/SUM(IF(($W$3:$CX$3=DD$3)*($W$2:$CX$2=DD$2),$W$36:$CX$36))</f>
        <v>6.0051195629054606</v>
      </c>
      <c r="DE24" s="462">
        <f t="array" ref="DE24">SUMPRODUCT(IF(($W$3:$CX$3=DE$3)*($W$2:$CX$2=DE$2),$W24:$CX24),IF(($W$3:$CX$3=DE$3)*($W$2:$CX$2=DE$2),$W$36:$CX$36))/SUM(IF(($W$3:$CX$3=DE$3)*($W$2:$CX$2=DE$2),$W$36:$CX$36))</f>
        <v>4.2202357248725297</v>
      </c>
      <c r="DF24" s="462">
        <f t="array" ref="DF24">SUMPRODUCT(IF(($W$3:$CX$3=DF$3)*($W$2:$CX$2=DF$2),$W24:$CX24),IF(($W$3:$CX$3=DF$3)*($W$2:$CX$2=DF$2),$W$36:$CX$36))/SUM(IF(($W$3:$CX$3=DF$3)*($W$2:$CX$2=DF$2),$W$36:$CX$36))</f>
        <v>7.2753315775266501</v>
      </c>
      <c r="DG24" s="462">
        <f t="array" ref="DG24">SUMPRODUCT(IF(($W$3:$CX$3=DG$3)*($W$2:$CX$2=DG$2),$W24:$CX24),IF(($W$3:$CX$3=DG$3)*($W$2:$CX$2=DG$2),$W$36:$CX$36))/SUM(IF(($W$3:$CX$3=DG$3)*($W$2:$CX$2=DG$2),$W$36:$CX$36))</f>
        <v>3.2452866949050367</v>
      </c>
      <c r="DH24" s="462">
        <f t="array" ref="DH24">SUMPRODUCT(IF(($W$3:$CX$3=DH$3)*($W$2:$CX$2=DH$2),$W24:$CX24),IF(($W$3:$CX$3=DH$3)*($W$2:$CX$2=DH$2),$W$36:$CX$36))/SUM(IF(($W$3:$CX$3=DH$3)*($W$2:$CX$2=DH$2),$W$36:$CX$36))</f>
        <v>4.3889907107415196</v>
      </c>
      <c r="DI24" s="462">
        <f t="array" ref="DI24">SUMPRODUCT(IF(($W$3:$CX$3=DI$3)*($W$2:$CX$2=DI$2),$W24:$CX24),IF(($W$3:$CX$3=DI$3)*($W$2:$CX$2=DI$2),$W$36:$CX$36))/SUM(IF(($W$3:$CX$3=DI$3)*($W$2:$CX$2=DI$2),$W$36:$CX$36))</f>
        <v>3.0174384508641867</v>
      </c>
      <c r="DJ24" s="462">
        <f t="array" ref="DJ24">SUMPRODUCT(IF(($W$3:$CX$3=DJ$3)*($W$2:$CX$2=DJ$2),$W24:$CX24),IF(($W$3:$CX$3=DJ$3)*($W$2:$CX$2=DJ$2),$W$36:$CX$36))/SUM(IF(($W$3:$CX$3=DJ$3)*($W$2:$CX$2=DJ$2),$W$36:$CX$36))</f>
        <v>2.7939089241775354</v>
      </c>
      <c r="DK24" s="462">
        <f t="array" ref="DK24">SUMPRODUCT(IF(($W$3:$CX$3=DK$3)*1,$W24:$CX24),IF(($W$3:$CX$3=DK$3)*1,$W$36:$CX$36))/SUM(IF(($W$3:$CX$3=DK$3)*1,$W$36:$CX$36))</f>
        <v>4.5145186001754638</v>
      </c>
      <c r="DL24" s="462">
        <f t="array" ref="DL24">SUMPRODUCT(IF(($W$3:$CX$3=DL$3)*1,$W24:$CX24),IF(($W$3:$CX$3=DL$3)*1,$W$36:$CX$36))/SUM(IF(($W$3:$CX$3=DL$3)*1,$W$36:$CX$36))</f>
        <v>4.5657754922125475</v>
      </c>
      <c r="DM24" s="462">
        <f t="array" ref="DM24">SUMPRODUCT(IF(($W$3:$CX$3=DM$3)*1,$W24:$CX24),IF(($W$3:$CX$3=DM$3)*1,$W$36:$CX$36))/SUM(IF(($W$3:$CX$3=DM$3)*1,$W$36:$CX$36))</f>
        <v>5.0480989547944191</v>
      </c>
      <c r="DN24" s="462">
        <f t="array" ref="DN24">SUMPRODUCT(IF(1*($W$2:$CX$2=DN$2),$W24:$CX24),IF(1*($W$2:$CX$2=DN$2),$W$36:$CX$36))/SUM(IF(1*($W$2:$CX$2=DN$2),$W$36:$CX$36))</f>
        <v>5.8291081798009081</v>
      </c>
      <c r="DO24" s="462">
        <f t="array" ref="DO24">SUMPRODUCT(IF(1*($W$2:$CX$2=DO$2),$W24:$CX24),IF(1*($W$2:$CX$2=DO$2),$W$36:$CX$36))/SUM(IF(1*($W$2:$CX$2=DO$2),$W$36:$CX$36))</f>
        <v>3.6092046475402109</v>
      </c>
      <c r="DP24" s="462">
        <f t="array" ref="DP24">SUMPRODUCT(IF(1*1,$W24:$CX24),IF(1*1,$W$36:$CX$36))/SUM(IF(1*1,$W$36:$CX$36))</f>
        <v>4.9797390819120402</v>
      </c>
    </row>
    <row r="25" spans="1:120" s="428" customFormat="1" ht="15.75" customHeight="1" thickBot="1" x14ac:dyDescent="0.3">
      <c r="A25" s="639">
        <f>'MD-ratings-year'!A25</f>
        <v>0.25</v>
      </c>
      <c r="B25" s="633" t="str">
        <f>'MD-ratings-year'!B25</f>
        <v>Profitability</v>
      </c>
      <c r="C25" s="435">
        <f>'MD-ratings-year'!C25</f>
        <v>0.1</v>
      </c>
      <c r="D25" s="436" t="str">
        <f>'MD-ratings-year'!D25</f>
        <v>ROA - Return on Assets</v>
      </c>
      <c r="E25" s="438" t="str">
        <f>'MD-ratings-year'!E25</f>
        <v>Net Profit ÷ Total Assets</v>
      </c>
      <c r="F25" s="440" t="s">
        <v>400</v>
      </c>
      <c r="G25" s="653"/>
      <c r="I25" s="580">
        <f>'SK-ratios'!U28</f>
        <v>22.538100602969134</v>
      </c>
      <c r="K25" s="258">
        <f>'MD-ratings-year'!P25</f>
        <v>-0.13301091048016497</v>
      </c>
      <c r="L25" s="568">
        <f>'MD-ratings-year'!Q25</f>
        <v>-6.6505455240082487E-2</v>
      </c>
      <c r="M25" s="258">
        <f>'MD-ratings-year'!R25</f>
        <v>0</v>
      </c>
      <c r="N25" s="568">
        <f>'MD-ratings-year'!S25</f>
        <v>6.6505455240082487E-2</v>
      </c>
      <c r="O25" s="258">
        <f>'MD-ratings-year'!T25</f>
        <v>0.13301091048016497</v>
      </c>
      <c r="P25" s="258"/>
      <c r="Q25" s="258"/>
      <c r="R25" s="258"/>
      <c r="S25" s="243"/>
      <c r="T25" s="243"/>
      <c r="U25" s="243"/>
      <c r="V25" s="252"/>
      <c r="W25" s="455">
        <f t="array" ref="W25">IF('SK-ratios'!AF28&gt;'SK-ratios'!$AC28,10,IF('SK-ratios'!AF28&gt;='SK-ratios'!$AA28,5+5*LOG(1+('SK-ratios'!$U28-1)*('SK-ratios'!AF28-'SK-ratios'!$AA28)/('SK-ratios'!$AC28-'SK-ratios'!$AA28))/LOG('SK-ratios'!$U28),IF('SK-ratios'!AF28&gt;'SK-ratios'!$Y28,5-5*LOG(1+('SK-ratios'!$U28-1)*('SK-ratios'!AF28-'SK-ratios'!$AA28)/('SK-ratios'!$Y28-'SK-ratios'!$AA28))/LOG('SK-ratios'!$U28),0)))</f>
        <v>5.3192733322013801</v>
      </c>
      <c r="X25" s="455">
        <f t="array" ref="X25">IF('SK-ratios'!AG28&gt;'SK-ratios'!$AC28,10,IF('SK-ratios'!AG28&gt;='SK-ratios'!$AA28,5+5*LOG(1+('SK-ratios'!$U28-1)*('SK-ratios'!AG28-'SK-ratios'!$AA28)/('SK-ratios'!$AC28-'SK-ratios'!$AA28))/LOG('SK-ratios'!$U28),IF('SK-ratios'!AG28&gt;'SK-ratios'!$Y28,5-5*LOG(1+('SK-ratios'!$U28-1)*('SK-ratios'!AG28-'SK-ratios'!$AA28)/('SK-ratios'!$Y28-'SK-ratios'!$AA28))/LOG('SK-ratios'!$U28),0)))</f>
        <v>5.7781589148034351</v>
      </c>
      <c r="Y25" s="455">
        <f t="array" ref="Y25">IF('SK-ratios'!AH28&gt;'SK-ratios'!$AC28,10,IF('SK-ratios'!AH28&gt;='SK-ratios'!$AA28,5+5*LOG(1+('SK-ratios'!$U28-1)*('SK-ratios'!AH28-'SK-ratios'!$AA28)/('SK-ratios'!$AC28-'SK-ratios'!$AA28))/LOG('SK-ratios'!$U28),IF('SK-ratios'!AH28&gt;'SK-ratios'!$Y28,5-5*LOG(1+('SK-ratios'!$U28-1)*('SK-ratios'!AH28-'SK-ratios'!$AA28)/('SK-ratios'!$Y28-'SK-ratios'!$AA28))/LOG('SK-ratios'!$U28),0)))</f>
        <v>7.1347667422888996</v>
      </c>
      <c r="Z25" s="455">
        <f t="array" ref="Z25">IF('SK-ratios'!AI28&gt;'SK-ratios'!$AC28,10,IF('SK-ratios'!AI28&gt;='SK-ratios'!$AA28,5+5*LOG(1+('SK-ratios'!$U28-1)*('SK-ratios'!AI28-'SK-ratios'!$AA28)/('SK-ratios'!$AC28-'SK-ratios'!$AA28))/LOG('SK-ratios'!$U28),IF('SK-ratios'!AI28&gt;'SK-ratios'!$Y28,5-5*LOG(1+('SK-ratios'!$U28-1)*('SK-ratios'!AI28-'SK-ratios'!$AA28)/('SK-ratios'!$Y28-'SK-ratios'!$AA28))/LOG('SK-ratios'!$U28),0)))</f>
        <v>8.4562126015374321</v>
      </c>
      <c r="AA25" s="455">
        <f t="array" ref="AA25">IF('SK-ratios'!AJ28&gt;'SK-ratios'!$AC28,10,IF('SK-ratios'!AJ28&gt;='SK-ratios'!$AA28,5+5*LOG(1+('SK-ratios'!$U28-1)*('SK-ratios'!AJ28-'SK-ratios'!$AA28)/('SK-ratios'!$AC28-'SK-ratios'!$AA28))/LOG('SK-ratios'!$U28),IF('SK-ratios'!AJ28&gt;'SK-ratios'!$Y28,5-5*LOG(1+('SK-ratios'!$U28-1)*('SK-ratios'!AJ28-'SK-ratios'!$AA28)/('SK-ratios'!$Y28-'SK-ratios'!$AA28))/LOG('SK-ratios'!$U28),0)))</f>
        <v>7.5374907539918645</v>
      </c>
      <c r="AB25" s="455">
        <f t="array" ref="AB25">IF('SK-ratios'!AK28&gt;'SK-ratios'!$AC28,10,IF('SK-ratios'!AK28&gt;='SK-ratios'!$AA28,5+5*LOG(1+('SK-ratios'!$U28-1)*('SK-ratios'!AK28-'SK-ratios'!$AA28)/('SK-ratios'!$AC28-'SK-ratios'!$AA28))/LOG('SK-ratios'!$U28),IF('SK-ratios'!AK28&gt;'SK-ratios'!$Y28,5-5*LOG(1+('SK-ratios'!$U28-1)*('SK-ratios'!AK28-'SK-ratios'!$AA28)/('SK-ratios'!$Y28-'SK-ratios'!$AA28))/LOG('SK-ratios'!$U28),0)))</f>
        <v>3.6275239821494765</v>
      </c>
      <c r="AC25" s="455">
        <f t="array" ref="AC25">IF('SK-ratios'!AL28&gt;'SK-ratios'!$AC28,10,IF('SK-ratios'!AL28&gt;='SK-ratios'!$AA28,5+5*LOG(1+('SK-ratios'!$U28-1)*('SK-ratios'!AL28-'SK-ratios'!$AA28)/('SK-ratios'!$AC28-'SK-ratios'!$AA28))/LOG('SK-ratios'!$U28),IF('SK-ratios'!AL28&gt;'SK-ratios'!$Y28,5-5*LOG(1+('SK-ratios'!$U28-1)*('SK-ratios'!AL28-'SK-ratios'!$AA28)/('SK-ratios'!$Y28-'SK-ratios'!$AA28))/LOG('SK-ratios'!$U28),0)))</f>
        <v>8.2739728904770811</v>
      </c>
      <c r="AD25" s="455">
        <f t="array" ref="AD25">IF('SK-ratios'!AM28&gt;'SK-ratios'!$AC28,10,IF('SK-ratios'!AM28&gt;='SK-ratios'!$AA28,5+5*LOG(1+('SK-ratios'!$U28-1)*('SK-ratios'!AM28-'SK-ratios'!$AA28)/('SK-ratios'!$AC28-'SK-ratios'!$AA28))/LOG('SK-ratios'!$U28),IF('SK-ratios'!AM28&gt;'SK-ratios'!$Y28,5-5*LOG(1+('SK-ratios'!$U28-1)*('SK-ratios'!AM28-'SK-ratios'!$AA28)/('SK-ratios'!$Y28-'SK-ratios'!$AA28))/LOG('SK-ratios'!$U28),0)))</f>
        <v>9.8285274254094013</v>
      </c>
      <c r="AE25" s="455">
        <f t="array" ref="AE25">IF('SK-ratios'!AN28&gt;'SK-ratios'!$AC28,10,IF('SK-ratios'!AN28&gt;='SK-ratios'!$AA28,5+5*LOG(1+('SK-ratios'!$U28-1)*('SK-ratios'!AN28-'SK-ratios'!$AA28)/('SK-ratios'!$AC28-'SK-ratios'!$AA28))/LOG('SK-ratios'!$U28),IF('SK-ratios'!AN28&gt;'SK-ratios'!$Y28,5-5*LOG(1+('SK-ratios'!$U28-1)*('SK-ratios'!AN28-'SK-ratios'!$AA28)/('SK-ratios'!$Y28-'SK-ratios'!$AA28))/LOG('SK-ratios'!$U28),0)))</f>
        <v>9.0751506902574235</v>
      </c>
      <c r="AF25" s="455">
        <f t="array" ref="AF25">IF('SK-ratios'!AO28&gt;'SK-ratios'!$AC28,10,IF('SK-ratios'!AO28&gt;='SK-ratios'!$AA28,5+5*LOG(1+('SK-ratios'!$U28-1)*('SK-ratios'!AO28-'SK-ratios'!$AA28)/('SK-ratios'!$AC28-'SK-ratios'!$AA28))/LOG('SK-ratios'!$U28),IF('SK-ratios'!AO28&gt;'SK-ratios'!$Y28,5-5*LOG(1+('SK-ratios'!$U28-1)*('SK-ratios'!AO28-'SK-ratios'!$AA28)/('SK-ratios'!$Y28-'SK-ratios'!$AA28))/LOG('SK-ratios'!$U28),0)))</f>
        <v>9.1624226089189875</v>
      </c>
      <c r="AG25" s="455">
        <f t="array" ref="AG25">IF('SK-ratios'!AP28&gt;'SK-ratios'!$AC28,10,IF('SK-ratios'!AP28&gt;='SK-ratios'!$AA28,5+5*LOG(1+('SK-ratios'!$U28-1)*('SK-ratios'!AP28-'SK-ratios'!$AA28)/('SK-ratios'!$AC28-'SK-ratios'!$AA28))/LOG('SK-ratios'!$U28),IF('SK-ratios'!AP28&gt;'SK-ratios'!$Y28,5-5*LOG(1+('SK-ratios'!$U28-1)*('SK-ratios'!AP28-'SK-ratios'!$AA28)/('SK-ratios'!$Y28-'SK-ratios'!$AA28))/LOG('SK-ratios'!$U28),0)))</f>
        <v>10</v>
      </c>
      <c r="AH25" s="455">
        <f t="array" ref="AH25">IF('SK-ratios'!AQ28&gt;'SK-ratios'!$AC28,10,IF('SK-ratios'!AQ28&gt;='SK-ratios'!$AA28,5+5*LOG(1+('SK-ratios'!$U28-1)*('SK-ratios'!AQ28-'SK-ratios'!$AA28)/('SK-ratios'!$AC28-'SK-ratios'!$AA28))/LOG('SK-ratios'!$U28),IF('SK-ratios'!AQ28&gt;'SK-ratios'!$Y28,5-5*LOG(1+('SK-ratios'!$U28-1)*('SK-ratios'!AQ28-'SK-ratios'!$AA28)/('SK-ratios'!$Y28-'SK-ratios'!$AA28))/LOG('SK-ratios'!$U28),0)))</f>
        <v>1.6521780698241861</v>
      </c>
      <c r="AI25" s="455">
        <f t="array" ref="AI25">IF('SK-ratios'!AR28&gt;'SK-ratios'!$AC28,10,IF('SK-ratios'!AR28&gt;='SK-ratios'!$AA28,5+5*LOG(1+('SK-ratios'!$U28-1)*('SK-ratios'!AR28-'SK-ratios'!$AA28)/('SK-ratios'!$AC28-'SK-ratios'!$AA28))/LOG('SK-ratios'!$U28),IF('SK-ratios'!AR28&gt;'SK-ratios'!$Y28,5-5*LOG(1+('SK-ratios'!$U28-1)*('SK-ratios'!AR28-'SK-ratios'!$AA28)/('SK-ratios'!$Y28-'SK-ratios'!$AA28))/LOG('SK-ratios'!$U28),0)))</f>
        <v>8.9751718525699253</v>
      </c>
      <c r="AJ25" s="455">
        <f t="array" ref="AJ25">IF('SK-ratios'!AS28&gt;'SK-ratios'!$AC28,10,IF('SK-ratios'!AS28&gt;='SK-ratios'!$AA28,5+5*LOG(1+('SK-ratios'!$U28-1)*('SK-ratios'!AS28-'SK-ratios'!$AA28)/('SK-ratios'!$AC28-'SK-ratios'!$AA28))/LOG('SK-ratios'!$U28),IF('SK-ratios'!AS28&gt;'SK-ratios'!$Y28,5-5*LOG(1+('SK-ratios'!$U28-1)*('SK-ratios'!AS28-'SK-ratios'!$AA28)/('SK-ratios'!$Y28-'SK-ratios'!$AA28))/LOG('SK-ratios'!$U28),0)))</f>
        <v>10</v>
      </c>
      <c r="AK25" s="455">
        <f t="array" ref="AK25">IF('SK-ratios'!AT28&gt;'SK-ratios'!$AC28,10,IF('SK-ratios'!AT28&gt;='SK-ratios'!$AA28,5+5*LOG(1+('SK-ratios'!$U28-1)*('SK-ratios'!AT28-'SK-ratios'!$AA28)/('SK-ratios'!$AC28-'SK-ratios'!$AA28))/LOG('SK-ratios'!$U28),IF('SK-ratios'!AT28&gt;'SK-ratios'!$Y28,5-5*LOG(1+('SK-ratios'!$U28-1)*('SK-ratios'!AT28-'SK-ratios'!$AA28)/('SK-ratios'!$Y28-'SK-ratios'!$AA28))/LOG('SK-ratios'!$U28),0)))</f>
        <v>6.2541955006517114</v>
      </c>
      <c r="AL25" s="455">
        <f t="array" ref="AL25">IF('SK-ratios'!AU28&gt;'SK-ratios'!$AC28,10,IF('SK-ratios'!AU28&gt;='SK-ratios'!$AA28,5+5*LOG(1+('SK-ratios'!$U28-1)*('SK-ratios'!AU28-'SK-ratios'!$AA28)/('SK-ratios'!$AC28-'SK-ratios'!$AA28))/LOG('SK-ratios'!$U28),IF('SK-ratios'!AU28&gt;'SK-ratios'!$Y28,5-5*LOG(1+('SK-ratios'!$U28-1)*('SK-ratios'!AU28-'SK-ratios'!$AA28)/('SK-ratios'!$Y28-'SK-ratios'!$AA28))/LOG('SK-ratios'!$U28),0)))</f>
        <v>9.1837676128604446</v>
      </c>
      <c r="AM25" s="455">
        <f t="array" ref="AM25">IF('SK-ratios'!AV28&gt;'SK-ratios'!$AC28,10,IF('SK-ratios'!AV28&gt;='SK-ratios'!$AA28,5+5*LOG(1+('SK-ratios'!$U28-1)*('SK-ratios'!AV28-'SK-ratios'!$AA28)/('SK-ratios'!$AC28-'SK-ratios'!$AA28))/LOG('SK-ratios'!$U28),IF('SK-ratios'!AV28&gt;'SK-ratios'!$Y28,5-5*LOG(1+('SK-ratios'!$U28-1)*('SK-ratios'!AV28-'SK-ratios'!$AA28)/('SK-ratios'!$Y28-'SK-ratios'!$AA28))/LOG('SK-ratios'!$U28),0)))</f>
        <v>10</v>
      </c>
      <c r="AN25" s="455">
        <f t="array" ref="AN25">IF('SK-ratios'!AW28&gt;'SK-ratios'!$AC28,10,IF('SK-ratios'!AW28&gt;='SK-ratios'!$AA28,5+5*LOG(1+('SK-ratios'!$U28-1)*('SK-ratios'!AW28-'SK-ratios'!$AA28)/('SK-ratios'!$AC28-'SK-ratios'!$AA28))/LOG('SK-ratios'!$U28),IF('SK-ratios'!AW28&gt;'SK-ratios'!$Y28,5-5*LOG(1+('SK-ratios'!$U28-1)*('SK-ratios'!AW28-'SK-ratios'!$AA28)/('SK-ratios'!$Y28-'SK-ratios'!$AA28))/LOG('SK-ratios'!$U28),0)))</f>
        <v>3.878145319824184</v>
      </c>
      <c r="AO25" s="455">
        <f t="array" ref="AO25">IF('SK-ratios'!AX28&gt;'SK-ratios'!$AC28,10,IF('SK-ratios'!AX28&gt;='SK-ratios'!$AA28,5+5*LOG(1+('SK-ratios'!$U28-1)*('SK-ratios'!AX28-'SK-ratios'!$AA28)/('SK-ratios'!$AC28-'SK-ratios'!$AA28))/LOG('SK-ratios'!$U28),IF('SK-ratios'!AX28&gt;'SK-ratios'!$Y28,5-5*LOG(1+('SK-ratios'!$U28-1)*('SK-ratios'!AX28-'SK-ratios'!$AA28)/('SK-ratios'!$Y28-'SK-ratios'!$AA28))/LOG('SK-ratios'!$U28),0)))</f>
        <v>0</v>
      </c>
      <c r="AP25" s="455">
        <f t="array" ref="AP25">IF('SK-ratios'!AY28&gt;'SK-ratios'!$AC28,10,IF('SK-ratios'!AY28&gt;='SK-ratios'!$AA28,5+5*LOG(1+('SK-ratios'!$U28-1)*('SK-ratios'!AY28-'SK-ratios'!$AA28)/('SK-ratios'!$AC28-'SK-ratios'!$AA28))/LOG('SK-ratios'!$U28),IF('SK-ratios'!AY28&gt;'SK-ratios'!$Y28,5-5*LOG(1+('SK-ratios'!$U28-1)*('SK-ratios'!AY28-'SK-ratios'!$AA28)/('SK-ratios'!$Y28-'SK-ratios'!$AA28))/LOG('SK-ratios'!$U28),0)))</f>
        <v>9.184023121297038</v>
      </c>
      <c r="AQ25" s="455">
        <f t="array" ref="AQ25">IF('SK-ratios'!AZ28&gt;'SK-ratios'!$AC28,10,IF('SK-ratios'!AZ28&gt;='SK-ratios'!$AA28,5+5*LOG(1+('SK-ratios'!$U28-1)*('SK-ratios'!AZ28-'SK-ratios'!$AA28)/('SK-ratios'!$AC28-'SK-ratios'!$AA28))/LOG('SK-ratios'!$U28),IF('SK-ratios'!AZ28&gt;'SK-ratios'!$Y28,5-5*LOG(1+('SK-ratios'!$U28-1)*('SK-ratios'!AZ28-'SK-ratios'!$AA28)/('SK-ratios'!$Y28-'SK-ratios'!$AA28))/LOG('SK-ratios'!$U28),0)))</f>
        <v>6.3960985038659919</v>
      </c>
      <c r="AR25" s="455">
        <f t="array" ref="AR25">IF('SK-ratios'!BA28&gt;'SK-ratios'!$AC28,10,IF('SK-ratios'!BA28&gt;='SK-ratios'!$AA28,5+5*LOG(1+('SK-ratios'!$U28-1)*('SK-ratios'!BA28-'SK-ratios'!$AA28)/('SK-ratios'!$AC28-'SK-ratios'!$AA28))/LOG('SK-ratios'!$U28),IF('SK-ratios'!BA28&gt;'SK-ratios'!$Y28,5-5*LOG(1+('SK-ratios'!$U28-1)*('SK-ratios'!BA28-'SK-ratios'!$AA28)/('SK-ratios'!$Y28-'SK-ratios'!$AA28))/LOG('SK-ratios'!$U28),0)))</f>
        <v>5.676792867223484</v>
      </c>
      <c r="AS25" s="455">
        <f t="array" ref="AS25">IF('SK-ratios'!BB28&gt;'SK-ratios'!$AC28,10,IF('SK-ratios'!BB28&gt;='SK-ratios'!$AA28,5+5*LOG(1+('SK-ratios'!$U28-1)*('SK-ratios'!BB28-'SK-ratios'!$AA28)/('SK-ratios'!$AC28-'SK-ratios'!$AA28))/LOG('SK-ratios'!$U28),IF('SK-ratios'!BB28&gt;'SK-ratios'!$Y28,5-5*LOG(1+('SK-ratios'!$U28-1)*('SK-ratios'!BB28-'SK-ratios'!$AA28)/('SK-ratios'!$Y28-'SK-ratios'!$AA28))/LOG('SK-ratios'!$U28),0)))</f>
        <v>6.340929882244577</v>
      </c>
      <c r="AT25" s="455">
        <f t="array" ref="AT25">IF('SK-ratios'!BC28&gt;'SK-ratios'!$AC28,10,IF('SK-ratios'!BC28&gt;='SK-ratios'!$AA28,5+5*LOG(1+('SK-ratios'!$U28-1)*('SK-ratios'!BC28-'SK-ratios'!$AA28)/('SK-ratios'!$AC28-'SK-ratios'!$AA28))/LOG('SK-ratios'!$U28),IF('SK-ratios'!BC28&gt;'SK-ratios'!$Y28,5-5*LOG(1+('SK-ratios'!$U28-1)*('SK-ratios'!BC28-'SK-ratios'!$AA28)/('SK-ratios'!$Y28-'SK-ratios'!$AA28))/LOG('SK-ratios'!$U28),0)))</f>
        <v>0.95069292450500242</v>
      </c>
      <c r="AU25" s="455">
        <f t="array" ref="AU25">IF('SK-ratios'!BD28&gt;'SK-ratios'!$AC28,10,IF('SK-ratios'!BD28&gt;='SK-ratios'!$AA28,5+5*LOG(1+('SK-ratios'!$U28-1)*('SK-ratios'!BD28-'SK-ratios'!$AA28)/('SK-ratios'!$AC28-'SK-ratios'!$AA28))/LOG('SK-ratios'!$U28),IF('SK-ratios'!BD28&gt;'SK-ratios'!$Y28,5-5*LOG(1+('SK-ratios'!$U28-1)*('SK-ratios'!BD28-'SK-ratios'!$AA28)/('SK-ratios'!$Y28-'SK-ratios'!$AA28))/LOG('SK-ratios'!$U28),0)))</f>
        <v>2.7963977564774849</v>
      </c>
      <c r="AV25" s="455">
        <f t="array" ref="AV25">IF('SK-ratios'!BE28&gt;'SK-ratios'!$AC28,10,IF('SK-ratios'!BE28&gt;='SK-ratios'!$AA28,5+5*LOG(1+('SK-ratios'!$U28-1)*('SK-ratios'!BE28-'SK-ratios'!$AA28)/('SK-ratios'!$AC28-'SK-ratios'!$AA28))/LOG('SK-ratios'!$U28),IF('SK-ratios'!BE28&gt;'SK-ratios'!$Y28,5-5*LOG(1+('SK-ratios'!$U28-1)*('SK-ratios'!BE28-'SK-ratios'!$AA28)/('SK-ratios'!$Y28-'SK-ratios'!$AA28))/LOG('SK-ratios'!$U28),0)))</f>
        <v>7.7100682871286015</v>
      </c>
      <c r="AW25" s="455">
        <f t="array" ref="AW25">IF('SK-ratios'!BF28&gt;'SK-ratios'!$AC28,10,IF('SK-ratios'!BF28&gt;='SK-ratios'!$AA28,5+5*LOG(1+('SK-ratios'!$U28-1)*('SK-ratios'!BF28-'SK-ratios'!$AA28)/('SK-ratios'!$AC28-'SK-ratios'!$AA28))/LOG('SK-ratios'!$U28),IF('SK-ratios'!BF28&gt;'SK-ratios'!$Y28,5-5*LOG(1+('SK-ratios'!$U28-1)*('SK-ratios'!BF28-'SK-ratios'!$AA28)/('SK-ratios'!$Y28-'SK-ratios'!$AA28))/LOG('SK-ratios'!$U28),0)))</f>
        <v>2.6671760376890776</v>
      </c>
      <c r="AX25" s="455">
        <f t="array" ref="AX25">IF('SK-ratios'!BG28&gt;'SK-ratios'!$AC28,10,IF('SK-ratios'!BG28&gt;='SK-ratios'!$AA28,5+5*LOG(1+('SK-ratios'!$U28-1)*('SK-ratios'!BG28-'SK-ratios'!$AA28)/('SK-ratios'!$AC28-'SK-ratios'!$AA28))/LOG('SK-ratios'!$U28),IF('SK-ratios'!BG28&gt;'SK-ratios'!$Y28,5-5*LOG(1+('SK-ratios'!$U28-1)*('SK-ratios'!BG28-'SK-ratios'!$AA28)/('SK-ratios'!$Y28-'SK-ratios'!$AA28))/LOG('SK-ratios'!$U28),0)))</f>
        <v>2.1457475369326797</v>
      </c>
      <c r="AY25" s="455">
        <f t="array" ref="AY25">IF('SK-ratios'!BH28&gt;'SK-ratios'!$AC28,10,IF('SK-ratios'!BH28&gt;='SK-ratios'!$AA28,5+5*LOG(1+('SK-ratios'!$U28-1)*('SK-ratios'!BH28-'SK-ratios'!$AA28)/('SK-ratios'!$AC28-'SK-ratios'!$AA28))/LOG('SK-ratios'!$U28),IF('SK-ratios'!BH28&gt;'SK-ratios'!$Y28,5-5*LOG(1+('SK-ratios'!$U28-1)*('SK-ratios'!BH28-'SK-ratios'!$AA28)/('SK-ratios'!$Y28-'SK-ratios'!$AA28))/LOG('SK-ratios'!$U28),0)))</f>
        <v>2.6783310357195096</v>
      </c>
      <c r="AZ25" s="455">
        <f t="array" ref="AZ25">IF('SK-ratios'!BI28&gt;'SK-ratios'!$AC28,10,IF('SK-ratios'!BI28&gt;='SK-ratios'!$AA28,5+5*LOG(1+('SK-ratios'!$U28-1)*('SK-ratios'!BI28-'SK-ratios'!$AA28)/('SK-ratios'!$AC28-'SK-ratios'!$AA28))/LOG('SK-ratios'!$U28),IF('SK-ratios'!BI28&gt;'SK-ratios'!$Y28,5-5*LOG(1+('SK-ratios'!$U28-1)*('SK-ratios'!BI28-'SK-ratios'!$AA28)/('SK-ratios'!$Y28-'SK-ratios'!$AA28))/LOG('SK-ratios'!$U28),0)))</f>
        <v>2.2454833507264924</v>
      </c>
      <c r="BA25" s="455">
        <f t="array" ref="BA25">IF('SK-ratios'!BJ28&gt;'SK-ratios'!$AC28,10,IF('SK-ratios'!BJ28&gt;='SK-ratios'!$AA28,5+5*LOG(1+('SK-ratios'!$U28-1)*('SK-ratios'!BJ28-'SK-ratios'!$AA28)/('SK-ratios'!$AC28-'SK-ratios'!$AA28))/LOG('SK-ratios'!$U28),IF('SK-ratios'!BJ28&gt;'SK-ratios'!$Y28,5-5*LOG(1+('SK-ratios'!$U28-1)*('SK-ratios'!BJ28-'SK-ratios'!$AA28)/('SK-ratios'!$Y28-'SK-ratios'!$AA28))/LOG('SK-ratios'!$U28),0)))</f>
        <v>2.6421662557517491</v>
      </c>
      <c r="BB25" s="455">
        <f t="array" ref="BB25">IF('SK-ratios'!BK28&gt;'SK-ratios'!$AC28,10,IF('SK-ratios'!BK28&gt;='SK-ratios'!$AA28,5+5*LOG(1+('SK-ratios'!$U28-1)*('SK-ratios'!BK28-'SK-ratios'!$AA28)/('SK-ratios'!$AC28-'SK-ratios'!$AA28))/LOG('SK-ratios'!$U28),IF('SK-ratios'!BK28&gt;'SK-ratios'!$Y28,5-5*LOG(1+('SK-ratios'!$U28-1)*('SK-ratios'!BK28-'SK-ratios'!$AA28)/('SK-ratios'!$Y28-'SK-ratios'!$AA28))/LOG('SK-ratios'!$U28),0)))</f>
        <v>6.7380766417992897</v>
      </c>
      <c r="BC25" s="455">
        <f t="array" ref="BC25">IF('SK-ratios'!BL28&gt;'SK-ratios'!$AC28,10,IF('SK-ratios'!BL28&gt;='SK-ratios'!$AA28,5+5*LOG(1+('SK-ratios'!$U28-1)*('SK-ratios'!BL28-'SK-ratios'!$AA28)/('SK-ratios'!$AC28-'SK-ratios'!$AA28))/LOG('SK-ratios'!$U28),IF('SK-ratios'!BL28&gt;'SK-ratios'!$Y28,5-5*LOG(1+('SK-ratios'!$U28-1)*('SK-ratios'!BL28-'SK-ratios'!$AA28)/('SK-ratios'!$Y28-'SK-ratios'!$AA28))/LOG('SK-ratios'!$U28),0)))</f>
        <v>9.0517436093014414</v>
      </c>
      <c r="BD25" s="455">
        <f t="array" ref="BD25">IF('SK-ratios'!BM28&gt;'SK-ratios'!$AC28,10,IF('SK-ratios'!BM28&gt;='SK-ratios'!$AA28,5+5*LOG(1+('SK-ratios'!$U28-1)*('SK-ratios'!BM28-'SK-ratios'!$AA28)/('SK-ratios'!$AC28-'SK-ratios'!$AA28))/LOG('SK-ratios'!$U28),IF('SK-ratios'!BM28&gt;'SK-ratios'!$Y28,5-5*LOG(1+('SK-ratios'!$U28-1)*('SK-ratios'!BM28-'SK-ratios'!$AA28)/('SK-ratios'!$Y28-'SK-ratios'!$AA28))/LOG('SK-ratios'!$U28),0)))</f>
        <v>8.4549703768407962</v>
      </c>
      <c r="BE25" s="455">
        <f t="array" ref="BE25">IF('SK-ratios'!BN28&gt;'SK-ratios'!$AC28,10,IF('SK-ratios'!BN28&gt;='SK-ratios'!$AA28,5+5*LOG(1+('SK-ratios'!$U28-1)*('SK-ratios'!BN28-'SK-ratios'!$AA28)/('SK-ratios'!$AC28-'SK-ratios'!$AA28))/LOG('SK-ratios'!$U28),IF('SK-ratios'!BN28&gt;'SK-ratios'!$Y28,5-5*LOG(1+('SK-ratios'!$U28-1)*('SK-ratios'!BN28-'SK-ratios'!$AA28)/('SK-ratios'!$Y28-'SK-ratios'!$AA28))/LOG('SK-ratios'!$U28),0)))</f>
        <v>5.6774448002495914</v>
      </c>
      <c r="BF25" s="455">
        <f t="array" ref="BF25">IF('SK-ratios'!BO28&gt;'SK-ratios'!$AC28,10,IF('SK-ratios'!BO28&gt;='SK-ratios'!$AA28,5+5*LOG(1+('SK-ratios'!$U28-1)*('SK-ratios'!BO28-'SK-ratios'!$AA28)/('SK-ratios'!$AC28-'SK-ratios'!$AA28))/LOG('SK-ratios'!$U28),IF('SK-ratios'!BO28&gt;'SK-ratios'!$Y28,5-5*LOG(1+('SK-ratios'!$U28-1)*('SK-ratios'!BO28-'SK-ratios'!$AA28)/('SK-ratios'!$Y28-'SK-ratios'!$AA28))/LOG('SK-ratios'!$U28),0)))</f>
        <v>5.1750635106107428</v>
      </c>
      <c r="BG25" s="455">
        <f t="array" ref="BG25">IF('SK-ratios'!BP28&gt;'SK-ratios'!$AC28,10,IF('SK-ratios'!BP28&gt;='SK-ratios'!$AA28,5+5*LOG(1+('SK-ratios'!$U28-1)*('SK-ratios'!BP28-'SK-ratios'!$AA28)/('SK-ratios'!$AC28-'SK-ratios'!$AA28))/LOG('SK-ratios'!$U28),IF('SK-ratios'!BP28&gt;'SK-ratios'!$Y28,5-5*LOG(1+('SK-ratios'!$U28-1)*('SK-ratios'!BP28-'SK-ratios'!$AA28)/('SK-ratios'!$Y28-'SK-ratios'!$AA28))/LOG('SK-ratios'!$U28),0)))</f>
        <v>10</v>
      </c>
      <c r="BH25" s="455">
        <f t="array" ref="BH25">IF('SK-ratios'!BQ28&gt;'SK-ratios'!$AC28,10,IF('SK-ratios'!BQ28&gt;='SK-ratios'!$AA28,5+5*LOG(1+('SK-ratios'!$U28-1)*('SK-ratios'!BQ28-'SK-ratios'!$AA28)/('SK-ratios'!$AC28-'SK-ratios'!$AA28))/LOG('SK-ratios'!$U28),IF('SK-ratios'!BQ28&gt;'SK-ratios'!$Y28,5-5*LOG(1+('SK-ratios'!$U28-1)*('SK-ratios'!BQ28-'SK-ratios'!$AA28)/('SK-ratios'!$Y28-'SK-ratios'!$AA28))/LOG('SK-ratios'!$U28),0)))</f>
        <v>6.0327969379376958</v>
      </c>
      <c r="BI25" s="455">
        <f t="array" ref="BI25">IF('SK-ratios'!BR28&gt;'SK-ratios'!$AC28,10,IF('SK-ratios'!BR28&gt;='SK-ratios'!$AA28,5+5*LOG(1+('SK-ratios'!$U28-1)*('SK-ratios'!BR28-'SK-ratios'!$AA28)/('SK-ratios'!$AC28-'SK-ratios'!$AA28))/LOG('SK-ratios'!$U28),IF('SK-ratios'!BR28&gt;'SK-ratios'!$Y28,5-5*LOG(1+('SK-ratios'!$U28-1)*('SK-ratios'!BR28-'SK-ratios'!$AA28)/('SK-ratios'!$Y28-'SK-ratios'!$AA28))/LOG('SK-ratios'!$U28),0)))</f>
        <v>9.7169465175230663</v>
      </c>
      <c r="BJ25" s="455">
        <f t="array" ref="BJ25">IF('SK-ratios'!BS28&gt;'SK-ratios'!$AC28,10,IF('SK-ratios'!BS28&gt;='SK-ratios'!$AA28,5+5*LOG(1+('SK-ratios'!$U28-1)*('SK-ratios'!BS28-'SK-ratios'!$AA28)/('SK-ratios'!$AC28-'SK-ratios'!$AA28))/LOG('SK-ratios'!$U28),IF('SK-ratios'!BS28&gt;'SK-ratios'!$Y28,5-5*LOG(1+('SK-ratios'!$U28-1)*('SK-ratios'!BS28-'SK-ratios'!$AA28)/('SK-ratios'!$Y28-'SK-ratios'!$AA28))/LOG('SK-ratios'!$U28),0)))</f>
        <v>8.9460591271342889</v>
      </c>
      <c r="BK25" s="455">
        <f t="array" ref="BK25">IF('SK-ratios'!BT28&gt;'SK-ratios'!$AC28,10,IF('SK-ratios'!BT28&gt;='SK-ratios'!$AA28,5+5*LOG(1+('SK-ratios'!$U28-1)*('SK-ratios'!BT28-'SK-ratios'!$AA28)/('SK-ratios'!$AC28-'SK-ratios'!$AA28))/LOG('SK-ratios'!$U28),IF('SK-ratios'!BT28&gt;'SK-ratios'!$Y28,5-5*LOG(1+('SK-ratios'!$U28-1)*('SK-ratios'!BT28-'SK-ratios'!$AA28)/('SK-ratios'!$Y28-'SK-ratios'!$AA28))/LOG('SK-ratios'!$U28),0)))</f>
        <v>0.71004224958716389</v>
      </c>
      <c r="BL25" s="455">
        <f t="array" ref="BL25">IF('SK-ratios'!BU28&gt;'SK-ratios'!$AC28,10,IF('SK-ratios'!BU28&gt;='SK-ratios'!$AA28,5+5*LOG(1+('SK-ratios'!$U28-1)*('SK-ratios'!BU28-'SK-ratios'!$AA28)/('SK-ratios'!$AC28-'SK-ratios'!$AA28))/LOG('SK-ratios'!$U28),IF('SK-ratios'!BU28&gt;'SK-ratios'!$Y28,5-5*LOG(1+('SK-ratios'!$U28-1)*('SK-ratios'!BU28-'SK-ratios'!$AA28)/('SK-ratios'!$Y28-'SK-ratios'!$AA28))/LOG('SK-ratios'!$U28),0)))</f>
        <v>5.9871691108297078</v>
      </c>
      <c r="BM25" s="455">
        <f t="array" ref="BM25">IF('SK-ratios'!BV28&gt;'SK-ratios'!$AC28,10,IF('SK-ratios'!BV28&gt;='SK-ratios'!$AA28,5+5*LOG(1+('SK-ratios'!$U28-1)*('SK-ratios'!BV28-'SK-ratios'!$AA28)/('SK-ratios'!$AC28-'SK-ratios'!$AA28))/LOG('SK-ratios'!$U28),IF('SK-ratios'!BV28&gt;'SK-ratios'!$Y28,5-5*LOG(1+('SK-ratios'!$U28-1)*('SK-ratios'!BV28-'SK-ratios'!$AA28)/('SK-ratios'!$Y28-'SK-ratios'!$AA28))/LOG('SK-ratios'!$U28),0)))</f>
        <v>6.2184984113370243</v>
      </c>
      <c r="BN25" s="455">
        <f t="array" ref="BN25">IF('SK-ratios'!BW28&gt;'SK-ratios'!$AC28,10,IF('SK-ratios'!BW28&gt;='SK-ratios'!$AA28,5+5*LOG(1+('SK-ratios'!$U28-1)*('SK-ratios'!BW28-'SK-ratios'!$AA28)/('SK-ratios'!$AC28-'SK-ratios'!$AA28))/LOG('SK-ratios'!$U28),IF('SK-ratios'!BW28&gt;'SK-ratios'!$Y28,5-5*LOG(1+('SK-ratios'!$U28-1)*('SK-ratios'!BW28-'SK-ratios'!$AA28)/('SK-ratios'!$Y28-'SK-ratios'!$AA28))/LOG('SK-ratios'!$U28),0)))</f>
        <v>7.5287838521199451</v>
      </c>
      <c r="BO25" s="455">
        <f t="array" ref="BO25">IF('SK-ratios'!BX28&gt;'SK-ratios'!$AC28,10,IF('SK-ratios'!BX28&gt;='SK-ratios'!$AA28,5+5*LOG(1+('SK-ratios'!$U28-1)*('SK-ratios'!BX28-'SK-ratios'!$AA28)/('SK-ratios'!$AC28-'SK-ratios'!$AA28))/LOG('SK-ratios'!$U28),IF('SK-ratios'!BX28&gt;'SK-ratios'!$Y28,5-5*LOG(1+('SK-ratios'!$U28-1)*('SK-ratios'!BX28-'SK-ratios'!$AA28)/('SK-ratios'!$Y28-'SK-ratios'!$AA28))/LOG('SK-ratios'!$U28),0)))</f>
        <v>10</v>
      </c>
      <c r="BP25" s="455">
        <f t="array" ref="BP25">IF('SK-ratios'!BY28&gt;'SK-ratios'!$AC28,10,IF('SK-ratios'!BY28&gt;='SK-ratios'!$AA28,5+5*LOG(1+('SK-ratios'!$U28-1)*('SK-ratios'!BY28-'SK-ratios'!$AA28)/('SK-ratios'!$AC28-'SK-ratios'!$AA28))/LOG('SK-ratios'!$U28),IF('SK-ratios'!BY28&gt;'SK-ratios'!$Y28,5-5*LOG(1+('SK-ratios'!$U28-1)*('SK-ratios'!BY28-'SK-ratios'!$AA28)/('SK-ratios'!$Y28-'SK-ratios'!$AA28))/LOG('SK-ratios'!$U28),0)))</f>
        <v>9.8998070685535389</v>
      </c>
      <c r="BQ25" s="455">
        <f t="array" ref="BQ25">IF('SK-ratios'!BZ28&gt;'SK-ratios'!$AC28,10,IF('SK-ratios'!BZ28&gt;='SK-ratios'!$AA28,5+5*LOG(1+('SK-ratios'!$U28-1)*('SK-ratios'!BZ28-'SK-ratios'!$AA28)/('SK-ratios'!$AC28-'SK-ratios'!$AA28))/LOG('SK-ratios'!$U28),IF('SK-ratios'!BZ28&gt;'SK-ratios'!$Y28,5-5*LOG(1+('SK-ratios'!$U28-1)*('SK-ratios'!BZ28-'SK-ratios'!$AA28)/('SK-ratios'!$Y28-'SK-ratios'!$AA28))/LOG('SK-ratios'!$U28),0)))</f>
        <v>5.6351529224064176</v>
      </c>
      <c r="BR25" s="455">
        <f t="array" ref="BR25">IF('SK-ratios'!CA28&gt;'SK-ratios'!$AC28,10,IF('SK-ratios'!CA28&gt;='SK-ratios'!$AA28,5+5*LOG(1+('SK-ratios'!$U28-1)*('SK-ratios'!CA28-'SK-ratios'!$AA28)/('SK-ratios'!$AC28-'SK-ratios'!$AA28))/LOG('SK-ratios'!$U28),IF('SK-ratios'!CA28&gt;'SK-ratios'!$Y28,5-5*LOG(1+('SK-ratios'!$U28-1)*('SK-ratios'!CA28-'SK-ratios'!$AA28)/('SK-ratios'!$Y28-'SK-ratios'!$AA28))/LOG('SK-ratios'!$U28),0)))</f>
        <v>6.5646827935985108</v>
      </c>
      <c r="BS25" s="455">
        <f t="array" ref="BS25">IF('SK-ratios'!CB28&gt;'SK-ratios'!$AC28,10,IF('SK-ratios'!CB28&gt;='SK-ratios'!$AA28,5+5*LOG(1+('SK-ratios'!$U28-1)*('SK-ratios'!CB28-'SK-ratios'!$AA28)/('SK-ratios'!$AC28-'SK-ratios'!$AA28))/LOG('SK-ratios'!$U28),IF('SK-ratios'!CB28&gt;'SK-ratios'!$Y28,5-5*LOG(1+('SK-ratios'!$U28-1)*('SK-ratios'!CB28-'SK-ratios'!$AA28)/('SK-ratios'!$Y28-'SK-ratios'!$AA28))/LOG('SK-ratios'!$U28),0)))</f>
        <v>8.7592310982385193</v>
      </c>
      <c r="BT25" s="455">
        <f t="array" ref="BT25">IF('SK-ratios'!CC28&gt;'SK-ratios'!$AC28,10,IF('SK-ratios'!CC28&gt;='SK-ratios'!$AA28,5+5*LOG(1+('SK-ratios'!$U28-1)*('SK-ratios'!CC28-'SK-ratios'!$AA28)/('SK-ratios'!$AC28-'SK-ratios'!$AA28))/LOG('SK-ratios'!$U28),IF('SK-ratios'!CC28&gt;'SK-ratios'!$Y28,5-5*LOG(1+('SK-ratios'!$U28-1)*('SK-ratios'!CC28-'SK-ratios'!$AA28)/('SK-ratios'!$Y28-'SK-ratios'!$AA28))/LOG('SK-ratios'!$U28),0)))</f>
        <v>7.6313001085317023</v>
      </c>
      <c r="BU25" s="455">
        <f t="array" ref="BU25">IF('SK-ratios'!CD28&gt;'SK-ratios'!$AC28,10,IF('SK-ratios'!CD28&gt;='SK-ratios'!$AA28,5+5*LOG(1+('SK-ratios'!$U28-1)*('SK-ratios'!CD28-'SK-ratios'!$AA28)/('SK-ratios'!$AC28-'SK-ratios'!$AA28))/LOG('SK-ratios'!$U28),IF('SK-ratios'!CD28&gt;'SK-ratios'!$Y28,5-5*LOG(1+('SK-ratios'!$U28-1)*('SK-ratios'!CD28-'SK-ratios'!$AA28)/('SK-ratios'!$Y28-'SK-ratios'!$AA28))/LOG('SK-ratios'!$U28),0)))</f>
        <v>8.8901803907746455</v>
      </c>
      <c r="BV25" s="455">
        <f t="array" ref="BV25">IF('SK-ratios'!CE28&gt;'SK-ratios'!$AC28,10,IF('SK-ratios'!CE28&gt;='SK-ratios'!$AA28,5+5*LOG(1+('SK-ratios'!$U28-1)*('SK-ratios'!CE28-'SK-ratios'!$AA28)/('SK-ratios'!$AC28-'SK-ratios'!$AA28))/LOG('SK-ratios'!$U28),IF('SK-ratios'!CE28&gt;'SK-ratios'!$Y28,5-5*LOG(1+('SK-ratios'!$U28-1)*('SK-ratios'!CE28-'SK-ratios'!$AA28)/('SK-ratios'!$Y28-'SK-ratios'!$AA28))/LOG('SK-ratios'!$U28),0)))</f>
        <v>8.4271040146050815</v>
      </c>
      <c r="BW25" s="455">
        <f t="array" ref="BW25">IF('SK-ratios'!CF28&gt;'SK-ratios'!$AC28,10,IF('SK-ratios'!CF28&gt;='SK-ratios'!$AA28,5+5*LOG(1+('SK-ratios'!$U28-1)*('SK-ratios'!CF28-'SK-ratios'!$AA28)/('SK-ratios'!$AC28-'SK-ratios'!$AA28))/LOG('SK-ratios'!$U28),IF('SK-ratios'!CF28&gt;'SK-ratios'!$Y28,5-5*LOG(1+('SK-ratios'!$U28-1)*('SK-ratios'!CF28-'SK-ratios'!$AA28)/('SK-ratios'!$Y28-'SK-ratios'!$AA28))/LOG('SK-ratios'!$U28),0)))</f>
        <v>5.9830043388465022</v>
      </c>
      <c r="BX25" s="455">
        <f t="array" ref="BX25">IF('SK-ratios'!CG28&gt;'SK-ratios'!$AC28,10,IF('SK-ratios'!CG28&gt;='SK-ratios'!$AA28,5+5*LOG(1+('SK-ratios'!$U28-1)*('SK-ratios'!CG28-'SK-ratios'!$AA28)/('SK-ratios'!$AC28-'SK-ratios'!$AA28))/LOG('SK-ratios'!$U28),IF('SK-ratios'!CG28&gt;'SK-ratios'!$Y28,5-5*LOG(1+('SK-ratios'!$U28-1)*('SK-ratios'!CG28-'SK-ratios'!$AA28)/('SK-ratios'!$Y28-'SK-ratios'!$AA28))/LOG('SK-ratios'!$U28),0)))</f>
        <v>6.7371607737651917</v>
      </c>
      <c r="BY25" s="455">
        <f t="array" ref="BY25">IF('SK-ratios'!CH28&gt;'SK-ratios'!$AC28,10,IF('SK-ratios'!CH28&gt;='SK-ratios'!$AA28,5+5*LOG(1+('SK-ratios'!$U28-1)*('SK-ratios'!CH28-'SK-ratios'!$AA28)/('SK-ratios'!$AC28-'SK-ratios'!$AA28))/LOG('SK-ratios'!$U28),IF('SK-ratios'!CH28&gt;'SK-ratios'!$Y28,5-5*LOG(1+('SK-ratios'!$U28-1)*('SK-ratios'!CH28-'SK-ratios'!$AA28)/('SK-ratios'!$Y28-'SK-ratios'!$AA28))/LOG('SK-ratios'!$U28),0)))</f>
        <v>10</v>
      </c>
      <c r="BZ25" s="455">
        <f t="array" ref="BZ25">IF('SK-ratios'!CI28&gt;'SK-ratios'!$AC28,10,IF('SK-ratios'!CI28&gt;='SK-ratios'!$AA28,5+5*LOG(1+('SK-ratios'!$U28-1)*('SK-ratios'!CI28-'SK-ratios'!$AA28)/('SK-ratios'!$AC28-'SK-ratios'!$AA28))/LOG('SK-ratios'!$U28),IF('SK-ratios'!CI28&gt;'SK-ratios'!$Y28,5-5*LOG(1+('SK-ratios'!$U28-1)*('SK-ratios'!CI28-'SK-ratios'!$AA28)/('SK-ratios'!$Y28-'SK-ratios'!$AA28))/LOG('SK-ratios'!$U28),0)))</f>
        <v>3.9608457411215272</v>
      </c>
      <c r="CA25" s="455">
        <f t="array" ref="CA25">IF('SK-ratios'!CJ28&gt;'SK-ratios'!$AC28,10,IF('SK-ratios'!CJ28&gt;='SK-ratios'!$AA28,5+5*LOG(1+('SK-ratios'!$U28-1)*('SK-ratios'!CJ28-'SK-ratios'!$AA28)/('SK-ratios'!$AC28-'SK-ratios'!$AA28))/LOG('SK-ratios'!$U28),IF('SK-ratios'!CJ28&gt;'SK-ratios'!$Y28,5-5*LOG(1+('SK-ratios'!$U28-1)*('SK-ratios'!CJ28-'SK-ratios'!$AA28)/('SK-ratios'!$Y28-'SK-ratios'!$AA28))/LOG('SK-ratios'!$U28),0)))</f>
        <v>9.3264597559748523</v>
      </c>
      <c r="CB25" s="455">
        <f t="array" ref="CB25">IF('SK-ratios'!CK28&gt;'SK-ratios'!$AC28,10,IF('SK-ratios'!CK28&gt;='SK-ratios'!$AA28,5+5*LOG(1+('SK-ratios'!$U28-1)*('SK-ratios'!CK28-'SK-ratios'!$AA28)/('SK-ratios'!$AC28-'SK-ratios'!$AA28))/LOG('SK-ratios'!$U28),IF('SK-ratios'!CK28&gt;'SK-ratios'!$Y28,5-5*LOG(1+('SK-ratios'!$U28-1)*('SK-ratios'!CK28-'SK-ratios'!$AA28)/('SK-ratios'!$Y28-'SK-ratios'!$AA28))/LOG('SK-ratios'!$U28),0)))</f>
        <v>2.4416302861691874</v>
      </c>
      <c r="CC25" s="455">
        <f t="array" ref="CC25">IF('SK-ratios'!CL28&gt;'SK-ratios'!$AC28,10,IF('SK-ratios'!CL28&gt;='SK-ratios'!$AA28,5+5*LOG(1+('SK-ratios'!$U28-1)*('SK-ratios'!CL28-'SK-ratios'!$AA28)/('SK-ratios'!$AC28-'SK-ratios'!$AA28))/LOG('SK-ratios'!$U28),IF('SK-ratios'!CL28&gt;'SK-ratios'!$Y28,5-5*LOG(1+('SK-ratios'!$U28-1)*('SK-ratios'!CL28-'SK-ratios'!$AA28)/('SK-ratios'!$Y28-'SK-ratios'!$AA28))/LOG('SK-ratios'!$U28),0)))</f>
        <v>6.18307767567629</v>
      </c>
      <c r="CD25" s="455">
        <f t="array" ref="CD25">IF('SK-ratios'!CM28&gt;'SK-ratios'!$AC28,10,IF('SK-ratios'!CM28&gt;='SK-ratios'!$AA28,5+5*LOG(1+('SK-ratios'!$U28-1)*('SK-ratios'!CM28-'SK-ratios'!$AA28)/('SK-ratios'!$AC28-'SK-ratios'!$AA28))/LOG('SK-ratios'!$U28),IF('SK-ratios'!CM28&gt;'SK-ratios'!$Y28,5-5*LOG(1+('SK-ratios'!$U28-1)*('SK-ratios'!CM28-'SK-ratios'!$AA28)/('SK-ratios'!$Y28-'SK-ratios'!$AA28))/LOG('SK-ratios'!$U28),0)))</f>
        <v>9.2237896226849543</v>
      </c>
      <c r="CE25" s="455">
        <f t="array" ref="CE25">IF('SK-ratios'!CN28&gt;'SK-ratios'!$AC28,10,IF('SK-ratios'!CN28&gt;='SK-ratios'!$AA28,5+5*LOG(1+('SK-ratios'!$U28-1)*('SK-ratios'!CN28-'SK-ratios'!$AA28)/('SK-ratios'!$AC28-'SK-ratios'!$AA28))/LOG('SK-ratios'!$U28),IF('SK-ratios'!CN28&gt;'SK-ratios'!$Y28,5-5*LOG(1+('SK-ratios'!$U28-1)*('SK-ratios'!CN28-'SK-ratios'!$AA28)/('SK-ratios'!$Y28-'SK-ratios'!$AA28))/LOG('SK-ratios'!$U28),0)))</f>
        <v>6.9711984463948529</v>
      </c>
      <c r="CF25" s="455">
        <f t="array" ref="CF25">IF('SK-ratios'!CO28&gt;'SK-ratios'!$AC28,10,IF('SK-ratios'!CO28&gt;='SK-ratios'!$AA28,5+5*LOG(1+('SK-ratios'!$U28-1)*('SK-ratios'!CO28-'SK-ratios'!$AA28)/('SK-ratios'!$AC28-'SK-ratios'!$AA28))/LOG('SK-ratios'!$U28),IF('SK-ratios'!CO28&gt;'SK-ratios'!$Y28,5-5*LOG(1+('SK-ratios'!$U28-1)*('SK-ratios'!CO28-'SK-ratios'!$AA28)/('SK-ratios'!$Y28-'SK-ratios'!$AA28))/LOG('SK-ratios'!$U28),0)))</f>
        <v>8.4675060116379885</v>
      </c>
      <c r="CG25" s="455">
        <f t="array" ref="CG25">IF('SK-ratios'!CP28&gt;'SK-ratios'!$AC28,10,IF('SK-ratios'!CP28&gt;='SK-ratios'!$AA28,5+5*LOG(1+('SK-ratios'!$U28-1)*('SK-ratios'!CP28-'SK-ratios'!$AA28)/('SK-ratios'!$AC28-'SK-ratios'!$AA28))/LOG('SK-ratios'!$U28),IF('SK-ratios'!CP28&gt;'SK-ratios'!$Y28,5-5*LOG(1+('SK-ratios'!$U28-1)*('SK-ratios'!CP28-'SK-ratios'!$AA28)/('SK-ratios'!$Y28-'SK-ratios'!$AA28))/LOG('SK-ratios'!$U28),0)))</f>
        <v>7.7986231639341073</v>
      </c>
      <c r="CH25" s="455">
        <f t="array" ref="CH25">IF('SK-ratios'!CQ28&gt;'SK-ratios'!$AC28,10,IF('SK-ratios'!CQ28&gt;='SK-ratios'!$AA28,5+5*LOG(1+('SK-ratios'!$U28-1)*('SK-ratios'!CQ28-'SK-ratios'!$AA28)/('SK-ratios'!$AC28-'SK-ratios'!$AA28))/LOG('SK-ratios'!$U28),IF('SK-ratios'!CQ28&gt;'SK-ratios'!$Y28,5-5*LOG(1+('SK-ratios'!$U28-1)*('SK-ratios'!CQ28-'SK-ratios'!$AA28)/('SK-ratios'!$Y28-'SK-ratios'!$AA28))/LOG('SK-ratios'!$U28),0)))</f>
        <v>7.2461144818646321</v>
      </c>
      <c r="CI25" s="455">
        <f t="array" ref="CI25">IF('SK-ratios'!CR28&gt;'SK-ratios'!$AC28,10,IF('SK-ratios'!CR28&gt;='SK-ratios'!$AA28,5+5*LOG(1+('SK-ratios'!$U28-1)*('SK-ratios'!CR28-'SK-ratios'!$AA28)/('SK-ratios'!$AC28-'SK-ratios'!$AA28))/LOG('SK-ratios'!$U28),IF('SK-ratios'!CR28&gt;'SK-ratios'!$Y28,5-5*LOG(1+('SK-ratios'!$U28-1)*('SK-ratios'!CR28-'SK-ratios'!$AA28)/('SK-ratios'!$Y28-'SK-ratios'!$AA28))/LOG('SK-ratios'!$U28),0)))</f>
        <v>8.4454698370045556</v>
      </c>
      <c r="CJ25" s="455">
        <f t="array" ref="CJ25">IF('SK-ratios'!CS28&gt;'SK-ratios'!$AC28,10,IF('SK-ratios'!CS28&gt;='SK-ratios'!$AA28,5+5*LOG(1+('SK-ratios'!$U28-1)*('SK-ratios'!CS28-'SK-ratios'!$AA28)/('SK-ratios'!$AC28-'SK-ratios'!$AA28))/LOG('SK-ratios'!$U28),IF('SK-ratios'!CS28&gt;'SK-ratios'!$Y28,5-5*LOG(1+('SK-ratios'!$U28-1)*('SK-ratios'!CS28-'SK-ratios'!$AA28)/('SK-ratios'!$Y28-'SK-ratios'!$AA28))/LOG('SK-ratios'!$U28),0)))</f>
        <v>10</v>
      </c>
      <c r="CK25" s="455">
        <f t="array" ref="CK25">IF('SK-ratios'!CT28&gt;'SK-ratios'!$AC28,10,IF('SK-ratios'!CT28&gt;='SK-ratios'!$AA28,5+5*LOG(1+('SK-ratios'!$U28-1)*('SK-ratios'!CT28-'SK-ratios'!$AA28)/('SK-ratios'!$AC28-'SK-ratios'!$AA28))/LOG('SK-ratios'!$U28),IF('SK-ratios'!CT28&gt;'SK-ratios'!$Y28,5-5*LOG(1+('SK-ratios'!$U28-1)*('SK-ratios'!CT28-'SK-ratios'!$AA28)/('SK-ratios'!$Y28-'SK-ratios'!$AA28))/LOG('SK-ratios'!$U28),0)))</f>
        <v>6.8465565585324892</v>
      </c>
      <c r="CL25" s="455">
        <f t="array" ref="CL25">IF('SK-ratios'!CU28&gt;'SK-ratios'!$AC28,10,IF('SK-ratios'!CU28&gt;='SK-ratios'!$AA28,5+5*LOG(1+('SK-ratios'!$U28-1)*('SK-ratios'!CU28-'SK-ratios'!$AA28)/('SK-ratios'!$AC28-'SK-ratios'!$AA28))/LOG('SK-ratios'!$U28),IF('SK-ratios'!CU28&gt;'SK-ratios'!$Y28,5-5*LOG(1+('SK-ratios'!$U28-1)*('SK-ratios'!CU28-'SK-ratios'!$AA28)/('SK-ratios'!$Y28-'SK-ratios'!$AA28))/LOG('SK-ratios'!$U28),0)))</f>
        <v>8.6985515982165342</v>
      </c>
      <c r="CM25" s="455">
        <f t="array" ref="CM25">IF('SK-ratios'!CV28&gt;'SK-ratios'!$AC28,10,IF('SK-ratios'!CV28&gt;='SK-ratios'!$AA28,5+5*LOG(1+('SK-ratios'!$U28-1)*('SK-ratios'!CV28-'SK-ratios'!$AA28)/('SK-ratios'!$AC28-'SK-ratios'!$AA28))/LOG('SK-ratios'!$U28),IF('SK-ratios'!CV28&gt;'SK-ratios'!$Y28,5-5*LOG(1+('SK-ratios'!$U28-1)*('SK-ratios'!CV28-'SK-ratios'!$AA28)/('SK-ratios'!$Y28-'SK-ratios'!$AA28))/LOG('SK-ratios'!$U28),0)))</f>
        <v>4.2820790586338937</v>
      </c>
      <c r="CN25" s="455">
        <f t="array" ref="CN25">IF('SK-ratios'!CW28&gt;'SK-ratios'!$AC28,10,IF('SK-ratios'!CW28&gt;='SK-ratios'!$AA28,5+5*LOG(1+('SK-ratios'!$U28-1)*('SK-ratios'!CW28-'SK-ratios'!$AA28)/('SK-ratios'!$AC28-'SK-ratios'!$AA28))/LOG('SK-ratios'!$U28),IF('SK-ratios'!CW28&gt;'SK-ratios'!$Y28,5-5*LOG(1+('SK-ratios'!$U28-1)*('SK-ratios'!CW28-'SK-ratios'!$AA28)/('SK-ratios'!$Y28-'SK-ratios'!$AA28))/LOG('SK-ratios'!$U28),0)))</f>
        <v>5.2193182999063499</v>
      </c>
      <c r="CO25" s="455">
        <f t="array" ref="CO25">IF('SK-ratios'!CX28&gt;'SK-ratios'!$AC28,10,IF('SK-ratios'!CX28&gt;='SK-ratios'!$AA28,5+5*LOG(1+('SK-ratios'!$U28-1)*('SK-ratios'!CX28-'SK-ratios'!$AA28)/('SK-ratios'!$AC28-'SK-ratios'!$AA28))/LOG('SK-ratios'!$U28),IF('SK-ratios'!CX28&gt;'SK-ratios'!$Y28,5-5*LOG(1+('SK-ratios'!$U28-1)*('SK-ratios'!CX28-'SK-ratios'!$AA28)/('SK-ratios'!$Y28-'SK-ratios'!$AA28))/LOG('SK-ratios'!$U28),0)))</f>
        <v>5.3413753324079813</v>
      </c>
      <c r="CP25" s="455">
        <f t="array" ref="CP25">IF('SK-ratios'!CY28&gt;'SK-ratios'!$AC28,10,IF('SK-ratios'!CY28&gt;='SK-ratios'!$AA28,5+5*LOG(1+('SK-ratios'!$U28-1)*('SK-ratios'!CY28-'SK-ratios'!$AA28)/('SK-ratios'!$AC28-'SK-ratios'!$AA28))/LOG('SK-ratios'!$U28),IF('SK-ratios'!CY28&gt;'SK-ratios'!$Y28,5-5*LOG(1+('SK-ratios'!$U28-1)*('SK-ratios'!CY28-'SK-ratios'!$AA28)/('SK-ratios'!$Y28-'SK-ratios'!$AA28))/LOG('SK-ratios'!$U28),0)))</f>
        <v>7.5799902098380407</v>
      </c>
      <c r="CQ25" s="455">
        <f t="array" ref="CQ25">IF('SK-ratios'!CZ28&gt;'SK-ratios'!$AC28,10,IF('SK-ratios'!CZ28&gt;='SK-ratios'!$AA28,5+5*LOG(1+('SK-ratios'!$U28-1)*('SK-ratios'!CZ28-'SK-ratios'!$AA28)/('SK-ratios'!$AC28-'SK-ratios'!$AA28))/LOG('SK-ratios'!$U28),IF('SK-ratios'!CZ28&gt;'SK-ratios'!$Y28,5-5*LOG(1+('SK-ratios'!$U28-1)*('SK-ratios'!CZ28-'SK-ratios'!$AA28)/('SK-ratios'!$Y28-'SK-ratios'!$AA28))/LOG('SK-ratios'!$U28),0)))</f>
        <v>8.3990362943963284</v>
      </c>
      <c r="CR25" s="455">
        <f t="array" ref="CR25">IF('SK-ratios'!DA28&gt;'SK-ratios'!$AC28,10,IF('SK-ratios'!DA28&gt;='SK-ratios'!$AA28,5+5*LOG(1+('SK-ratios'!$U28-1)*('SK-ratios'!DA28-'SK-ratios'!$AA28)/('SK-ratios'!$AC28-'SK-ratios'!$AA28))/LOG('SK-ratios'!$U28),IF('SK-ratios'!DA28&gt;'SK-ratios'!$Y28,5-5*LOG(1+('SK-ratios'!$U28-1)*('SK-ratios'!DA28-'SK-ratios'!$AA28)/('SK-ratios'!$Y28-'SK-ratios'!$AA28))/LOG('SK-ratios'!$U28),0)))</f>
        <v>8.0825893535390367</v>
      </c>
      <c r="CS25" s="455">
        <f t="array" ref="CS25">IF('SK-ratios'!DB28&gt;'SK-ratios'!$AC28,10,IF('SK-ratios'!DB28&gt;='SK-ratios'!$AA28,5+5*LOG(1+('SK-ratios'!$U28-1)*('SK-ratios'!DB28-'SK-ratios'!$AA28)/('SK-ratios'!$AC28-'SK-ratios'!$AA28))/LOG('SK-ratios'!$U28),IF('SK-ratios'!DB28&gt;'SK-ratios'!$Y28,5-5*LOG(1+('SK-ratios'!$U28-1)*('SK-ratios'!DB28-'SK-ratios'!$AA28)/('SK-ratios'!$Y28-'SK-ratios'!$AA28))/LOG('SK-ratios'!$U28),0)))</f>
        <v>8.6447327730619214</v>
      </c>
      <c r="CT25" s="455">
        <f t="array" ref="CT25">IF('SK-ratios'!DC28&gt;'SK-ratios'!$AC28,10,IF('SK-ratios'!DC28&gt;='SK-ratios'!$AA28,5+5*LOG(1+('SK-ratios'!$U28-1)*('SK-ratios'!DC28-'SK-ratios'!$AA28)/('SK-ratios'!$AC28-'SK-ratios'!$AA28))/LOG('SK-ratios'!$U28),IF('SK-ratios'!DC28&gt;'SK-ratios'!$Y28,5-5*LOG(1+('SK-ratios'!$U28-1)*('SK-ratios'!DC28-'SK-ratios'!$AA28)/('SK-ratios'!$Y28-'SK-ratios'!$AA28))/LOG('SK-ratios'!$U28),0)))</f>
        <v>8.4905385584832604</v>
      </c>
      <c r="CU25" s="455">
        <f t="array" ref="CU25">IF('SK-ratios'!DD28&gt;'SK-ratios'!$AC28,10,IF('SK-ratios'!DD28&gt;='SK-ratios'!$AA28,5+5*LOG(1+('SK-ratios'!$U28-1)*('SK-ratios'!DD28-'SK-ratios'!$AA28)/('SK-ratios'!$AC28-'SK-ratios'!$AA28))/LOG('SK-ratios'!$U28),IF('SK-ratios'!DD28&gt;'SK-ratios'!$Y28,5-5*LOG(1+('SK-ratios'!$U28-1)*('SK-ratios'!DD28-'SK-ratios'!$AA28)/('SK-ratios'!$Y28-'SK-ratios'!$AA28))/LOG('SK-ratios'!$U28),0)))</f>
        <v>2.1352590464634136</v>
      </c>
      <c r="CV25" s="455">
        <f t="array" ref="CV25">IF('SK-ratios'!DE28&gt;'SK-ratios'!$AC28,10,IF('SK-ratios'!DE28&gt;='SK-ratios'!$AA28,5+5*LOG(1+('SK-ratios'!$U28-1)*('SK-ratios'!DE28-'SK-ratios'!$AA28)/('SK-ratios'!$AC28-'SK-ratios'!$AA28))/LOG('SK-ratios'!$U28),IF('SK-ratios'!DE28&gt;'SK-ratios'!$Y28,5-5*LOG(1+('SK-ratios'!$U28-1)*('SK-ratios'!DE28-'SK-ratios'!$AA28)/('SK-ratios'!$Y28-'SK-ratios'!$AA28))/LOG('SK-ratios'!$U28),0)))</f>
        <v>5.5127166911230407</v>
      </c>
      <c r="CW25" s="455">
        <f t="array" ref="CW25">IF('SK-ratios'!DF28&gt;'SK-ratios'!$AC28,10,IF('SK-ratios'!DF28&gt;='SK-ratios'!$AA28,5+5*LOG(1+('SK-ratios'!$U28-1)*('SK-ratios'!DF28-'SK-ratios'!$AA28)/('SK-ratios'!$AC28-'SK-ratios'!$AA28))/LOG('SK-ratios'!$U28),IF('SK-ratios'!DF28&gt;'SK-ratios'!$Y28,5-5*LOG(1+('SK-ratios'!$U28-1)*('SK-ratios'!DF28-'SK-ratios'!$AA28)/('SK-ratios'!$Y28-'SK-ratios'!$AA28))/LOG('SK-ratios'!$U28),0)))</f>
        <v>5.0907845348165344</v>
      </c>
      <c r="CX25" s="455">
        <f t="array" ref="CX25">IF('SK-ratios'!DG28&gt;'SK-ratios'!$AC28,10,IF('SK-ratios'!DG28&gt;='SK-ratios'!$AA28,5+5*LOG(1+('SK-ratios'!$U28-1)*('SK-ratios'!DG28-'SK-ratios'!$AA28)/('SK-ratios'!$AC28-'SK-ratios'!$AA28))/LOG('SK-ratios'!$U28),IF('SK-ratios'!DG28&gt;'SK-ratios'!$Y28,5-5*LOG(1+('SK-ratios'!$U28-1)*('SK-ratios'!DG28-'SK-ratios'!$AA28)/('SK-ratios'!$Y28-'SK-ratios'!$AA28))/LOG('SK-ratios'!$U28),0)))</f>
        <v>4.036400592157448</v>
      </c>
      <c r="CZ25" s="546"/>
      <c r="DA25" s="455">
        <f t="array" ref="DA25">SUMPRODUCT(IF(($W$3:$CX$3=DA$3)*($W$2:$CX$2=DA$2),$W25:$CX25),IF(($W$3:$CX$3=DA$3)*($W$2:$CX$2=DA$2),$W$36:$CX$36))/SUM(IF(($W$3:$CX$3=DA$3)*($W$2:$CX$2=DA$2),$W$36:$CX$36))</f>
        <v>6.0335417120446415</v>
      </c>
      <c r="DB25" s="455">
        <f t="array" ref="DB25">SUMPRODUCT(IF(($W$3:$CX$3=DB$3)*($W$2:$CX$2=DB$2),$W25:$CX25),IF(($W$3:$CX$3=DB$3)*($W$2:$CX$2=DB$2),$W$36:$CX$36))/SUM(IF(($W$3:$CX$3=DB$3)*($W$2:$CX$2=DB$2),$W$36:$CX$36))</f>
        <v>8.9183789920739382</v>
      </c>
      <c r="DC25" s="455">
        <f t="array" ref="DC25">SUMPRODUCT(IF(($W$3:$CX$3=DC$3)*($W$2:$CX$2=DC$2),$W25:$CX25),IF(($W$3:$CX$3=DC$3)*($W$2:$CX$2=DC$2),$W$36:$CX$36))/SUM(IF(($W$3:$CX$3=DC$3)*($W$2:$CX$2=DC$2),$W$36:$CX$36))</f>
        <v>5.2009239382573433</v>
      </c>
      <c r="DD25" s="455">
        <f t="array" ref="DD25">SUMPRODUCT(IF(($W$3:$CX$3=DD$3)*($W$2:$CX$2=DD$2),$W25:$CX25),IF(($W$3:$CX$3=DD$3)*($W$2:$CX$2=DD$2),$W$36:$CX$36))/SUM(IF(($W$3:$CX$3=DD$3)*($W$2:$CX$2=DD$2),$W$36:$CX$36))</f>
        <v>5.7569174417064373</v>
      </c>
      <c r="DE25" s="455">
        <f t="array" ref="DE25">SUMPRODUCT(IF(($W$3:$CX$3=DE$3)*($W$2:$CX$2=DE$2),$W25:$CX25),IF(($W$3:$CX$3=DE$3)*($W$2:$CX$2=DE$2),$W$36:$CX$36))/SUM(IF(($W$3:$CX$3=DE$3)*($W$2:$CX$2=DE$2),$W$36:$CX$36))</f>
        <v>7.5826601037000305</v>
      </c>
      <c r="DF25" s="455">
        <f t="array" ref="DF25">SUMPRODUCT(IF(($W$3:$CX$3=DF$3)*($W$2:$CX$2=DF$2),$W25:$CX25),IF(($W$3:$CX$3=DF$3)*($W$2:$CX$2=DF$2),$W$36:$CX$36))/SUM(IF(($W$3:$CX$3=DF$3)*($W$2:$CX$2=DF$2),$W$36:$CX$36))</f>
        <v>6.5117894759535924</v>
      </c>
      <c r="DG25" s="455">
        <f t="array" ref="DG25">SUMPRODUCT(IF(($W$3:$CX$3=DG$3)*($W$2:$CX$2=DG$2),$W25:$CX25),IF(($W$3:$CX$3=DG$3)*($W$2:$CX$2=DG$2),$W$36:$CX$36))/SUM(IF(($W$3:$CX$3=DG$3)*($W$2:$CX$2=DG$2),$W$36:$CX$36))</f>
        <v>8.6736937540229579</v>
      </c>
      <c r="DH25" s="455">
        <f t="array" ref="DH25">SUMPRODUCT(IF(($W$3:$CX$3=DH$3)*($W$2:$CX$2=DH$2),$W25:$CX25),IF(($W$3:$CX$3=DH$3)*($W$2:$CX$2=DH$2),$W$36:$CX$36))/SUM(IF(($W$3:$CX$3=DH$3)*($W$2:$CX$2=DH$2),$W$36:$CX$36))</f>
        <v>8.556205550993468</v>
      </c>
      <c r="DI25" s="455">
        <f t="array" ref="DI25">SUMPRODUCT(IF(($W$3:$CX$3=DI$3)*($W$2:$CX$2=DI$2),$W25:$CX25),IF(($W$3:$CX$3=DI$3)*($W$2:$CX$2=DI$2),$W$36:$CX$36))/SUM(IF(($W$3:$CX$3=DI$3)*($W$2:$CX$2=DI$2),$W$36:$CX$36))</f>
        <v>8.5212368947105457</v>
      </c>
      <c r="DJ25" s="455">
        <f t="array" ref="DJ25">SUMPRODUCT(IF(($W$3:$CX$3=DJ$3)*($W$2:$CX$2=DJ$2),$W25:$CX25),IF(($W$3:$CX$3=DJ$3)*($W$2:$CX$2=DJ$2),$W$36:$CX$36))/SUM(IF(($W$3:$CX$3=DJ$3)*($W$2:$CX$2=DJ$2),$W$36:$CX$36))</f>
        <v>8.2877077377993889</v>
      </c>
      <c r="DK25" s="455">
        <f t="array" ref="DK25">SUMPRODUCT(IF(($W$3:$CX$3=DK$3)*1,$W25:$CX25),IF(($W$3:$CX$3=DK$3)*1,$W$36:$CX$36))/SUM(IF(($W$3:$CX$3=DK$3)*1,$W$36:$CX$36))</f>
        <v>8.7837282927285312</v>
      </c>
      <c r="DL25" s="455">
        <f t="array" ref="DL25">SUMPRODUCT(IF(($W$3:$CX$3=DL$3)*1,$W25:$CX25),IF(($W$3:$CX$3=DL$3)*1,$W$36:$CX$36))/SUM(IF(($W$3:$CX$3=DL$3)*1,$W$36:$CX$36))</f>
        <v>6.7530206224923051</v>
      </c>
      <c r="DM25" s="455">
        <f t="array" ref="DM25">SUMPRODUCT(IF(($W$3:$CX$3=DM$3)*1,$W25:$CX25),IF(($W$3:$CX$3=DM$3)*1,$W$36:$CX$36))/SUM(IF(($W$3:$CX$3=DM$3)*1,$W$36:$CX$36))</f>
        <v>6.642390350198899</v>
      </c>
      <c r="DN25" s="455">
        <f t="array" ref="DN25">SUMPRODUCT(IF(1*($W$2:$CX$2=DN$2),$W25:$CX25),IF(1*($W$2:$CX$2=DN$2),$W$36:$CX$36))/SUM(IF(1*($W$2:$CX$2=DN$2),$W$36:$CX$36))</f>
        <v>6.6308538638652301</v>
      </c>
      <c r="DO25" s="455">
        <f t="array" ref="DO25">SUMPRODUCT(IF(1*($W$2:$CX$2=DO$2),$W25:$CX25),IF(1*($W$2:$CX$2=DO$2),$W$36:$CX$36))/SUM(IF(1*($W$2:$CX$2=DO$2),$W$36:$CX$36))</f>
        <v>8.5921336358210354</v>
      </c>
      <c r="DP25" s="455">
        <f t="array" ref="DP25">SUMPRODUCT(IF(1*1,$W25:$CX25),IF(1*1,$W$36:$CX$36))/SUM(IF(1*1,$W$36:$CX$36))</f>
        <v>7.3812695492339193</v>
      </c>
    </row>
    <row r="26" spans="1:120" ht="15.75" customHeight="1" thickBot="1" x14ac:dyDescent="0.3">
      <c r="A26" s="640"/>
      <c r="B26" s="634"/>
      <c r="C26" s="231">
        <f>'MD-ratings-year'!C26</f>
        <v>0.05</v>
      </c>
      <c r="D26" s="434" t="str">
        <f>'MD-ratings-year'!D26</f>
        <v>ROE - Return on Equity</v>
      </c>
      <c r="E26" s="437" t="str">
        <f>'MD-ratings-year'!E26</f>
        <v>Net Profit ÷ Equity</v>
      </c>
      <c r="F26" s="440" t="s">
        <v>400</v>
      </c>
      <c r="G26" s="653"/>
      <c r="I26" s="531">
        <f>'SK-ratios'!U29</f>
        <v>24.69552907735908</v>
      </c>
      <c r="K26" s="226">
        <f>'MD-ratings-year'!P26</f>
        <v>-0.29167209641131941</v>
      </c>
      <c r="L26" s="566">
        <f>'MD-ratings-year'!Q26</f>
        <v>-0.14583604820565971</v>
      </c>
      <c r="M26" s="226">
        <f>'MD-ratings-year'!R26</f>
        <v>0</v>
      </c>
      <c r="N26" s="566">
        <f>'MD-ratings-year'!S26</f>
        <v>0.14583604820565971</v>
      </c>
      <c r="O26" s="226">
        <f>'MD-ratings-year'!T26</f>
        <v>0.29167209641131941</v>
      </c>
      <c r="P26" s="226"/>
      <c r="Q26" s="226"/>
      <c r="R26" s="226"/>
      <c r="W26" s="455">
        <f t="array" ref="W26">IF('SK-ratios'!AF29&gt;'SK-ratios'!$AC29,10,IF('SK-ratios'!AF29&gt;='SK-ratios'!$AA29,5+5*LOG(1+('SK-ratios'!$U29-1)*('SK-ratios'!AF29-'SK-ratios'!$AA29)/('SK-ratios'!$AC29-'SK-ratios'!$AA29))/LOG('SK-ratios'!$U29),IF('SK-ratios'!AF29&gt;'SK-ratios'!$Y29,5-5*LOG(1+('SK-ratios'!$U29-1)*('SK-ratios'!AF29-'SK-ratios'!$AA29)/('SK-ratios'!$Y29-'SK-ratios'!$AA29))/LOG('SK-ratios'!$U29),0)))</f>
        <v>5.1803334956831018</v>
      </c>
      <c r="X26" s="455">
        <f t="array" ref="X26">IF('SK-ratios'!AG29&gt;'SK-ratios'!$AC29,10,IF('SK-ratios'!AG29&gt;='SK-ratios'!$AA29,5+5*LOG(1+('SK-ratios'!$U29-1)*('SK-ratios'!AG29-'SK-ratios'!$AA29)/('SK-ratios'!$AC29-'SK-ratios'!$AA29))/LOG('SK-ratios'!$U29),IF('SK-ratios'!AG29&gt;'SK-ratios'!$Y29,5-5*LOG(1+('SK-ratios'!$U29-1)*('SK-ratios'!AG29-'SK-ratios'!$AA29)/('SK-ratios'!$Y29-'SK-ratios'!$AA29))/LOG('SK-ratios'!$U29),0)))</f>
        <v>5.4360323472538017</v>
      </c>
      <c r="Y26" s="455">
        <f t="array" ref="Y26">IF('SK-ratios'!AH29&gt;'SK-ratios'!$AC29,10,IF('SK-ratios'!AH29&gt;='SK-ratios'!$AA29,5+5*LOG(1+('SK-ratios'!$U29-1)*('SK-ratios'!AH29-'SK-ratios'!$AA29)/('SK-ratios'!$AC29-'SK-ratios'!$AA29))/LOG('SK-ratios'!$U29),IF('SK-ratios'!AH29&gt;'SK-ratios'!$Y29,5-5*LOG(1+('SK-ratios'!$U29-1)*('SK-ratios'!AH29-'SK-ratios'!$AA29)/('SK-ratios'!$Y29-'SK-ratios'!$AA29))/LOG('SK-ratios'!$U29),0)))</f>
        <v>6.8968487628137414</v>
      </c>
      <c r="Z26" s="455">
        <f t="array" ref="Z26">IF('SK-ratios'!AI29&gt;'SK-ratios'!$AC29,10,IF('SK-ratios'!AI29&gt;='SK-ratios'!$AA29,5+5*LOG(1+('SK-ratios'!$U29-1)*('SK-ratios'!AI29-'SK-ratios'!$AA29)/('SK-ratios'!$AC29-'SK-ratios'!$AA29))/LOG('SK-ratios'!$U29),IF('SK-ratios'!AI29&gt;'SK-ratios'!$Y29,5-5*LOG(1+('SK-ratios'!$U29-1)*('SK-ratios'!AI29-'SK-ratios'!$AA29)/('SK-ratios'!$Y29-'SK-ratios'!$AA29))/LOG('SK-ratios'!$U29),0)))</f>
        <v>8.692215770403859</v>
      </c>
      <c r="AA26" s="455">
        <f t="array" ref="AA26">IF('SK-ratios'!AJ29&gt;'SK-ratios'!$AC29,10,IF('SK-ratios'!AJ29&gt;='SK-ratios'!$AA29,5+5*LOG(1+('SK-ratios'!$U29-1)*('SK-ratios'!AJ29-'SK-ratios'!$AA29)/('SK-ratios'!$AC29-'SK-ratios'!$AA29))/LOG('SK-ratios'!$U29),IF('SK-ratios'!AJ29&gt;'SK-ratios'!$Y29,5-5*LOG(1+('SK-ratios'!$U29-1)*('SK-ratios'!AJ29-'SK-ratios'!$AA29)/('SK-ratios'!$Y29-'SK-ratios'!$AA29))/LOG('SK-ratios'!$U29),0)))</f>
        <v>7.135673800285355</v>
      </c>
      <c r="AB26" s="455">
        <f t="array" ref="AB26">IF('SK-ratios'!AK29&gt;'SK-ratios'!$AC29,10,IF('SK-ratios'!AK29&gt;='SK-ratios'!$AA29,5+5*LOG(1+('SK-ratios'!$U29-1)*('SK-ratios'!AK29-'SK-ratios'!$AA29)/('SK-ratios'!$AC29-'SK-ratios'!$AA29))/LOG('SK-ratios'!$U29),IF('SK-ratios'!AK29&gt;'SK-ratios'!$Y29,5-5*LOG(1+('SK-ratios'!$U29-1)*('SK-ratios'!AK29-'SK-ratios'!$AA29)/('SK-ratios'!$Y29-'SK-ratios'!$AA29))/LOG('SK-ratios'!$U29),0)))</f>
        <v>4.1318057892586575</v>
      </c>
      <c r="AC26" s="455">
        <f t="array" ref="AC26">IF('SK-ratios'!AL29&gt;'SK-ratios'!$AC29,10,IF('SK-ratios'!AL29&gt;='SK-ratios'!$AA29,5+5*LOG(1+('SK-ratios'!$U29-1)*('SK-ratios'!AL29-'SK-ratios'!$AA29)/('SK-ratios'!$AC29-'SK-ratios'!$AA29))/LOG('SK-ratios'!$U29),IF('SK-ratios'!AL29&gt;'SK-ratios'!$Y29,5-5*LOG(1+('SK-ratios'!$U29-1)*('SK-ratios'!AL29-'SK-ratios'!$AA29)/('SK-ratios'!$Y29-'SK-ratios'!$AA29))/LOG('SK-ratios'!$U29),0)))</f>
        <v>7.5388238880179124</v>
      </c>
      <c r="AD26" s="455">
        <f t="array" ref="AD26">IF('SK-ratios'!AM29&gt;'SK-ratios'!$AC29,10,IF('SK-ratios'!AM29&gt;='SK-ratios'!$AA29,5+5*LOG(1+('SK-ratios'!$U29-1)*('SK-ratios'!AM29-'SK-ratios'!$AA29)/('SK-ratios'!$AC29-'SK-ratios'!$AA29))/LOG('SK-ratios'!$U29),IF('SK-ratios'!AM29&gt;'SK-ratios'!$Y29,5-5*LOG(1+('SK-ratios'!$U29-1)*('SK-ratios'!AM29-'SK-ratios'!$AA29)/('SK-ratios'!$Y29-'SK-ratios'!$AA29))/LOG('SK-ratios'!$U29),0)))</f>
        <v>9.4986072473696872</v>
      </c>
      <c r="AE26" s="455">
        <f t="array" ref="AE26">IF('SK-ratios'!AN29&gt;'SK-ratios'!$AC29,10,IF('SK-ratios'!AN29&gt;='SK-ratios'!$AA29,5+5*LOG(1+('SK-ratios'!$U29-1)*('SK-ratios'!AN29-'SK-ratios'!$AA29)/('SK-ratios'!$AC29-'SK-ratios'!$AA29))/LOG('SK-ratios'!$U29),IF('SK-ratios'!AN29&gt;'SK-ratios'!$Y29,5-5*LOG(1+('SK-ratios'!$U29-1)*('SK-ratios'!AN29-'SK-ratios'!$AA29)/('SK-ratios'!$Y29-'SK-ratios'!$AA29))/LOG('SK-ratios'!$U29),0)))</f>
        <v>9.1527771029067768</v>
      </c>
      <c r="AF26" s="455">
        <f t="array" ref="AF26">IF('SK-ratios'!AO29&gt;'SK-ratios'!$AC29,10,IF('SK-ratios'!AO29&gt;='SK-ratios'!$AA29,5+5*LOG(1+('SK-ratios'!$U29-1)*('SK-ratios'!AO29-'SK-ratios'!$AA29)/('SK-ratios'!$AC29-'SK-ratios'!$AA29))/LOG('SK-ratios'!$U29),IF('SK-ratios'!AO29&gt;'SK-ratios'!$Y29,5-5*LOG(1+('SK-ratios'!$U29-1)*('SK-ratios'!AO29-'SK-ratios'!$AA29)/('SK-ratios'!$Y29-'SK-ratios'!$AA29))/LOG('SK-ratios'!$U29),0)))</f>
        <v>10</v>
      </c>
      <c r="AG26" s="455">
        <f t="array" ref="AG26">IF('SK-ratios'!AP29&gt;'SK-ratios'!$AC29,10,IF('SK-ratios'!AP29&gt;='SK-ratios'!$AA29,5+5*LOG(1+('SK-ratios'!$U29-1)*('SK-ratios'!AP29-'SK-ratios'!$AA29)/('SK-ratios'!$AC29-'SK-ratios'!$AA29))/LOG('SK-ratios'!$U29),IF('SK-ratios'!AP29&gt;'SK-ratios'!$Y29,5-5*LOG(1+('SK-ratios'!$U29-1)*('SK-ratios'!AP29-'SK-ratios'!$AA29)/('SK-ratios'!$Y29-'SK-ratios'!$AA29))/LOG('SK-ratios'!$U29),0)))</f>
        <v>9.6467339843438591</v>
      </c>
      <c r="AH26" s="455">
        <f t="array" ref="AH26">IF('SK-ratios'!AQ29&gt;'SK-ratios'!$AC29,10,IF('SK-ratios'!AQ29&gt;='SK-ratios'!$AA29,5+5*LOG(1+('SK-ratios'!$U29-1)*('SK-ratios'!AQ29-'SK-ratios'!$AA29)/('SK-ratios'!$AC29-'SK-ratios'!$AA29))/LOG('SK-ratios'!$U29),IF('SK-ratios'!AQ29&gt;'SK-ratios'!$Y29,5-5*LOG(1+('SK-ratios'!$U29-1)*('SK-ratios'!AQ29-'SK-ratios'!$AA29)/('SK-ratios'!$Y29-'SK-ratios'!$AA29))/LOG('SK-ratios'!$U29),0)))</f>
        <v>2.6379520991912</v>
      </c>
      <c r="AI26" s="455">
        <f t="array" ref="AI26">IF('SK-ratios'!AR29&gt;'SK-ratios'!$AC29,10,IF('SK-ratios'!AR29&gt;='SK-ratios'!$AA29,5+5*LOG(1+('SK-ratios'!$U29-1)*('SK-ratios'!AR29-'SK-ratios'!$AA29)/('SK-ratios'!$AC29-'SK-ratios'!$AA29))/LOG('SK-ratios'!$U29),IF('SK-ratios'!AR29&gt;'SK-ratios'!$Y29,5-5*LOG(1+('SK-ratios'!$U29-1)*('SK-ratios'!AR29-'SK-ratios'!$AA29)/('SK-ratios'!$Y29-'SK-ratios'!$AA29))/LOG('SK-ratios'!$U29),0)))</f>
        <v>8.9462062575551737</v>
      </c>
      <c r="AJ26" s="455">
        <f t="array" ref="AJ26">IF('SK-ratios'!AS29&gt;'SK-ratios'!$AC29,10,IF('SK-ratios'!AS29&gt;='SK-ratios'!$AA29,5+5*LOG(1+('SK-ratios'!$U29-1)*('SK-ratios'!AS29-'SK-ratios'!$AA29)/('SK-ratios'!$AC29-'SK-ratios'!$AA29))/LOG('SK-ratios'!$U29),IF('SK-ratios'!AS29&gt;'SK-ratios'!$Y29,5-5*LOG(1+('SK-ratios'!$U29-1)*('SK-ratios'!AS29-'SK-ratios'!$AA29)/('SK-ratios'!$Y29-'SK-ratios'!$AA29))/LOG('SK-ratios'!$U29),0)))</f>
        <v>10</v>
      </c>
      <c r="AK26" s="455">
        <f t="array" ref="AK26">IF('SK-ratios'!AT29&gt;'SK-ratios'!$AC29,10,IF('SK-ratios'!AT29&gt;='SK-ratios'!$AA29,5+5*LOG(1+('SK-ratios'!$U29-1)*('SK-ratios'!AT29-'SK-ratios'!$AA29)/('SK-ratios'!$AC29-'SK-ratios'!$AA29))/LOG('SK-ratios'!$U29),IF('SK-ratios'!AT29&gt;'SK-ratios'!$Y29,5-5*LOG(1+('SK-ratios'!$U29-1)*('SK-ratios'!AT29-'SK-ratios'!$AA29)/('SK-ratios'!$Y29-'SK-ratios'!$AA29))/LOG('SK-ratios'!$U29),0)))</f>
        <v>6.2361690719422143</v>
      </c>
      <c r="AL26" s="455">
        <f t="array" ref="AL26">IF('SK-ratios'!AU29&gt;'SK-ratios'!$AC29,10,IF('SK-ratios'!AU29&gt;='SK-ratios'!$AA29,5+5*LOG(1+('SK-ratios'!$U29-1)*('SK-ratios'!AU29-'SK-ratios'!$AA29)/('SK-ratios'!$AC29-'SK-ratios'!$AA29))/LOG('SK-ratios'!$U29),IF('SK-ratios'!AU29&gt;'SK-ratios'!$Y29,5-5*LOG(1+('SK-ratios'!$U29-1)*('SK-ratios'!AU29-'SK-ratios'!$AA29)/('SK-ratios'!$Y29-'SK-ratios'!$AA29))/LOG('SK-ratios'!$U29),0)))</f>
        <v>9.00667932486542</v>
      </c>
      <c r="AM26" s="455">
        <f t="array" ref="AM26">IF('SK-ratios'!AV29&gt;'SK-ratios'!$AC29,10,IF('SK-ratios'!AV29&gt;='SK-ratios'!$AA29,5+5*LOG(1+('SK-ratios'!$U29-1)*('SK-ratios'!AV29-'SK-ratios'!$AA29)/('SK-ratios'!$AC29-'SK-ratios'!$AA29))/LOG('SK-ratios'!$U29),IF('SK-ratios'!AV29&gt;'SK-ratios'!$Y29,5-5*LOG(1+('SK-ratios'!$U29-1)*('SK-ratios'!AV29-'SK-ratios'!$AA29)/('SK-ratios'!$Y29-'SK-ratios'!$AA29))/LOG('SK-ratios'!$U29),0)))</f>
        <v>10</v>
      </c>
      <c r="AN26" s="455">
        <f t="array" ref="AN26">IF('SK-ratios'!AW29&gt;'SK-ratios'!$AC29,10,IF('SK-ratios'!AW29&gt;='SK-ratios'!$AA29,5+5*LOG(1+('SK-ratios'!$U29-1)*('SK-ratios'!AW29-'SK-ratios'!$AA29)/('SK-ratios'!$AC29-'SK-ratios'!$AA29))/LOG('SK-ratios'!$U29),IF('SK-ratios'!AW29&gt;'SK-ratios'!$Y29,5-5*LOG(1+('SK-ratios'!$U29-1)*('SK-ratios'!AW29-'SK-ratios'!$AA29)/('SK-ratios'!$Y29-'SK-ratios'!$AA29))/LOG('SK-ratios'!$U29),0)))</f>
        <v>4.326981612939564</v>
      </c>
      <c r="AO26" s="455">
        <f t="array" ref="AO26">IF('SK-ratios'!AX29&gt;'SK-ratios'!$AC29,10,IF('SK-ratios'!AX29&gt;='SK-ratios'!$AA29,5+5*LOG(1+('SK-ratios'!$U29-1)*('SK-ratios'!AX29-'SK-ratios'!$AA29)/('SK-ratios'!$AC29-'SK-ratios'!$AA29))/LOG('SK-ratios'!$U29),IF('SK-ratios'!AX29&gt;'SK-ratios'!$Y29,5-5*LOG(1+('SK-ratios'!$U29-1)*('SK-ratios'!AX29-'SK-ratios'!$AA29)/('SK-ratios'!$Y29-'SK-ratios'!$AA29))/LOG('SK-ratios'!$U29),0)))</f>
        <v>0.8946815146772833</v>
      </c>
      <c r="AP26" s="455">
        <f t="array" ref="AP26">IF('SK-ratios'!AY29&gt;'SK-ratios'!$AC29,10,IF('SK-ratios'!AY29&gt;='SK-ratios'!$AA29,5+5*LOG(1+('SK-ratios'!$U29-1)*('SK-ratios'!AY29-'SK-ratios'!$AA29)/('SK-ratios'!$AC29-'SK-ratios'!$AA29))/LOG('SK-ratios'!$U29),IF('SK-ratios'!AY29&gt;'SK-ratios'!$Y29,5-5*LOG(1+('SK-ratios'!$U29-1)*('SK-ratios'!AY29-'SK-ratios'!$AA29)/('SK-ratios'!$Y29-'SK-ratios'!$AA29))/LOG('SK-ratios'!$U29),0)))</f>
        <v>10</v>
      </c>
      <c r="AQ26" s="455">
        <f t="array" ref="AQ26">IF('SK-ratios'!AZ29&gt;'SK-ratios'!$AC29,10,IF('SK-ratios'!AZ29&gt;='SK-ratios'!$AA29,5+5*LOG(1+('SK-ratios'!$U29-1)*('SK-ratios'!AZ29-'SK-ratios'!$AA29)/('SK-ratios'!$AC29-'SK-ratios'!$AA29))/LOG('SK-ratios'!$U29),IF('SK-ratios'!AZ29&gt;'SK-ratios'!$Y29,5-5*LOG(1+('SK-ratios'!$U29-1)*('SK-ratios'!AZ29-'SK-ratios'!$AA29)/('SK-ratios'!$Y29-'SK-ratios'!$AA29))/LOG('SK-ratios'!$U29),0)))</f>
        <v>7.6851275295492698</v>
      </c>
      <c r="AR26" s="455">
        <f t="array" ref="AR26">IF('SK-ratios'!BA29&gt;'SK-ratios'!$AC29,10,IF('SK-ratios'!BA29&gt;='SK-ratios'!$AA29,5+5*LOG(1+('SK-ratios'!$U29-1)*('SK-ratios'!BA29-'SK-ratios'!$AA29)/('SK-ratios'!$AC29-'SK-ratios'!$AA29))/LOG('SK-ratios'!$U29),IF('SK-ratios'!BA29&gt;'SK-ratios'!$Y29,5-5*LOG(1+('SK-ratios'!$U29-1)*('SK-ratios'!BA29-'SK-ratios'!$AA29)/('SK-ratios'!$Y29-'SK-ratios'!$AA29))/LOG('SK-ratios'!$U29),0)))</f>
        <v>5.3729873285072971</v>
      </c>
      <c r="AS26" s="455">
        <f t="array" ref="AS26">IF('SK-ratios'!BB29&gt;'SK-ratios'!$AC29,10,IF('SK-ratios'!BB29&gt;='SK-ratios'!$AA29,5+5*LOG(1+('SK-ratios'!$U29-1)*('SK-ratios'!BB29-'SK-ratios'!$AA29)/('SK-ratios'!$AC29-'SK-ratios'!$AA29))/LOG('SK-ratios'!$U29),IF('SK-ratios'!BB29&gt;'SK-ratios'!$Y29,5-5*LOG(1+('SK-ratios'!$U29-1)*('SK-ratios'!BB29-'SK-ratios'!$AA29)/('SK-ratios'!$Y29-'SK-ratios'!$AA29))/LOG('SK-ratios'!$U29),0)))</f>
        <v>5.8975947058723719</v>
      </c>
      <c r="AT26" s="455">
        <f t="array" ref="AT26">IF('SK-ratios'!BC29&gt;'SK-ratios'!$AC29,10,IF('SK-ratios'!BC29&gt;='SK-ratios'!$AA29,5+5*LOG(1+('SK-ratios'!$U29-1)*('SK-ratios'!BC29-'SK-ratios'!$AA29)/('SK-ratios'!$AC29-'SK-ratios'!$AA29))/LOG('SK-ratios'!$U29),IF('SK-ratios'!BC29&gt;'SK-ratios'!$Y29,5-5*LOG(1+('SK-ratios'!$U29-1)*('SK-ratios'!BC29-'SK-ratios'!$AA29)/('SK-ratios'!$Y29-'SK-ratios'!$AA29))/LOG('SK-ratios'!$U29),0)))</f>
        <v>1.6538491492871361</v>
      </c>
      <c r="AU26" s="455">
        <f t="array" ref="AU26">IF('SK-ratios'!BD29&gt;'SK-ratios'!$AC29,10,IF('SK-ratios'!BD29&gt;='SK-ratios'!$AA29,5+5*LOG(1+('SK-ratios'!$U29-1)*('SK-ratios'!BD29-'SK-ratios'!$AA29)/('SK-ratios'!$AC29-'SK-ratios'!$AA29))/LOG('SK-ratios'!$U29),IF('SK-ratios'!BD29&gt;'SK-ratios'!$Y29,5-5*LOG(1+('SK-ratios'!$U29-1)*('SK-ratios'!BD29-'SK-ratios'!$AA29)/('SK-ratios'!$Y29-'SK-ratios'!$AA29))/LOG('SK-ratios'!$U29),0)))</f>
        <v>3.4555884963313344</v>
      </c>
      <c r="AV26" s="455">
        <f t="array" ref="AV26">IF('SK-ratios'!BE29&gt;'SK-ratios'!$AC29,10,IF('SK-ratios'!BE29&gt;='SK-ratios'!$AA29,5+5*LOG(1+('SK-ratios'!$U29-1)*('SK-ratios'!BE29-'SK-ratios'!$AA29)/('SK-ratios'!$AC29-'SK-ratios'!$AA29))/LOG('SK-ratios'!$U29),IF('SK-ratios'!BE29&gt;'SK-ratios'!$Y29,5-5*LOG(1+('SK-ratios'!$U29-1)*('SK-ratios'!BE29-'SK-ratios'!$AA29)/('SK-ratios'!$Y29-'SK-ratios'!$AA29))/LOG('SK-ratios'!$U29),0)))</f>
        <v>6.8675297655863519</v>
      </c>
      <c r="AW26" s="455">
        <f t="array" ref="AW26">IF('SK-ratios'!BF29&gt;'SK-ratios'!$AC29,10,IF('SK-ratios'!BF29&gt;='SK-ratios'!$AA29,5+5*LOG(1+('SK-ratios'!$U29-1)*('SK-ratios'!BF29-'SK-ratios'!$AA29)/('SK-ratios'!$AC29-'SK-ratios'!$AA29))/LOG('SK-ratios'!$U29),IF('SK-ratios'!BF29&gt;'SK-ratios'!$Y29,5-5*LOG(1+('SK-ratios'!$U29-1)*('SK-ratios'!BF29-'SK-ratios'!$AA29)/('SK-ratios'!$Y29-'SK-ratios'!$AA29))/LOG('SK-ratios'!$U29),0)))</f>
        <v>3.1996324166350041</v>
      </c>
      <c r="AX26" s="455">
        <f t="array" ref="AX26">IF('SK-ratios'!BG29&gt;'SK-ratios'!$AC29,10,IF('SK-ratios'!BG29&gt;='SK-ratios'!$AA29,5+5*LOG(1+('SK-ratios'!$U29-1)*('SK-ratios'!BG29-'SK-ratios'!$AA29)/('SK-ratios'!$AC29-'SK-ratios'!$AA29))/LOG('SK-ratios'!$U29),IF('SK-ratios'!BG29&gt;'SK-ratios'!$Y29,5-5*LOG(1+('SK-ratios'!$U29-1)*('SK-ratios'!BG29-'SK-ratios'!$AA29)/('SK-ratios'!$Y29-'SK-ratios'!$AA29))/LOG('SK-ratios'!$U29),0)))</f>
        <v>2.9233603219764603</v>
      </c>
      <c r="AY26" s="455">
        <f t="array" ref="AY26">IF('SK-ratios'!BH29&gt;'SK-ratios'!$AC29,10,IF('SK-ratios'!BH29&gt;='SK-ratios'!$AA29,5+5*LOG(1+('SK-ratios'!$U29-1)*('SK-ratios'!BH29-'SK-ratios'!$AA29)/('SK-ratios'!$AC29-'SK-ratios'!$AA29))/LOG('SK-ratios'!$U29),IF('SK-ratios'!BH29&gt;'SK-ratios'!$Y29,5-5*LOG(1+('SK-ratios'!$U29-1)*('SK-ratios'!BH29-'SK-ratios'!$AA29)/('SK-ratios'!$Y29-'SK-ratios'!$AA29))/LOG('SK-ratios'!$U29),0)))</f>
        <v>3.3168234058192354</v>
      </c>
      <c r="AZ26" s="455">
        <f t="array" ref="AZ26">IF('SK-ratios'!BI29&gt;'SK-ratios'!$AC29,10,IF('SK-ratios'!BI29&gt;='SK-ratios'!$AA29,5+5*LOG(1+('SK-ratios'!$U29-1)*('SK-ratios'!BI29-'SK-ratios'!$AA29)/('SK-ratios'!$AC29-'SK-ratios'!$AA29))/LOG('SK-ratios'!$U29),IF('SK-ratios'!BI29&gt;'SK-ratios'!$Y29,5-5*LOG(1+('SK-ratios'!$U29-1)*('SK-ratios'!BI29-'SK-ratios'!$AA29)/('SK-ratios'!$Y29-'SK-ratios'!$AA29))/LOG('SK-ratios'!$U29),0)))</f>
        <v>2.4416106183621697</v>
      </c>
      <c r="BA26" s="455">
        <f t="array" ref="BA26">IF('SK-ratios'!BJ29&gt;'SK-ratios'!$AC29,10,IF('SK-ratios'!BJ29&gt;='SK-ratios'!$AA29,5+5*LOG(1+('SK-ratios'!$U29-1)*('SK-ratios'!BJ29-'SK-ratios'!$AA29)/('SK-ratios'!$AC29-'SK-ratios'!$AA29))/LOG('SK-ratios'!$U29),IF('SK-ratios'!BJ29&gt;'SK-ratios'!$Y29,5-5*LOG(1+('SK-ratios'!$U29-1)*('SK-ratios'!BJ29-'SK-ratios'!$AA29)/('SK-ratios'!$Y29-'SK-ratios'!$AA29))/LOG('SK-ratios'!$U29),0)))</f>
        <v>0.80286632639101807</v>
      </c>
      <c r="BB26" s="455">
        <f t="array" ref="BB26">IF('SK-ratios'!BK29&gt;'SK-ratios'!$AC29,10,IF('SK-ratios'!BK29&gt;='SK-ratios'!$AA29,5+5*LOG(1+('SK-ratios'!$U29-1)*('SK-ratios'!BK29-'SK-ratios'!$AA29)/('SK-ratios'!$AC29-'SK-ratios'!$AA29))/LOG('SK-ratios'!$U29),IF('SK-ratios'!BK29&gt;'SK-ratios'!$Y29,5-5*LOG(1+('SK-ratios'!$U29-1)*('SK-ratios'!BK29-'SK-ratios'!$AA29)/('SK-ratios'!$Y29-'SK-ratios'!$AA29))/LOG('SK-ratios'!$U29),0)))</f>
        <v>6.3621116503421593</v>
      </c>
      <c r="BC26" s="455">
        <f t="array" ref="BC26">IF('SK-ratios'!BL29&gt;'SK-ratios'!$AC29,10,IF('SK-ratios'!BL29&gt;='SK-ratios'!$AA29,5+5*LOG(1+('SK-ratios'!$U29-1)*('SK-ratios'!BL29-'SK-ratios'!$AA29)/('SK-ratios'!$AC29-'SK-ratios'!$AA29))/LOG('SK-ratios'!$U29),IF('SK-ratios'!BL29&gt;'SK-ratios'!$Y29,5-5*LOG(1+('SK-ratios'!$U29-1)*('SK-ratios'!BL29-'SK-ratios'!$AA29)/('SK-ratios'!$Y29-'SK-ratios'!$AA29))/LOG('SK-ratios'!$U29),0)))</f>
        <v>10</v>
      </c>
      <c r="BD26" s="455">
        <f t="array" ref="BD26">IF('SK-ratios'!BM29&gt;'SK-ratios'!$AC29,10,IF('SK-ratios'!BM29&gt;='SK-ratios'!$AA29,5+5*LOG(1+('SK-ratios'!$U29-1)*('SK-ratios'!BM29-'SK-ratios'!$AA29)/('SK-ratios'!$AC29-'SK-ratios'!$AA29))/LOG('SK-ratios'!$U29),IF('SK-ratios'!BM29&gt;'SK-ratios'!$Y29,5-5*LOG(1+('SK-ratios'!$U29-1)*('SK-ratios'!BM29-'SK-ratios'!$AA29)/('SK-ratios'!$Y29-'SK-ratios'!$AA29))/LOG('SK-ratios'!$U29),0)))</f>
        <v>7.9380633152748423</v>
      </c>
      <c r="BE26" s="455">
        <f t="array" ref="BE26">IF('SK-ratios'!BN29&gt;'SK-ratios'!$AC29,10,IF('SK-ratios'!BN29&gt;='SK-ratios'!$AA29,5+5*LOG(1+('SK-ratios'!$U29-1)*('SK-ratios'!BN29-'SK-ratios'!$AA29)/('SK-ratios'!$AC29-'SK-ratios'!$AA29))/LOG('SK-ratios'!$U29),IF('SK-ratios'!BN29&gt;'SK-ratios'!$Y29,5-5*LOG(1+('SK-ratios'!$U29-1)*('SK-ratios'!BN29-'SK-ratios'!$AA29)/('SK-ratios'!$Y29-'SK-ratios'!$AA29))/LOG('SK-ratios'!$U29),0)))</f>
        <v>5.744546219806784</v>
      </c>
      <c r="BF26" s="455">
        <f t="array" ref="BF26">IF('SK-ratios'!BO29&gt;'SK-ratios'!$AC29,10,IF('SK-ratios'!BO29&gt;='SK-ratios'!$AA29,5+5*LOG(1+('SK-ratios'!$U29-1)*('SK-ratios'!BO29-'SK-ratios'!$AA29)/('SK-ratios'!$AC29-'SK-ratios'!$AA29))/LOG('SK-ratios'!$U29),IF('SK-ratios'!BO29&gt;'SK-ratios'!$Y29,5-5*LOG(1+('SK-ratios'!$U29-1)*('SK-ratios'!BO29-'SK-ratios'!$AA29)/('SK-ratios'!$Y29-'SK-ratios'!$AA29))/LOG('SK-ratios'!$U29),0)))</f>
        <v>5.0988625042761893</v>
      </c>
      <c r="BG26" s="455">
        <f t="array" ref="BG26">IF('SK-ratios'!BP29&gt;'SK-ratios'!$AC29,10,IF('SK-ratios'!BP29&gt;='SK-ratios'!$AA29,5+5*LOG(1+('SK-ratios'!$U29-1)*('SK-ratios'!BP29-'SK-ratios'!$AA29)/('SK-ratios'!$AC29-'SK-ratios'!$AA29))/LOG('SK-ratios'!$U29),IF('SK-ratios'!BP29&gt;'SK-ratios'!$Y29,5-5*LOG(1+('SK-ratios'!$U29-1)*('SK-ratios'!BP29-'SK-ratios'!$AA29)/('SK-ratios'!$Y29-'SK-ratios'!$AA29))/LOG('SK-ratios'!$U29),0)))</f>
        <v>10</v>
      </c>
      <c r="BH26" s="455">
        <f t="array" ref="BH26">IF('SK-ratios'!BQ29&gt;'SK-ratios'!$AC29,10,IF('SK-ratios'!BQ29&gt;='SK-ratios'!$AA29,5+5*LOG(1+('SK-ratios'!$U29-1)*('SK-ratios'!BQ29-'SK-ratios'!$AA29)/('SK-ratios'!$AC29-'SK-ratios'!$AA29))/LOG('SK-ratios'!$U29),IF('SK-ratios'!BQ29&gt;'SK-ratios'!$Y29,5-5*LOG(1+('SK-ratios'!$U29-1)*('SK-ratios'!BQ29-'SK-ratios'!$AA29)/('SK-ratios'!$Y29-'SK-ratios'!$AA29))/LOG('SK-ratios'!$U29),0)))</f>
        <v>5.858081151902498</v>
      </c>
      <c r="BI26" s="455">
        <f t="array" ref="BI26">IF('SK-ratios'!BR29&gt;'SK-ratios'!$AC29,10,IF('SK-ratios'!BR29&gt;='SK-ratios'!$AA29,5+5*LOG(1+('SK-ratios'!$U29-1)*('SK-ratios'!BR29-'SK-ratios'!$AA29)/('SK-ratios'!$AC29-'SK-ratios'!$AA29))/LOG('SK-ratios'!$U29),IF('SK-ratios'!BR29&gt;'SK-ratios'!$Y29,5-5*LOG(1+('SK-ratios'!$U29-1)*('SK-ratios'!BR29-'SK-ratios'!$AA29)/('SK-ratios'!$Y29-'SK-ratios'!$AA29))/LOG('SK-ratios'!$U29),0)))</f>
        <v>9.7074765558955818</v>
      </c>
      <c r="BJ26" s="455">
        <f t="array" ref="BJ26">IF('SK-ratios'!BS29&gt;'SK-ratios'!$AC29,10,IF('SK-ratios'!BS29&gt;='SK-ratios'!$AA29,5+5*LOG(1+('SK-ratios'!$U29-1)*('SK-ratios'!BS29-'SK-ratios'!$AA29)/('SK-ratios'!$AC29-'SK-ratios'!$AA29))/LOG('SK-ratios'!$U29),IF('SK-ratios'!BS29&gt;'SK-ratios'!$Y29,5-5*LOG(1+('SK-ratios'!$U29-1)*('SK-ratios'!BS29-'SK-ratios'!$AA29)/('SK-ratios'!$Y29-'SK-ratios'!$AA29))/LOG('SK-ratios'!$U29),0)))</f>
        <v>10</v>
      </c>
      <c r="BK26" s="455">
        <f t="array" ref="BK26">IF('SK-ratios'!BT29&gt;'SK-ratios'!$AC29,10,IF('SK-ratios'!BT29&gt;='SK-ratios'!$AA29,5+5*LOG(1+('SK-ratios'!$U29-1)*('SK-ratios'!BT29-'SK-ratios'!$AA29)/('SK-ratios'!$AC29-'SK-ratios'!$AA29))/LOG('SK-ratios'!$U29),IF('SK-ratios'!BT29&gt;'SK-ratios'!$Y29,5-5*LOG(1+('SK-ratios'!$U29-1)*('SK-ratios'!BT29-'SK-ratios'!$AA29)/('SK-ratios'!$Y29-'SK-ratios'!$AA29))/LOG('SK-ratios'!$U29),0)))</f>
        <v>1.6771978803244716</v>
      </c>
      <c r="BL26" s="455">
        <f t="array" ref="BL26">IF('SK-ratios'!BU29&gt;'SK-ratios'!$AC29,10,IF('SK-ratios'!BU29&gt;='SK-ratios'!$AA29,5+5*LOG(1+('SK-ratios'!$U29-1)*('SK-ratios'!BU29-'SK-ratios'!$AA29)/('SK-ratios'!$AC29-'SK-ratios'!$AA29))/LOG('SK-ratios'!$U29),IF('SK-ratios'!BU29&gt;'SK-ratios'!$Y29,5-5*LOG(1+('SK-ratios'!$U29-1)*('SK-ratios'!BU29-'SK-ratios'!$AA29)/('SK-ratios'!$Y29-'SK-ratios'!$AA29))/LOG('SK-ratios'!$U29),0)))</f>
        <v>10</v>
      </c>
      <c r="BM26" s="455">
        <f t="array" ref="BM26">IF('SK-ratios'!BV29&gt;'SK-ratios'!$AC29,10,IF('SK-ratios'!BV29&gt;='SK-ratios'!$AA29,5+5*LOG(1+('SK-ratios'!$U29-1)*('SK-ratios'!BV29-'SK-ratios'!$AA29)/('SK-ratios'!$AC29-'SK-ratios'!$AA29))/LOG('SK-ratios'!$U29),IF('SK-ratios'!BV29&gt;'SK-ratios'!$Y29,5-5*LOG(1+('SK-ratios'!$U29-1)*('SK-ratios'!BV29-'SK-ratios'!$AA29)/('SK-ratios'!$Y29-'SK-ratios'!$AA29))/LOG('SK-ratios'!$U29),0)))</f>
        <v>5.7580706604075802</v>
      </c>
      <c r="BN26" s="455">
        <f t="array" ref="BN26">IF('SK-ratios'!BW29&gt;'SK-ratios'!$AC29,10,IF('SK-ratios'!BW29&gt;='SK-ratios'!$AA29,5+5*LOG(1+('SK-ratios'!$U29-1)*('SK-ratios'!BW29-'SK-ratios'!$AA29)/('SK-ratios'!$AC29-'SK-ratios'!$AA29))/LOG('SK-ratios'!$U29),IF('SK-ratios'!BW29&gt;'SK-ratios'!$Y29,5-5*LOG(1+('SK-ratios'!$U29-1)*('SK-ratios'!BW29-'SK-ratios'!$AA29)/('SK-ratios'!$Y29-'SK-ratios'!$AA29))/LOG('SK-ratios'!$U29),0)))</f>
        <v>7.0299205895238472</v>
      </c>
      <c r="BO26" s="455">
        <f t="array" ref="BO26">IF('SK-ratios'!BX29&gt;'SK-ratios'!$AC29,10,IF('SK-ratios'!BX29&gt;='SK-ratios'!$AA29,5+5*LOG(1+('SK-ratios'!$U29-1)*('SK-ratios'!BX29-'SK-ratios'!$AA29)/('SK-ratios'!$AC29-'SK-ratios'!$AA29))/LOG('SK-ratios'!$U29),IF('SK-ratios'!BX29&gt;'SK-ratios'!$Y29,5-5*LOG(1+('SK-ratios'!$U29-1)*('SK-ratios'!BX29-'SK-ratios'!$AA29)/('SK-ratios'!$Y29-'SK-ratios'!$AA29))/LOG('SK-ratios'!$U29),0)))</f>
        <v>10</v>
      </c>
      <c r="BP26" s="455">
        <f t="array" ref="BP26">IF('SK-ratios'!BY29&gt;'SK-ratios'!$AC29,10,IF('SK-ratios'!BY29&gt;='SK-ratios'!$AA29,5+5*LOG(1+('SK-ratios'!$U29-1)*('SK-ratios'!BY29-'SK-ratios'!$AA29)/('SK-ratios'!$AC29-'SK-ratios'!$AA29))/LOG('SK-ratios'!$U29),IF('SK-ratios'!BY29&gt;'SK-ratios'!$Y29,5-5*LOG(1+('SK-ratios'!$U29-1)*('SK-ratios'!BY29-'SK-ratios'!$AA29)/('SK-ratios'!$Y29-'SK-ratios'!$AA29))/LOG('SK-ratios'!$U29),0)))</f>
        <v>10</v>
      </c>
      <c r="BQ26" s="455">
        <f t="array" ref="BQ26">IF('SK-ratios'!BZ29&gt;'SK-ratios'!$AC29,10,IF('SK-ratios'!BZ29&gt;='SK-ratios'!$AA29,5+5*LOG(1+('SK-ratios'!$U29-1)*('SK-ratios'!BZ29-'SK-ratios'!$AA29)/('SK-ratios'!$AC29-'SK-ratios'!$AA29))/LOG('SK-ratios'!$U29),IF('SK-ratios'!BZ29&gt;'SK-ratios'!$Y29,5-5*LOG(1+('SK-ratios'!$U29-1)*('SK-ratios'!BZ29-'SK-ratios'!$AA29)/('SK-ratios'!$Y29-'SK-ratios'!$AA29))/LOG('SK-ratios'!$U29),0)))</f>
        <v>5.3787081103916377</v>
      </c>
      <c r="BR26" s="455">
        <f t="array" ref="BR26">IF('SK-ratios'!CA29&gt;'SK-ratios'!$AC29,10,IF('SK-ratios'!CA29&gt;='SK-ratios'!$AA29,5+5*LOG(1+('SK-ratios'!$U29-1)*('SK-ratios'!CA29-'SK-ratios'!$AA29)/('SK-ratios'!$AC29-'SK-ratios'!$AA29))/LOG('SK-ratios'!$U29),IF('SK-ratios'!CA29&gt;'SK-ratios'!$Y29,5-5*LOG(1+('SK-ratios'!$U29-1)*('SK-ratios'!CA29-'SK-ratios'!$AA29)/('SK-ratios'!$Y29-'SK-ratios'!$AA29))/LOG('SK-ratios'!$U29),0)))</f>
        <v>6.2264863672830284</v>
      </c>
      <c r="BS26" s="455">
        <f t="array" ref="BS26">IF('SK-ratios'!CB29&gt;'SK-ratios'!$AC29,10,IF('SK-ratios'!CB29&gt;='SK-ratios'!$AA29,5+5*LOG(1+('SK-ratios'!$U29-1)*('SK-ratios'!CB29-'SK-ratios'!$AA29)/('SK-ratios'!$AC29-'SK-ratios'!$AA29))/LOG('SK-ratios'!$U29),IF('SK-ratios'!CB29&gt;'SK-ratios'!$Y29,5-5*LOG(1+('SK-ratios'!$U29-1)*('SK-ratios'!CB29-'SK-ratios'!$AA29)/('SK-ratios'!$Y29-'SK-ratios'!$AA29))/LOG('SK-ratios'!$U29),0)))</f>
        <v>8.4852073731244619</v>
      </c>
      <c r="BT26" s="455">
        <f t="array" ref="BT26">IF('SK-ratios'!CC29&gt;'SK-ratios'!$AC29,10,IF('SK-ratios'!CC29&gt;='SK-ratios'!$AA29,5+5*LOG(1+('SK-ratios'!$U29-1)*('SK-ratios'!CC29-'SK-ratios'!$AA29)/('SK-ratios'!$AC29-'SK-ratios'!$AA29))/LOG('SK-ratios'!$U29),IF('SK-ratios'!CC29&gt;'SK-ratios'!$Y29,5-5*LOG(1+('SK-ratios'!$U29-1)*('SK-ratios'!CC29-'SK-ratios'!$AA29)/('SK-ratios'!$Y29-'SK-ratios'!$AA29))/LOG('SK-ratios'!$U29),0)))</f>
        <v>7.9580804199495008</v>
      </c>
      <c r="BU26" s="455">
        <f t="array" ref="BU26">IF('SK-ratios'!CD29&gt;'SK-ratios'!$AC29,10,IF('SK-ratios'!CD29&gt;='SK-ratios'!$AA29,5+5*LOG(1+('SK-ratios'!$U29-1)*('SK-ratios'!CD29-'SK-ratios'!$AA29)/('SK-ratios'!$AC29-'SK-ratios'!$AA29))/LOG('SK-ratios'!$U29),IF('SK-ratios'!CD29&gt;'SK-ratios'!$Y29,5-5*LOG(1+('SK-ratios'!$U29-1)*('SK-ratios'!CD29-'SK-ratios'!$AA29)/('SK-ratios'!$Y29-'SK-ratios'!$AA29))/LOG('SK-ratios'!$U29),0)))</f>
        <v>8.3375287462831089</v>
      </c>
      <c r="BV26" s="455">
        <f t="array" ref="BV26">IF('SK-ratios'!CE29&gt;'SK-ratios'!$AC29,10,IF('SK-ratios'!CE29&gt;='SK-ratios'!$AA29,5+5*LOG(1+('SK-ratios'!$U29-1)*('SK-ratios'!CE29-'SK-ratios'!$AA29)/('SK-ratios'!$AC29-'SK-ratios'!$AA29))/LOG('SK-ratios'!$U29),IF('SK-ratios'!CE29&gt;'SK-ratios'!$Y29,5-5*LOG(1+('SK-ratios'!$U29-1)*('SK-ratios'!CE29-'SK-ratios'!$AA29)/('SK-ratios'!$Y29-'SK-ratios'!$AA29))/LOG('SK-ratios'!$U29),0)))</f>
        <v>8.5737390656432115</v>
      </c>
      <c r="BW26" s="455">
        <f t="array" ref="BW26">IF('SK-ratios'!CF29&gt;'SK-ratios'!$AC29,10,IF('SK-ratios'!CF29&gt;='SK-ratios'!$AA29,5+5*LOG(1+('SK-ratios'!$U29-1)*('SK-ratios'!CF29-'SK-ratios'!$AA29)/('SK-ratios'!$AC29-'SK-ratios'!$AA29))/LOG('SK-ratios'!$U29),IF('SK-ratios'!CF29&gt;'SK-ratios'!$Y29,5-5*LOG(1+('SK-ratios'!$U29-1)*('SK-ratios'!CF29-'SK-ratios'!$AA29)/('SK-ratios'!$Y29-'SK-ratios'!$AA29))/LOG('SK-ratios'!$U29),0)))</f>
        <v>5.9138999093044804</v>
      </c>
      <c r="BX26" s="455">
        <f t="array" ref="BX26">IF('SK-ratios'!CG29&gt;'SK-ratios'!$AC29,10,IF('SK-ratios'!CG29&gt;='SK-ratios'!$AA29,5+5*LOG(1+('SK-ratios'!$U29-1)*('SK-ratios'!CG29-'SK-ratios'!$AA29)/('SK-ratios'!$AC29-'SK-ratios'!$AA29))/LOG('SK-ratios'!$U29),IF('SK-ratios'!CG29&gt;'SK-ratios'!$Y29,5-5*LOG(1+('SK-ratios'!$U29-1)*('SK-ratios'!CG29-'SK-ratios'!$AA29)/('SK-ratios'!$Y29-'SK-ratios'!$AA29))/LOG('SK-ratios'!$U29),0)))</f>
        <v>6.889807852039489</v>
      </c>
      <c r="BY26" s="455">
        <f t="array" ref="BY26">IF('SK-ratios'!CH29&gt;'SK-ratios'!$AC29,10,IF('SK-ratios'!CH29&gt;='SK-ratios'!$AA29,5+5*LOG(1+('SK-ratios'!$U29-1)*('SK-ratios'!CH29-'SK-ratios'!$AA29)/('SK-ratios'!$AC29-'SK-ratios'!$AA29))/LOG('SK-ratios'!$U29),IF('SK-ratios'!CH29&gt;'SK-ratios'!$Y29,5-5*LOG(1+('SK-ratios'!$U29-1)*('SK-ratios'!CH29-'SK-ratios'!$AA29)/('SK-ratios'!$Y29-'SK-ratios'!$AA29))/LOG('SK-ratios'!$U29),0)))</f>
        <v>9.1947584116517476</v>
      </c>
      <c r="BZ26" s="455">
        <f t="array" ref="BZ26">IF('SK-ratios'!CI29&gt;'SK-ratios'!$AC29,10,IF('SK-ratios'!CI29&gt;='SK-ratios'!$AA29,5+5*LOG(1+('SK-ratios'!$U29-1)*('SK-ratios'!CI29-'SK-ratios'!$AA29)/('SK-ratios'!$AC29-'SK-ratios'!$AA29))/LOG('SK-ratios'!$U29),IF('SK-ratios'!CI29&gt;'SK-ratios'!$Y29,5-5*LOG(1+('SK-ratios'!$U29-1)*('SK-ratios'!CI29-'SK-ratios'!$AA29)/('SK-ratios'!$Y29-'SK-ratios'!$AA29))/LOG('SK-ratios'!$U29),0)))</f>
        <v>4.181504335245422</v>
      </c>
      <c r="CA26" s="455">
        <f t="array" ref="CA26">IF('SK-ratios'!CJ29&gt;'SK-ratios'!$AC29,10,IF('SK-ratios'!CJ29&gt;='SK-ratios'!$AA29,5+5*LOG(1+('SK-ratios'!$U29-1)*('SK-ratios'!CJ29-'SK-ratios'!$AA29)/('SK-ratios'!$AC29-'SK-ratios'!$AA29))/LOG('SK-ratios'!$U29),IF('SK-ratios'!CJ29&gt;'SK-ratios'!$Y29,5-5*LOG(1+('SK-ratios'!$U29-1)*('SK-ratios'!CJ29-'SK-ratios'!$AA29)/('SK-ratios'!$Y29-'SK-ratios'!$AA29))/LOG('SK-ratios'!$U29),0)))</f>
        <v>8.8558996174012883</v>
      </c>
      <c r="CB26" s="455">
        <f t="array" ref="CB26">IF('SK-ratios'!CK29&gt;'SK-ratios'!$AC29,10,IF('SK-ratios'!CK29&gt;='SK-ratios'!$AA29,5+5*LOG(1+('SK-ratios'!$U29-1)*('SK-ratios'!CK29-'SK-ratios'!$AA29)/('SK-ratios'!$AC29-'SK-ratios'!$AA29))/LOG('SK-ratios'!$U29),IF('SK-ratios'!CK29&gt;'SK-ratios'!$Y29,5-5*LOG(1+('SK-ratios'!$U29-1)*('SK-ratios'!CK29-'SK-ratios'!$AA29)/('SK-ratios'!$Y29-'SK-ratios'!$AA29))/LOG('SK-ratios'!$U29),0)))</f>
        <v>3.2026868168808846</v>
      </c>
      <c r="CC26" s="455">
        <f t="array" ref="CC26">IF('SK-ratios'!CL29&gt;'SK-ratios'!$AC29,10,IF('SK-ratios'!CL29&gt;='SK-ratios'!$AA29,5+5*LOG(1+('SK-ratios'!$U29-1)*('SK-ratios'!CL29-'SK-ratios'!$AA29)/('SK-ratios'!$AC29-'SK-ratios'!$AA29))/LOG('SK-ratios'!$U29),IF('SK-ratios'!CL29&gt;'SK-ratios'!$Y29,5-5*LOG(1+('SK-ratios'!$U29-1)*('SK-ratios'!CL29-'SK-ratios'!$AA29)/('SK-ratios'!$Y29-'SK-ratios'!$AA29))/LOG('SK-ratios'!$U29),0)))</f>
        <v>5.7131087565641732</v>
      </c>
      <c r="CD26" s="455">
        <f t="array" ref="CD26">IF('SK-ratios'!CM29&gt;'SK-ratios'!$AC29,10,IF('SK-ratios'!CM29&gt;='SK-ratios'!$AA29,5+5*LOG(1+('SK-ratios'!$U29-1)*('SK-ratios'!CM29-'SK-ratios'!$AA29)/('SK-ratios'!$AC29-'SK-ratios'!$AA29))/LOG('SK-ratios'!$U29),IF('SK-ratios'!CM29&gt;'SK-ratios'!$Y29,5-5*LOG(1+('SK-ratios'!$U29-1)*('SK-ratios'!CM29-'SK-ratios'!$AA29)/('SK-ratios'!$Y29-'SK-ratios'!$AA29))/LOG('SK-ratios'!$U29),0)))</f>
        <v>8.3212765195353953</v>
      </c>
      <c r="CE26" s="455">
        <f t="array" ref="CE26">IF('SK-ratios'!CN29&gt;'SK-ratios'!$AC29,10,IF('SK-ratios'!CN29&gt;='SK-ratios'!$AA29,5+5*LOG(1+('SK-ratios'!$U29-1)*('SK-ratios'!CN29-'SK-ratios'!$AA29)/('SK-ratios'!$AC29-'SK-ratios'!$AA29))/LOG('SK-ratios'!$U29),IF('SK-ratios'!CN29&gt;'SK-ratios'!$Y29,5-5*LOG(1+('SK-ratios'!$U29-1)*('SK-ratios'!CN29-'SK-ratios'!$AA29)/('SK-ratios'!$Y29-'SK-ratios'!$AA29))/LOG('SK-ratios'!$U29),0)))</f>
        <v>6.7320263810049035</v>
      </c>
      <c r="CF26" s="455">
        <f t="array" ref="CF26">IF('SK-ratios'!CO29&gt;'SK-ratios'!$AC29,10,IF('SK-ratios'!CO29&gt;='SK-ratios'!$AA29,5+5*LOG(1+('SK-ratios'!$U29-1)*('SK-ratios'!CO29-'SK-ratios'!$AA29)/('SK-ratios'!$AC29-'SK-ratios'!$AA29))/LOG('SK-ratios'!$U29),IF('SK-ratios'!CO29&gt;'SK-ratios'!$Y29,5-5*LOG(1+('SK-ratios'!$U29-1)*('SK-ratios'!CO29-'SK-ratios'!$AA29)/('SK-ratios'!$Y29-'SK-ratios'!$AA29))/LOG('SK-ratios'!$U29),0)))</f>
        <v>7.58448517434213</v>
      </c>
      <c r="CG26" s="455">
        <f t="array" ref="CG26">IF('SK-ratios'!CP29&gt;'SK-ratios'!$AC29,10,IF('SK-ratios'!CP29&gt;='SK-ratios'!$AA29,5+5*LOG(1+('SK-ratios'!$U29-1)*('SK-ratios'!CP29-'SK-ratios'!$AA29)/('SK-ratios'!$AC29-'SK-ratios'!$AA29))/LOG('SK-ratios'!$U29),IF('SK-ratios'!CP29&gt;'SK-ratios'!$Y29,5-5*LOG(1+('SK-ratios'!$U29-1)*('SK-ratios'!CP29-'SK-ratios'!$AA29)/('SK-ratios'!$Y29-'SK-ratios'!$AA29))/LOG('SK-ratios'!$U29),0)))</f>
        <v>7.2992685341550576</v>
      </c>
      <c r="CH26" s="455">
        <f t="array" ref="CH26">IF('SK-ratios'!CQ29&gt;'SK-ratios'!$AC29,10,IF('SK-ratios'!CQ29&gt;='SK-ratios'!$AA29,5+5*LOG(1+('SK-ratios'!$U29-1)*('SK-ratios'!CQ29-'SK-ratios'!$AA29)/('SK-ratios'!$AC29-'SK-ratios'!$AA29))/LOG('SK-ratios'!$U29),IF('SK-ratios'!CQ29&gt;'SK-ratios'!$Y29,5-5*LOG(1+('SK-ratios'!$U29-1)*('SK-ratios'!CQ29-'SK-ratios'!$AA29)/('SK-ratios'!$Y29-'SK-ratios'!$AA29))/LOG('SK-ratios'!$U29),0)))</f>
        <v>6.5071532571142496</v>
      </c>
      <c r="CI26" s="455">
        <f t="array" ref="CI26">IF('SK-ratios'!CR29&gt;'SK-ratios'!$AC29,10,IF('SK-ratios'!CR29&gt;='SK-ratios'!$AA29,5+5*LOG(1+('SK-ratios'!$U29-1)*('SK-ratios'!CR29-'SK-ratios'!$AA29)/('SK-ratios'!$AC29-'SK-ratios'!$AA29))/LOG('SK-ratios'!$U29),IF('SK-ratios'!CR29&gt;'SK-ratios'!$Y29,5-5*LOG(1+('SK-ratios'!$U29-1)*('SK-ratios'!CR29-'SK-ratios'!$AA29)/('SK-ratios'!$Y29-'SK-ratios'!$AA29))/LOG('SK-ratios'!$U29),0)))</f>
        <v>7.7315735458490815</v>
      </c>
      <c r="CJ26" s="455">
        <f t="array" ref="CJ26">IF('SK-ratios'!CS29&gt;'SK-ratios'!$AC29,10,IF('SK-ratios'!CS29&gt;='SK-ratios'!$AA29,5+5*LOG(1+('SK-ratios'!$U29-1)*('SK-ratios'!CS29-'SK-ratios'!$AA29)/('SK-ratios'!$AC29-'SK-ratios'!$AA29))/LOG('SK-ratios'!$U29),IF('SK-ratios'!CS29&gt;'SK-ratios'!$Y29,5-5*LOG(1+('SK-ratios'!$U29-1)*('SK-ratios'!CS29-'SK-ratios'!$AA29)/('SK-ratios'!$Y29-'SK-ratios'!$AA29))/LOG('SK-ratios'!$U29),0)))</f>
        <v>10</v>
      </c>
      <c r="CK26" s="455">
        <f t="array" ref="CK26">IF('SK-ratios'!CT29&gt;'SK-ratios'!$AC29,10,IF('SK-ratios'!CT29&gt;='SK-ratios'!$AA29,5+5*LOG(1+('SK-ratios'!$U29-1)*('SK-ratios'!CT29-'SK-ratios'!$AA29)/('SK-ratios'!$AC29-'SK-ratios'!$AA29))/LOG('SK-ratios'!$U29),IF('SK-ratios'!CT29&gt;'SK-ratios'!$Y29,5-5*LOG(1+('SK-ratios'!$U29-1)*('SK-ratios'!CT29-'SK-ratios'!$AA29)/('SK-ratios'!$Y29-'SK-ratios'!$AA29))/LOG('SK-ratios'!$U29),0)))</f>
        <v>6.2215482660648371</v>
      </c>
      <c r="CL26" s="455">
        <f t="array" ref="CL26">IF('SK-ratios'!CU29&gt;'SK-ratios'!$AC29,10,IF('SK-ratios'!CU29&gt;='SK-ratios'!$AA29,5+5*LOG(1+('SK-ratios'!$U29-1)*('SK-ratios'!CU29-'SK-ratios'!$AA29)/('SK-ratios'!$AC29-'SK-ratios'!$AA29))/LOG('SK-ratios'!$U29),IF('SK-ratios'!CU29&gt;'SK-ratios'!$Y29,5-5*LOG(1+('SK-ratios'!$U29-1)*('SK-ratios'!CU29-'SK-ratios'!$AA29)/('SK-ratios'!$Y29-'SK-ratios'!$AA29))/LOG('SK-ratios'!$U29),0)))</f>
        <v>10</v>
      </c>
      <c r="CM26" s="455">
        <f t="array" ref="CM26">IF('SK-ratios'!CV29&gt;'SK-ratios'!$AC29,10,IF('SK-ratios'!CV29&gt;='SK-ratios'!$AA29,5+5*LOG(1+('SK-ratios'!$U29-1)*('SK-ratios'!CV29-'SK-ratios'!$AA29)/('SK-ratios'!$AC29-'SK-ratios'!$AA29))/LOG('SK-ratios'!$U29),IF('SK-ratios'!CV29&gt;'SK-ratios'!$Y29,5-5*LOG(1+('SK-ratios'!$U29-1)*('SK-ratios'!CV29-'SK-ratios'!$AA29)/('SK-ratios'!$Y29-'SK-ratios'!$AA29))/LOG('SK-ratios'!$U29),0)))</f>
        <v>4.6109150850427794</v>
      </c>
      <c r="CN26" s="455">
        <f t="array" ref="CN26">IF('SK-ratios'!CW29&gt;'SK-ratios'!$AC29,10,IF('SK-ratios'!CW29&gt;='SK-ratios'!$AA29,5+5*LOG(1+('SK-ratios'!$U29-1)*('SK-ratios'!CW29-'SK-ratios'!$AA29)/('SK-ratios'!$AC29-'SK-ratios'!$AA29))/LOG('SK-ratios'!$U29),IF('SK-ratios'!CW29&gt;'SK-ratios'!$Y29,5-5*LOG(1+('SK-ratios'!$U29-1)*('SK-ratios'!CW29-'SK-ratios'!$AA29)/('SK-ratios'!$Y29-'SK-ratios'!$AA29))/LOG('SK-ratios'!$U29),0)))</f>
        <v>5.3077328637682601</v>
      </c>
      <c r="CO26" s="455">
        <f t="array" ref="CO26">IF('SK-ratios'!CX29&gt;'SK-ratios'!$AC29,10,IF('SK-ratios'!CX29&gt;='SK-ratios'!$AA29,5+5*LOG(1+('SK-ratios'!$U29-1)*('SK-ratios'!CX29-'SK-ratios'!$AA29)/('SK-ratios'!$AC29-'SK-ratios'!$AA29))/LOG('SK-ratios'!$U29),IF('SK-ratios'!CX29&gt;'SK-ratios'!$Y29,5-5*LOG(1+('SK-ratios'!$U29-1)*('SK-ratios'!CX29-'SK-ratios'!$AA29)/('SK-ratios'!$Y29-'SK-ratios'!$AA29))/LOG('SK-ratios'!$U29),0)))</f>
        <v>5.2206208321195886</v>
      </c>
      <c r="CP26" s="455">
        <f t="array" ref="CP26">IF('SK-ratios'!CY29&gt;'SK-ratios'!$AC29,10,IF('SK-ratios'!CY29&gt;='SK-ratios'!$AA29,5+5*LOG(1+('SK-ratios'!$U29-1)*('SK-ratios'!CY29-'SK-ratios'!$AA29)/('SK-ratios'!$AC29-'SK-ratios'!$AA29))/LOG('SK-ratios'!$U29),IF('SK-ratios'!CY29&gt;'SK-ratios'!$Y29,5-5*LOG(1+('SK-ratios'!$U29-1)*('SK-ratios'!CY29-'SK-ratios'!$AA29)/('SK-ratios'!$Y29-'SK-ratios'!$AA29))/LOG('SK-ratios'!$U29),0)))</f>
        <v>8.1695914461422046</v>
      </c>
      <c r="CQ26" s="455">
        <f t="array" ref="CQ26">IF('SK-ratios'!CZ29&gt;'SK-ratios'!$AC29,10,IF('SK-ratios'!CZ29&gt;='SK-ratios'!$AA29,5+5*LOG(1+('SK-ratios'!$U29-1)*('SK-ratios'!CZ29-'SK-ratios'!$AA29)/('SK-ratios'!$AC29-'SK-ratios'!$AA29))/LOG('SK-ratios'!$U29),IF('SK-ratios'!CZ29&gt;'SK-ratios'!$Y29,5-5*LOG(1+('SK-ratios'!$U29-1)*('SK-ratios'!CZ29-'SK-ratios'!$AA29)/('SK-ratios'!$Y29-'SK-ratios'!$AA29))/LOG('SK-ratios'!$U29),0)))</f>
        <v>7.901938260522126</v>
      </c>
      <c r="CR26" s="455">
        <f t="array" ref="CR26">IF('SK-ratios'!DA29&gt;'SK-ratios'!$AC29,10,IF('SK-ratios'!DA29&gt;='SK-ratios'!$AA29,5+5*LOG(1+('SK-ratios'!$U29-1)*('SK-ratios'!DA29-'SK-ratios'!$AA29)/('SK-ratios'!$AC29-'SK-ratios'!$AA29))/LOG('SK-ratios'!$U29),IF('SK-ratios'!DA29&gt;'SK-ratios'!$Y29,5-5*LOG(1+('SK-ratios'!$U29-1)*('SK-ratios'!DA29-'SK-ratios'!$AA29)/('SK-ratios'!$Y29-'SK-ratios'!$AA29))/LOG('SK-ratios'!$U29),0)))</f>
        <v>7.3521537280547982</v>
      </c>
      <c r="CS26" s="455">
        <f t="array" ref="CS26">IF('SK-ratios'!DB29&gt;'SK-ratios'!$AC29,10,IF('SK-ratios'!DB29&gt;='SK-ratios'!$AA29,5+5*LOG(1+('SK-ratios'!$U29-1)*('SK-ratios'!DB29-'SK-ratios'!$AA29)/('SK-ratios'!$AC29-'SK-ratios'!$AA29))/LOG('SK-ratios'!$U29),IF('SK-ratios'!DB29&gt;'SK-ratios'!$Y29,5-5*LOG(1+('SK-ratios'!$U29-1)*('SK-ratios'!DB29-'SK-ratios'!$AA29)/('SK-ratios'!$Y29-'SK-ratios'!$AA29))/LOG('SK-ratios'!$U29),0)))</f>
        <v>8.1594264480335035</v>
      </c>
      <c r="CT26" s="455">
        <f t="array" ref="CT26">IF('SK-ratios'!DC29&gt;'SK-ratios'!$AC29,10,IF('SK-ratios'!DC29&gt;='SK-ratios'!$AA29,5+5*LOG(1+('SK-ratios'!$U29-1)*('SK-ratios'!DC29-'SK-ratios'!$AA29)/('SK-ratios'!$AC29-'SK-ratios'!$AA29))/LOG('SK-ratios'!$U29),IF('SK-ratios'!DC29&gt;'SK-ratios'!$Y29,5-5*LOG(1+('SK-ratios'!$U29-1)*('SK-ratios'!DC29-'SK-ratios'!$AA29)/('SK-ratios'!$Y29-'SK-ratios'!$AA29))/LOG('SK-ratios'!$U29),0)))</f>
        <v>9.0402798951743186</v>
      </c>
      <c r="CU26" s="455">
        <f t="array" ref="CU26">IF('SK-ratios'!DD29&gt;'SK-ratios'!$AC29,10,IF('SK-ratios'!DD29&gt;='SK-ratios'!$AA29,5+5*LOG(1+('SK-ratios'!$U29-1)*('SK-ratios'!DD29-'SK-ratios'!$AA29)/('SK-ratios'!$AC29-'SK-ratios'!$AA29))/LOG('SK-ratios'!$U29),IF('SK-ratios'!DD29&gt;'SK-ratios'!$Y29,5-5*LOG(1+('SK-ratios'!$U29-1)*('SK-ratios'!DD29-'SK-ratios'!$AA29)/('SK-ratios'!$Y29-'SK-ratios'!$AA29))/LOG('SK-ratios'!$U29),0)))</f>
        <v>2.4728465391984891</v>
      </c>
      <c r="CV26" s="455">
        <f t="array" ref="CV26">IF('SK-ratios'!DE29&gt;'SK-ratios'!$AC29,10,IF('SK-ratios'!DE29&gt;='SK-ratios'!$AA29,5+5*LOG(1+('SK-ratios'!$U29-1)*('SK-ratios'!DE29-'SK-ratios'!$AA29)/('SK-ratios'!$AC29-'SK-ratios'!$AA29))/LOG('SK-ratios'!$U29),IF('SK-ratios'!DE29&gt;'SK-ratios'!$Y29,5-5*LOG(1+('SK-ratios'!$U29-1)*('SK-ratios'!DE29-'SK-ratios'!$AA29)/('SK-ratios'!$Y29-'SK-ratios'!$AA29))/LOG('SK-ratios'!$U29),0)))</f>
        <v>5.5197243333877148</v>
      </c>
      <c r="CW26" s="455">
        <f t="array" ref="CW26">IF('SK-ratios'!DF29&gt;'SK-ratios'!$AC29,10,IF('SK-ratios'!DF29&gt;='SK-ratios'!$AA29,5+5*LOG(1+('SK-ratios'!$U29-1)*('SK-ratios'!DF29-'SK-ratios'!$AA29)/('SK-ratios'!$AC29-'SK-ratios'!$AA29))/LOG('SK-ratios'!$U29),IF('SK-ratios'!DF29&gt;'SK-ratios'!$Y29,5-5*LOG(1+('SK-ratios'!$U29-1)*('SK-ratios'!DF29-'SK-ratios'!$AA29)/('SK-ratios'!$Y29-'SK-ratios'!$AA29))/LOG('SK-ratios'!$U29),0)))</f>
        <v>5.1306434341826028</v>
      </c>
      <c r="CX26" s="455">
        <f t="array" ref="CX26">IF('SK-ratios'!DG29&gt;'SK-ratios'!$AC29,10,IF('SK-ratios'!DG29&gt;='SK-ratios'!$AA29,5+5*LOG(1+('SK-ratios'!$U29-1)*('SK-ratios'!DG29-'SK-ratios'!$AA29)/('SK-ratios'!$AC29-'SK-ratios'!$AA29))/LOG('SK-ratios'!$U29),IF('SK-ratios'!DG29&gt;'SK-ratios'!$Y29,5-5*LOG(1+('SK-ratios'!$U29-1)*('SK-ratios'!DG29-'SK-ratios'!$AA29)/('SK-ratios'!$Y29-'SK-ratios'!$AA29))/LOG('SK-ratios'!$U29),0)))</f>
        <v>2.8710879978192372</v>
      </c>
      <c r="DA26" s="456">
        <f t="array" ref="DA26">SUMPRODUCT(IF(($W$3:$CX$3=DA$3)*($W$2:$CX$2=DA$2),$W26:$CX26),IF(($W$3:$CX$3=DA$3)*($W$2:$CX$2=DA$2),$W$36:$CX$36))/SUM(IF(($W$3:$CX$3=DA$3)*($W$2:$CX$2=DA$2),$W$36:$CX$36))</f>
        <v>5.6662052075249774</v>
      </c>
      <c r="DB26" s="456">
        <f t="array" ref="DB26">SUMPRODUCT(IF(($W$3:$CX$3=DB$3)*($W$2:$CX$2=DB$2),$W26:$CX26),IF(($W$3:$CX$3=DB$3)*($W$2:$CX$2=DB$2),$W$36:$CX$36))/SUM(IF(($W$3:$CX$3=DB$3)*($W$2:$CX$2=DB$2),$W$36:$CX$36))</f>
        <v>8.3791068745579036</v>
      </c>
      <c r="DC26" s="456">
        <f t="array" ref="DC26">SUMPRODUCT(IF(($W$3:$CX$3=DC$3)*($W$2:$CX$2=DC$2),$W26:$CX26),IF(($W$3:$CX$3=DC$3)*($W$2:$CX$2=DC$2),$W$36:$CX$36))/SUM(IF(($W$3:$CX$3=DC$3)*($W$2:$CX$2=DC$2),$W$36:$CX$36))</f>
        <v>5.0333464018016754</v>
      </c>
      <c r="DD26" s="456">
        <f t="array" ref="DD26">SUMPRODUCT(IF(($W$3:$CX$3=DD$3)*($W$2:$CX$2=DD$2),$W26:$CX26),IF(($W$3:$CX$3=DD$3)*($W$2:$CX$2=DD$2),$W$36:$CX$36))/SUM(IF(($W$3:$CX$3=DD$3)*($W$2:$CX$2=DD$2),$W$36:$CX$36))</f>
        <v>5.6582474150762367</v>
      </c>
      <c r="DE26" s="456">
        <f t="array" ref="DE26">SUMPRODUCT(IF(($W$3:$CX$3=DE$3)*($W$2:$CX$2=DE$2),$W26:$CX26),IF(($W$3:$CX$3=DE$3)*($W$2:$CX$2=DE$2),$W$36:$CX$36))/SUM(IF(($W$3:$CX$3=DE$3)*($W$2:$CX$2=DE$2),$W$36:$CX$36))</f>
        <v>7.5181734324099798</v>
      </c>
      <c r="DF26" s="456">
        <f t="array" ref="DF26">SUMPRODUCT(IF(($W$3:$CX$3=DF$3)*($W$2:$CX$2=DF$2),$W26:$CX26),IF(($W$3:$CX$3=DF$3)*($W$2:$CX$2=DF$2),$W$36:$CX$36))/SUM(IF(($W$3:$CX$3=DF$3)*($W$2:$CX$2=DF$2),$W$36:$CX$36))</f>
        <v>6.6331241191160935</v>
      </c>
      <c r="DG26" s="456">
        <f t="array" ref="DG26">SUMPRODUCT(IF(($W$3:$CX$3=DG$3)*($W$2:$CX$2=DG$2),$W26:$CX26),IF(($W$3:$CX$3=DG$3)*($W$2:$CX$2=DG$2),$W$36:$CX$36))/SUM(IF(($W$3:$CX$3=DG$3)*($W$2:$CX$2=DG$2),$W$36:$CX$36))</f>
        <v>9.0023698910596295</v>
      </c>
      <c r="DH26" s="456">
        <f t="array" ref="DH26">SUMPRODUCT(IF(($W$3:$CX$3=DH$3)*($W$2:$CX$2=DH$2),$W26:$CX26),IF(($W$3:$CX$3=DH$3)*($W$2:$CX$2=DH$2),$W$36:$CX$36))/SUM(IF(($W$3:$CX$3=DH$3)*($W$2:$CX$2=DH$2),$W$36:$CX$36))</f>
        <v>8.5422836698418863</v>
      </c>
      <c r="DI26" s="456">
        <f t="array" ref="DI26">SUMPRODUCT(IF(($W$3:$CX$3=DI$3)*($W$2:$CX$2=DI$2),$W26:$CX26),IF(($W$3:$CX$3=DI$3)*($W$2:$CX$2=DI$2),$W$36:$CX$36))/SUM(IF(($W$3:$CX$3=DI$3)*($W$2:$CX$2=DI$2),$W$36:$CX$36))</f>
        <v>9.6151993005045373</v>
      </c>
      <c r="DJ26" s="456">
        <f t="array" ref="DJ26">SUMPRODUCT(IF(($W$3:$CX$3=DJ$3)*($W$2:$CX$2=DJ$2),$W26:$CX26),IF(($W$3:$CX$3=DJ$3)*($W$2:$CX$2=DJ$2),$W$36:$CX$36))/SUM(IF(($W$3:$CX$3=DJ$3)*($W$2:$CX$2=DJ$2),$W$36:$CX$36))</f>
        <v>8.0804536965516469</v>
      </c>
      <c r="DK26" s="456">
        <f t="array" ref="DK26">SUMPRODUCT(IF(($W$3:$CX$3=DK$3)*1,$W26:$CX26),IF(($W$3:$CX$3=DK$3)*1,$W$36:$CX$36))/SUM(IF(($W$3:$CX$3=DK$3)*1,$W$36:$CX$36))</f>
        <v>8.7220895641413225</v>
      </c>
      <c r="DL26" s="456">
        <f t="array" ref="DL26">SUMPRODUCT(IF(($W$3:$CX$3=DL$3)*1,$W26:$CX26),IF(($W$3:$CX$3=DL$3)*1,$W$36:$CX$36))/SUM(IF(($W$3:$CX$3=DL$3)*1,$W$36:$CX$36))</f>
        <v>6.6565216006406462</v>
      </c>
      <c r="DM26" s="456">
        <f t="array" ref="DM26">SUMPRODUCT(IF(($W$3:$CX$3=DM$3)*1,$W26:$CX26),IF(($W$3:$CX$3=DM$3)*1,$W$36:$CX$36))/SUM(IF(($W$3:$CX$3=DM$3)*1,$W$36:$CX$36))</f>
        <v>6.9257469766580986</v>
      </c>
      <c r="DN26" s="456">
        <f t="array" ref="DN26">SUMPRODUCT(IF(1*($W$2:$CX$2=DN$2),$W26:$CX26),IF(1*($W$2:$CX$2=DN$2),$W$36:$CX$36))/SUM(IF(1*($W$2:$CX$2=DN$2),$W$36:$CX$36))</f>
        <v>6.436837688154184</v>
      </c>
      <c r="DO26" s="456">
        <f t="array" ref="DO26">SUMPRODUCT(IF(1*($W$2:$CX$2=DO$2),$W26:$CX26),IF(1*($W$2:$CX$2=DO$2),$W$36:$CX$36))/SUM(IF(1*($W$2:$CX$2=DO$2),$W$36:$CX$36))</f>
        <v>8.8652902389117596</v>
      </c>
      <c r="DP26" s="456">
        <f t="array" ref="DP26">SUMPRODUCT(IF(1*1,$W26:$CX26),IF(1*1,$W$36:$CX$36))/SUM(IF(1*1,$W$36:$CX$36))</f>
        <v>7.3660008352582986</v>
      </c>
    </row>
    <row r="27" spans="1:120" ht="15.75" customHeight="1" thickBot="1" x14ac:dyDescent="0.3">
      <c r="A27" s="640"/>
      <c r="B27" s="634"/>
      <c r="C27" s="235">
        <f>'MD-ratings-year'!C27</f>
        <v>0.1</v>
      </c>
      <c r="D27" s="434" t="str">
        <f>'MD-ratings-year'!D27</f>
        <v>ROS – Return on Sales</v>
      </c>
      <c r="E27" s="437" t="str">
        <f>'MD-ratings-year'!E27</f>
        <v>Net Profit ÷ Sales</v>
      </c>
      <c r="F27" s="440" t="s">
        <v>400</v>
      </c>
      <c r="G27" s="653"/>
      <c r="I27" s="531">
        <f>'SK-ratios'!U30</f>
        <v>21.021038348759404</v>
      </c>
      <c r="K27" s="226">
        <f>'MD-ratings-year'!P27</f>
        <v>-0.16357423620862643</v>
      </c>
      <c r="L27" s="566">
        <f>'MD-ratings-year'!Q27</f>
        <v>-8.1787118104313217E-2</v>
      </c>
      <c r="M27" s="226">
        <f>'MD-ratings-year'!R27</f>
        <v>0</v>
      </c>
      <c r="N27" s="566">
        <f>'MD-ratings-year'!S27</f>
        <v>8.1787118104313217E-2</v>
      </c>
      <c r="O27" s="226">
        <f>'MD-ratings-year'!T27</f>
        <v>0.16357423620862643</v>
      </c>
      <c r="P27" s="226"/>
      <c r="Q27" s="226"/>
      <c r="R27" s="226"/>
      <c r="W27" s="455">
        <f t="array" ref="W27">IF('SK-ratios'!AF30&gt;'SK-ratios'!$AC30,10,IF('SK-ratios'!AF30&gt;='SK-ratios'!$AA30,5+5*LOG(1+('SK-ratios'!$U30-1)*('SK-ratios'!AF30-'SK-ratios'!$AA30)/('SK-ratios'!$AC30-'SK-ratios'!$AA30))/LOG('SK-ratios'!$U30),IF('SK-ratios'!AF30&gt;'SK-ratios'!$Y30,5-5*LOG(1+('SK-ratios'!$U30-1)*('SK-ratios'!AF30-'SK-ratios'!$AA30)/('SK-ratios'!$Y30-'SK-ratios'!$AA30))/LOG('SK-ratios'!$U30),0)))</f>
        <v>5.5350733072117082</v>
      </c>
      <c r="X27" s="455">
        <f t="array" ref="X27">IF('SK-ratios'!AG30&gt;'SK-ratios'!$AC30,10,IF('SK-ratios'!AG30&gt;='SK-ratios'!$AA30,5+5*LOG(1+('SK-ratios'!$U30-1)*('SK-ratios'!AG30-'SK-ratios'!$AA30)/('SK-ratios'!$AC30-'SK-ratios'!$AA30))/LOG('SK-ratios'!$U30),IF('SK-ratios'!AG30&gt;'SK-ratios'!$Y30,5-5*LOG(1+('SK-ratios'!$U30-1)*('SK-ratios'!AG30-'SK-ratios'!$AA30)/('SK-ratios'!$Y30-'SK-ratios'!$AA30))/LOG('SK-ratios'!$U30),0)))</f>
        <v>6.8626478046403392</v>
      </c>
      <c r="Y27" s="455">
        <f t="array" ref="Y27">IF('SK-ratios'!AH30&gt;'SK-ratios'!$AC30,10,IF('SK-ratios'!AH30&gt;='SK-ratios'!$AA30,5+5*LOG(1+('SK-ratios'!$U30-1)*('SK-ratios'!AH30-'SK-ratios'!$AA30)/('SK-ratios'!$AC30-'SK-ratios'!$AA30))/LOG('SK-ratios'!$U30),IF('SK-ratios'!AH30&gt;'SK-ratios'!$Y30,5-5*LOG(1+('SK-ratios'!$U30-1)*('SK-ratios'!AH30-'SK-ratios'!$AA30)/('SK-ratios'!$Y30-'SK-ratios'!$AA30))/LOG('SK-ratios'!$U30),0)))</f>
        <v>6.9908472729032241</v>
      </c>
      <c r="Z27" s="455">
        <f t="array" ref="Z27">IF('SK-ratios'!AI30&gt;'SK-ratios'!$AC30,10,IF('SK-ratios'!AI30&gt;='SK-ratios'!$AA30,5+5*LOG(1+('SK-ratios'!$U30-1)*('SK-ratios'!AI30-'SK-ratios'!$AA30)/('SK-ratios'!$AC30-'SK-ratios'!$AA30))/LOG('SK-ratios'!$U30),IF('SK-ratios'!AI30&gt;'SK-ratios'!$Y30,5-5*LOG(1+('SK-ratios'!$U30-1)*('SK-ratios'!AI30-'SK-ratios'!$AA30)/('SK-ratios'!$Y30-'SK-ratios'!$AA30))/LOG('SK-ratios'!$U30),0)))</f>
        <v>8.3587303778524955</v>
      </c>
      <c r="AA27" s="455">
        <f t="array" ref="AA27">IF('SK-ratios'!AJ30&gt;'SK-ratios'!$AC30,10,IF('SK-ratios'!AJ30&gt;='SK-ratios'!$AA30,5+5*LOG(1+('SK-ratios'!$U30-1)*('SK-ratios'!AJ30-'SK-ratios'!$AA30)/('SK-ratios'!$AC30-'SK-ratios'!$AA30))/LOG('SK-ratios'!$U30),IF('SK-ratios'!AJ30&gt;'SK-ratios'!$Y30,5-5*LOG(1+('SK-ratios'!$U30-1)*('SK-ratios'!AJ30-'SK-ratios'!$AA30)/('SK-ratios'!$Y30-'SK-ratios'!$AA30))/LOG('SK-ratios'!$U30),0)))</f>
        <v>8.1667969395307018</v>
      </c>
      <c r="AB27" s="455">
        <f t="array" ref="AB27">IF('SK-ratios'!AK30&gt;'SK-ratios'!$AC30,10,IF('SK-ratios'!AK30&gt;='SK-ratios'!$AA30,5+5*LOG(1+('SK-ratios'!$U30-1)*('SK-ratios'!AK30-'SK-ratios'!$AA30)/('SK-ratios'!$AC30-'SK-ratios'!$AA30))/LOG('SK-ratios'!$U30),IF('SK-ratios'!AK30&gt;'SK-ratios'!$Y30,5-5*LOG(1+('SK-ratios'!$U30-1)*('SK-ratios'!AK30-'SK-ratios'!$AA30)/('SK-ratios'!$Y30-'SK-ratios'!$AA30))/LOG('SK-ratios'!$U30),0)))</f>
        <v>3.5273765158899417</v>
      </c>
      <c r="AC27" s="455">
        <f t="array" ref="AC27">IF('SK-ratios'!AL30&gt;'SK-ratios'!$AC30,10,IF('SK-ratios'!AL30&gt;='SK-ratios'!$AA30,5+5*LOG(1+('SK-ratios'!$U30-1)*('SK-ratios'!AL30-'SK-ratios'!$AA30)/('SK-ratios'!$AC30-'SK-ratios'!$AA30))/LOG('SK-ratios'!$U30),IF('SK-ratios'!AL30&gt;'SK-ratios'!$Y30,5-5*LOG(1+('SK-ratios'!$U30-1)*('SK-ratios'!AL30-'SK-ratios'!$AA30)/('SK-ratios'!$Y30-'SK-ratios'!$AA30))/LOG('SK-ratios'!$U30),0)))</f>
        <v>8.2660175167659364</v>
      </c>
      <c r="AD27" s="455">
        <f t="array" ref="AD27">IF('SK-ratios'!AM30&gt;'SK-ratios'!$AC30,10,IF('SK-ratios'!AM30&gt;='SK-ratios'!$AA30,5+5*LOG(1+('SK-ratios'!$U30-1)*('SK-ratios'!AM30-'SK-ratios'!$AA30)/('SK-ratios'!$AC30-'SK-ratios'!$AA30))/LOG('SK-ratios'!$U30),IF('SK-ratios'!AM30&gt;'SK-ratios'!$Y30,5-5*LOG(1+('SK-ratios'!$U30-1)*('SK-ratios'!AM30-'SK-ratios'!$AA30)/('SK-ratios'!$Y30-'SK-ratios'!$AA30))/LOG('SK-ratios'!$U30),0)))</f>
        <v>8.1924849833625384</v>
      </c>
      <c r="AE27" s="455">
        <f t="array" ref="AE27">IF('SK-ratios'!AN30&gt;'SK-ratios'!$AC30,10,IF('SK-ratios'!AN30&gt;='SK-ratios'!$AA30,5+5*LOG(1+('SK-ratios'!$U30-1)*('SK-ratios'!AN30-'SK-ratios'!$AA30)/('SK-ratios'!$AC30-'SK-ratios'!$AA30))/LOG('SK-ratios'!$U30),IF('SK-ratios'!AN30&gt;'SK-ratios'!$Y30,5-5*LOG(1+('SK-ratios'!$U30-1)*('SK-ratios'!AN30-'SK-ratios'!$AA30)/('SK-ratios'!$Y30-'SK-ratios'!$AA30))/LOG('SK-ratios'!$U30),0)))</f>
        <v>6.7520462706522384</v>
      </c>
      <c r="AF27" s="455">
        <f t="array" ref="AF27">IF('SK-ratios'!AO30&gt;'SK-ratios'!$AC30,10,IF('SK-ratios'!AO30&gt;='SK-ratios'!$AA30,5+5*LOG(1+('SK-ratios'!$U30-1)*('SK-ratios'!AO30-'SK-ratios'!$AA30)/('SK-ratios'!$AC30-'SK-ratios'!$AA30))/LOG('SK-ratios'!$U30),IF('SK-ratios'!AO30&gt;'SK-ratios'!$Y30,5-5*LOG(1+('SK-ratios'!$U30-1)*('SK-ratios'!AO30-'SK-ratios'!$AA30)/('SK-ratios'!$Y30-'SK-ratios'!$AA30))/LOG('SK-ratios'!$U30),0)))</f>
        <v>6.6731844583866211</v>
      </c>
      <c r="AG27" s="455">
        <f t="array" ref="AG27">IF('SK-ratios'!AP30&gt;'SK-ratios'!$AC30,10,IF('SK-ratios'!AP30&gt;='SK-ratios'!$AA30,5+5*LOG(1+('SK-ratios'!$U30-1)*('SK-ratios'!AP30-'SK-ratios'!$AA30)/('SK-ratios'!$AC30-'SK-ratios'!$AA30))/LOG('SK-ratios'!$U30),IF('SK-ratios'!AP30&gt;'SK-ratios'!$Y30,5-5*LOG(1+('SK-ratios'!$U30-1)*('SK-ratios'!AP30-'SK-ratios'!$AA30)/('SK-ratios'!$Y30-'SK-ratios'!$AA30))/LOG('SK-ratios'!$U30),0)))</f>
        <v>8.9159361618012252</v>
      </c>
      <c r="AH27" s="455">
        <f t="array" ref="AH27">IF('SK-ratios'!AQ30&gt;'SK-ratios'!$AC30,10,IF('SK-ratios'!AQ30&gt;='SK-ratios'!$AA30,5+5*LOG(1+('SK-ratios'!$U30-1)*('SK-ratios'!AQ30-'SK-ratios'!$AA30)/('SK-ratios'!$AC30-'SK-ratios'!$AA30))/LOG('SK-ratios'!$U30),IF('SK-ratios'!AQ30&gt;'SK-ratios'!$Y30,5-5*LOG(1+('SK-ratios'!$U30-1)*('SK-ratios'!AQ30-'SK-ratios'!$AA30)/('SK-ratios'!$Y30-'SK-ratios'!$AA30))/LOG('SK-ratios'!$U30),0)))</f>
        <v>0</v>
      </c>
      <c r="AI27" s="455">
        <f t="array" ref="AI27">IF('SK-ratios'!AR30&gt;'SK-ratios'!$AC30,10,IF('SK-ratios'!AR30&gt;='SK-ratios'!$AA30,5+5*LOG(1+('SK-ratios'!$U30-1)*('SK-ratios'!AR30-'SK-ratios'!$AA30)/('SK-ratios'!$AC30-'SK-ratios'!$AA30))/LOG('SK-ratios'!$U30),IF('SK-ratios'!AR30&gt;'SK-ratios'!$Y30,5-5*LOG(1+('SK-ratios'!$U30-1)*('SK-ratios'!AR30-'SK-ratios'!$AA30)/('SK-ratios'!$Y30-'SK-ratios'!$AA30))/LOG('SK-ratios'!$U30),0)))</f>
        <v>8.2539749937958629</v>
      </c>
      <c r="AJ27" s="455">
        <f t="array" ref="AJ27">IF('SK-ratios'!AS30&gt;'SK-ratios'!$AC30,10,IF('SK-ratios'!AS30&gt;='SK-ratios'!$AA30,5+5*LOG(1+('SK-ratios'!$U30-1)*('SK-ratios'!AS30-'SK-ratios'!$AA30)/('SK-ratios'!$AC30-'SK-ratios'!$AA30))/LOG('SK-ratios'!$U30),IF('SK-ratios'!AS30&gt;'SK-ratios'!$Y30,5-5*LOG(1+('SK-ratios'!$U30-1)*('SK-ratios'!AS30-'SK-ratios'!$AA30)/('SK-ratios'!$Y30-'SK-ratios'!$AA30))/LOG('SK-ratios'!$U30),0)))</f>
        <v>8.1135264835947556</v>
      </c>
      <c r="AK27" s="455">
        <f t="array" ref="AK27">IF('SK-ratios'!AT30&gt;'SK-ratios'!$AC30,10,IF('SK-ratios'!AT30&gt;='SK-ratios'!$AA30,5+5*LOG(1+('SK-ratios'!$U30-1)*('SK-ratios'!AT30-'SK-ratios'!$AA30)/('SK-ratios'!$AC30-'SK-ratios'!$AA30))/LOG('SK-ratios'!$U30),IF('SK-ratios'!AT30&gt;'SK-ratios'!$Y30,5-5*LOG(1+('SK-ratios'!$U30-1)*('SK-ratios'!AT30-'SK-ratios'!$AA30)/('SK-ratios'!$Y30-'SK-ratios'!$AA30))/LOG('SK-ratios'!$U30),0)))</f>
        <v>7.3004010769931771</v>
      </c>
      <c r="AL27" s="455">
        <f t="array" ref="AL27">IF('SK-ratios'!AU30&gt;'SK-ratios'!$AC30,10,IF('SK-ratios'!AU30&gt;='SK-ratios'!$AA30,5+5*LOG(1+('SK-ratios'!$U30-1)*('SK-ratios'!AU30-'SK-ratios'!$AA30)/('SK-ratios'!$AC30-'SK-ratios'!$AA30))/LOG('SK-ratios'!$U30),IF('SK-ratios'!AU30&gt;'SK-ratios'!$Y30,5-5*LOG(1+('SK-ratios'!$U30-1)*('SK-ratios'!AU30-'SK-ratios'!$AA30)/('SK-ratios'!$Y30-'SK-ratios'!$AA30))/LOG('SK-ratios'!$U30),0)))</f>
        <v>10</v>
      </c>
      <c r="AM27" s="455">
        <f t="array" ref="AM27">IF('SK-ratios'!AV30&gt;'SK-ratios'!$AC30,10,IF('SK-ratios'!AV30&gt;='SK-ratios'!$AA30,5+5*LOG(1+('SK-ratios'!$U30-1)*('SK-ratios'!AV30-'SK-ratios'!$AA30)/('SK-ratios'!$AC30-'SK-ratios'!$AA30))/LOG('SK-ratios'!$U30),IF('SK-ratios'!AV30&gt;'SK-ratios'!$Y30,5-5*LOG(1+('SK-ratios'!$U30-1)*('SK-ratios'!AV30-'SK-ratios'!$AA30)/('SK-ratios'!$Y30-'SK-ratios'!$AA30))/LOG('SK-ratios'!$U30),0)))</f>
        <v>9.3881885692780394</v>
      </c>
      <c r="AN27" s="455">
        <f t="array" ref="AN27">IF('SK-ratios'!AW30&gt;'SK-ratios'!$AC30,10,IF('SK-ratios'!AW30&gt;='SK-ratios'!$AA30,5+5*LOG(1+('SK-ratios'!$U30-1)*('SK-ratios'!AW30-'SK-ratios'!$AA30)/('SK-ratios'!$AC30-'SK-ratios'!$AA30))/LOG('SK-ratios'!$U30),IF('SK-ratios'!AW30&gt;'SK-ratios'!$Y30,5-5*LOG(1+('SK-ratios'!$U30-1)*('SK-ratios'!AW30-'SK-ratios'!$AA30)/('SK-ratios'!$Y30-'SK-ratios'!$AA30))/LOG('SK-ratios'!$U30),0)))</f>
        <v>2.7989728565497205</v>
      </c>
      <c r="AO27" s="455">
        <f t="array" ref="AO27">IF('SK-ratios'!AX30&gt;'SK-ratios'!$AC30,10,IF('SK-ratios'!AX30&gt;='SK-ratios'!$AA30,5+5*LOG(1+('SK-ratios'!$U30-1)*('SK-ratios'!AX30-'SK-ratios'!$AA30)/('SK-ratios'!$AC30-'SK-ratios'!$AA30))/LOG('SK-ratios'!$U30),IF('SK-ratios'!AX30&gt;'SK-ratios'!$Y30,5-5*LOG(1+('SK-ratios'!$U30-1)*('SK-ratios'!AX30-'SK-ratios'!$AA30)/('SK-ratios'!$Y30-'SK-ratios'!$AA30))/LOG('SK-ratios'!$U30),0)))</f>
        <v>0</v>
      </c>
      <c r="AP27" s="455">
        <f t="array" ref="AP27">IF('SK-ratios'!AY30&gt;'SK-ratios'!$AC30,10,IF('SK-ratios'!AY30&gt;='SK-ratios'!$AA30,5+5*LOG(1+('SK-ratios'!$U30-1)*('SK-ratios'!AY30-'SK-ratios'!$AA30)/('SK-ratios'!$AC30-'SK-ratios'!$AA30))/LOG('SK-ratios'!$U30),IF('SK-ratios'!AY30&gt;'SK-ratios'!$Y30,5-5*LOG(1+('SK-ratios'!$U30-1)*('SK-ratios'!AY30-'SK-ratios'!$AA30)/('SK-ratios'!$Y30-'SK-ratios'!$AA30))/LOG('SK-ratios'!$U30),0)))</f>
        <v>6.7150166240391425</v>
      </c>
      <c r="AQ27" s="455">
        <f t="array" ref="AQ27">IF('SK-ratios'!AZ30&gt;'SK-ratios'!$AC30,10,IF('SK-ratios'!AZ30&gt;='SK-ratios'!$AA30,5+5*LOG(1+('SK-ratios'!$U30-1)*('SK-ratios'!AZ30-'SK-ratios'!$AA30)/('SK-ratios'!$AC30-'SK-ratios'!$AA30))/LOG('SK-ratios'!$U30),IF('SK-ratios'!AZ30&gt;'SK-ratios'!$Y30,5-5*LOG(1+('SK-ratios'!$U30-1)*('SK-ratios'!AZ30-'SK-ratios'!$AA30)/('SK-ratios'!$Y30-'SK-ratios'!$AA30))/LOG('SK-ratios'!$U30),0)))</f>
        <v>10</v>
      </c>
      <c r="AR27" s="455">
        <f t="array" ref="AR27">IF('SK-ratios'!BA30&gt;'SK-ratios'!$AC30,10,IF('SK-ratios'!BA30&gt;='SK-ratios'!$AA30,5+5*LOG(1+('SK-ratios'!$U30-1)*('SK-ratios'!BA30-'SK-ratios'!$AA30)/('SK-ratios'!$AC30-'SK-ratios'!$AA30))/LOG('SK-ratios'!$U30),IF('SK-ratios'!BA30&gt;'SK-ratios'!$Y30,5-5*LOG(1+('SK-ratios'!$U30-1)*('SK-ratios'!BA30-'SK-ratios'!$AA30)/('SK-ratios'!$Y30-'SK-ratios'!$AA30))/LOG('SK-ratios'!$U30),0)))</f>
        <v>6.6799191020982676</v>
      </c>
      <c r="AS27" s="455">
        <f t="array" ref="AS27">IF('SK-ratios'!BB30&gt;'SK-ratios'!$AC30,10,IF('SK-ratios'!BB30&gt;='SK-ratios'!$AA30,5+5*LOG(1+('SK-ratios'!$U30-1)*('SK-ratios'!BB30-'SK-ratios'!$AA30)/('SK-ratios'!$AC30-'SK-ratios'!$AA30))/LOG('SK-ratios'!$U30),IF('SK-ratios'!BB30&gt;'SK-ratios'!$Y30,5-5*LOG(1+('SK-ratios'!$U30-1)*('SK-ratios'!BB30-'SK-ratios'!$AA30)/('SK-ratios'!$Y30-'SK-ratios'!$AA30))/LOG('SK-ratios'!$U30),0)))</f>
        <v>7.6663830885195701</v>
      </c>
      <c r="AT27" s="455">
        <f t="array" ref="AT27">IF('SK-ratios'!BC30&gt;'SK-ratios'!$AC30,10,IF('SK-ratios'!BC30&gt;='SK-ratios'!$AA30,5+5*LOG(1+('SK-ratios'!$U30-1)*('SK-ratios'!BC30-'SK-ratios'!$AA30)/('SK-ratios'!$AC30-'SK-ratios'!$AA30))/LOG('SK-ratios'!$U30),IF('SK-ratios'!BC30&gt;'SK-ratios'!$Y30,5-5*LOG(1+('SK-ratios'!$U30-1)*('SK-ratios'!BC30-'SK-ratios'!$AA30)/('SK-ratios'!$Y30-'SK-ratios'!$AA30))/LOG('SK-ratios'!$U30),0)))</f>
        <v>1.7429388684190665</v>
      </c>
      <c r="AU27" s="455">
        <f t="array" ref="AU27">IF('SK-ratios'!BD30&gt;'SK-ratios'!$AC30,10,IF('SK-ratios'!BD30&gt;='SK-ratios'!$AA30,5+5*LOG(1+('SK-ratios'!$U30-1)*('SK-ratios'!BD30-'SK-ratios'!$AA30)/('SK-ratios'!$AC30-'SK-ratios'!$AA30))/LOG('SK-ratios'!$U30),IF('SK-ratios'!BD30&gt;'SK-ratios'!$Y30,5-5*LOG(1+('SK-ratios'!$U30-1)*('SK-ratios'!BD30-'SK-ratios'!$AA30)/('SK-ratios'!$Y30-'SK-ratios'!$AA30))/LOG('SK-ratios'!$U30),0)))</f>
        <v>1.9491577745752093</v>
      </c>
      <c r="AV27" s="455">
        <f t="array" ref="AV27">IF('SK-ratios'!BE30&gt;'SK-ratios'!$AC30,10,IF('SK-ratios'!BE30&gt;='SK-ratios'!$AA30,5+5*LOG(1+('SK-ratios'!$U30-1)*('SK-ratios'!BE30-'SK-ratios'!$AA30)/('SK-ratios'!$AC30-'SK-ratios'!$AA30))/LOG('SK-ratios'!$U30),IF('SK-ratios'!BE30&gt;'SK-ratios'!$Y30,5-5*LOG(1+('SK-ratios'!$U30-1)*('SK-ratios'!BE30-'SK-ratios'!$AA30)/('SK-ratios'!$Y30-'SK-ratios'!$AA30))/LOG('SK-ratios'!$U30),0)))</f>
        <v>10</v>
      </c>
      <c r="AW27" s="455">
        <f t="array" ref="AW27">IF('SK-ratios'!BF30&gt;'SK-ratios'!$AC30,10,IF('SK-ratios'!BF30&gt;='SK-ratios'!$AA30,5+5*LOG(1+('SK-ratios'!$U30-1)*('SK-ratios'!BF30-'SK-ratios'!$AA30)/('SK-ratios'!$AC30-'SK-ratios'!$AA30))/LOG('SK-ratios'!$U30),IF('SK-ratios'!BF30&gt;'SK-ratios'!$Y30,5-5*LOG(1+('SK-ratios'!$U30-1)*('SK-ratios'!BF30-'SK-ratios'!$AA30)/('SK-ratios'!$Y30-'SK-ratios'!$AA30))/LOG('SK-ratios'!$U30),0)))</f>
        <v>0</v>
      </c>
      <c r="AX27" s="455">
        <f t="array" ref="AX27">IF('SK-ratios'!BG30&gt;'SK-ratios'!$AC30,10,IF('SK-ratios'!BG30&gt;='SK-ratios'!$AA30,5+5*LOG(1+('SK-ratios'!$U30-1)*('SK-ratios'!BG30-'SK-ratios'!$AA30)/('SK-ratios'!$AC30-'SK-ratios'!$AA30))/LOG('SK-ratios'!$U30),IF('SK-ratios'!BG30&gt;'SK-ratios'!$Y30,5-5*LOG(1+('SK-ratios'!$U30-1)*('SK-ratios'!BG30-'SK-ratios'!$AA30)/('SK-ratios'!$Y30-'SK-ratios'!$AA30))/LOG('SK-ratios'!$U30),0)))</f>
        <v>0</v>
      </c>
      <c r="AY27" s="455">
        <f t="array" ref="AY27">IF('SK-ratios'!BH30&gt;'SK-ratios'!$AC30,10,IF('SK-ratios'!BH30&gt;='SK-ratios'!$AA30,5+5*LOG(1+('SK-ratios'!$U30-1)*('SK-ratios'!BH30-'SK-ratios'!$AA30)/('SK-ratios'!$AC30-'SK-ratios'!$AA30))/LOG('SK-ratios'!$U30),IF('SK-ratios'!BH30&gt;'SK-ratios'!$Y30,5-5*LOG(1+('SK-ratios'!$U30-1)*('SK-ratios'!BH30-'SK-ratios'!$AA30)/('SK-ratios'!$Y30-'SK-ratios'!$AA30))/LOG('SK-ratios'!$U30),0)))</f>
        <v>0</v>
      </c>
      <c r="AZ27" s="455">
        <f t="array" ref="AZ27">IF('SK-ratios'!BI30&gt;'SK-ratios'!$AC30,10,IF('SK-ratios'!BI30&gt;='SK-ratios'!$AA30,5+5*LOG(1+('SK-ratios'!$U30-1)*('SK-ratios'!BI30-'SK-ratios'!$AA30)/('SK-ratios'!$AC30-'SK-ratios'!$AA30))/LOG('SK-ratios'!$U30),IF('SK-ratios'!BI30&gt;'SK-ratios'!$Y30,5-5*LOG(1+('SK-ratios'!$U30-1)*('SK-ratios'!BI30-'SK-ratios'!$AA30)/('SK-ratios'!$Y30-'SK-ratios'!$AA30))/LOG('SK-ratios'!$U30),0)))</f>
        <v>1.5510490946866118</v>
      </c>
      <c r="BA27" s="455">
        <f t="array" ref="BA27">IF('SK-ratios'!BJ30&gt;'SK-ratios'!$AC30,10,IF('SK-ratios'!BJ30&gt;='SK-ratios'!$AA30,5+5*LOG(1+('SK-ratios'!$U30-1)*('SK-ratios'!BJ30-'SK-ratios'!$AA30)/('SK-ratios'!$AC30-'SK-ratios'!$AA30))/LOG('SK-ratios'!$U30),IF('SK-ratios'!BJ30&gt;'SK-ratios'!$Y30,5-5*LOG(1+('SK-ratios'!$U30-1)*('SK-ratios'!BJ30-'SK-ratios'!$AA30)/('SK-ratios'!$Y30-'SK-ratios'!$AA30))/LOG('SK-ratios'!$U30),0)))</f>
        <v>0</v>
      </c>
      <c r="BB27" s="455">
        <f t="array" ref="BB27">IF('SK-ratios'!BK30&gt;'SK-ratios'!$AC30,10,IF('SK-ratios'!BK30&gt;='SK-ratios'!$AA30,5+5*LOG(1+('SK-ratios'!$U30-1)*('SK-ratios'!BK30-'SK-ratios'!$AA30)/('SK-ratios'!$AC30-'SK-ratios'!$AA30))/LOG('SK-ratios'!$U30),IF('SK-ratios'!BK30&gt;'SK-ratios'!$Y30,5-5*LOG(1+('SK-ratios'!$U30-1)*('SK-ratios'!BK30-'SK-ratios'!$AA30)/('SK-ratios'!$Y30-'SK-ratios'!$AA30))/LOG('SK-ratios'!$U30),0)))</f>
        <v>6.9179156748809989</v>
      </c>
      <c r="BC27" s="455">
        <f t="array" ref="BC27">IF('SK-ratios'!BL30&gt;'SK-ratios'!$AC30,10,IF('SK-ratios'!BL30&gt;='SK-ratios'!$AA30,5+5*LOG(1+('SK-ratios'!$U30-1)*('SK-ratios'!BL30-'SK-ratios'!$AA30)/('SK-ratios'!$AC30-'SK-ratios'!$AA30))/LOG('SK-ratios'!$U30),IF('SK-ratios'!BL30&gt;'SK-ratios'!$Y30,5-5*LOG(1+('SK-ratios'!$U30-1)*('SK-ratios'!BL30-'SK-ratios'!$AA30)/('SK-ratios'!$Y30-'SK-ratios'!$AA30))/LOG('SK-ratios'!$U30),0)))</f>
        <v>6.4678956655429207</v>
      </c>
      <c r="BD27" s="455">
        <f t="array" ref="BD27">IF('SK-ratios'!BM30&gt;'SK-ratios'!$AC30,10,IF('SK-ratios'!BM30&gt;='SK-ratios'!$AA30,5+5*LOG(1+('SK-ratios'!$U30-1)*('SK-ratios'!BM30-'SK-ratios'!$AA30)/('SK-ratios'!$AC30-'SK-ratios'!$AA30))/LOG('SK-ratios'!$U30),IF('SK-ratios'!BM30&gt;'SK-ratios'!$Y30,5-5*LOG(1+('SK-ratios'!$U30-1)*('SK-ratios'!BM30-'SK-ratios'!$AA30)/('SK-ratios'!$Y30-'SK-ratios'!$AA30))/LOG('SK-ratios'!$U30),0)))</f>
        <v>8.46997384902647</v>
      </c>
      <c r="BE27" s="455">
        <f t="array" ref="BE27">IF('SK-ratios'!BN30&gt;'SK-ratios'!$AC30,10,IF('SK-ratios'!BN30&gt;='SK-ratios'!$AA30,5+5*LOG(1+('SK-ratios'!$U30-1)*('SK-ratios'!BN30-'SK-ratios'!$AA30)/('SK-ratios'!$AC30-'SK-ratios'!$AA30))/LOG('SK-ratios'!$U30),IF('SK-ratios'!BN30&gt;'SK-ratios'!$Y30,5-5*LOG(1+('SK-ratios'!$U30-1)*('SK-ratios'!BN30-'SK-ratios'!$AA30)/('SK-ratios'!$Y30-'SK-ratios'!$AA30))/LOG('SK-ratios'!$U30),0)))</f>
        <v>8.9855878839001058</v>
      </c>
      <c r="BF27" s="455">
        <f t="array" ref="BF27">IF('SK-ratios'!BO30&gt;'SK-ratios'!$AC30,10,IF('SK-ratios'!BO30&gt;='SK-ratios'!$AA30,5+5*LOG(1+('SK-ratios'!$U30-1)*('SK-ratios'!BO30-'SK-ratios'!$AA30)/('SK-ratios'!$AC30-'SK-ratios'!$AA30))/LOG('SK-ratios'!$U30),IF('SK-ratios'!BO30&gt;'SK-ratios'!$Y30,5-5*LOG(1+('SK-ratios'!$U30-1)*('SK-ratios'!BO30-'SK-ratios'!$AA30)/('SK-ratios'!$Y30-'SK-ratios'!$AA30))/LOG('SK-ratios'!$U30),0)))</f>
        <v>5.1839587280632848</v>
      </c>
      <c r="BG27" s="455">
        <f t="array" ref="BG27">IF('SK-ratios'!BP30&gt;'SK-ratios'!$AC30,10,IF('SK-ratios'!BP30&gt;='SK-ratios'!$AA30,5+5*LOG(1+('SK-ratios'!$U30-1)*('SK-ratios'!BP30-'SK-ratios'!$AA30)/('SK-ratios'!$AC30-'SK-ratios'!$AA30))/LOG('SK-ratios'!$U30),IF('SK-ratios'!BP30&gt;'SK-ratios'!$Y30,5-5*LOG(1+('SK-ratios'!$U30-1)*('SK-ratios'!BP30-'SK-ratios'!$AA30)/('SK-ratios'!$Y30-'SK-ratios'!$AA30))/LOG('SK-ratios'!$U30),0)))</f>
        <v>8.3533054789098742</v>
      </c>
      <c r="BH27" s="455">
        <f t="array" ref="BH27">IF('SK-ratios'!BQ30&gt;'SK-ratios'!$AC30,10,IF('SK-ratios'!BQ30&gt;='SK-ratios'!$AA30,5+5*LOG(1+('SK-ratios'!$U30-1)*('SK-ratios'!BQ30-'SK-ratios'!$AA30)/('SK-ratios'!$AC30-'SK-ratios'!$AA30))/LOG('SK-ratios'!$U30),IF('SK-ratios'!BQ30&gt;'SK-ratios'!$Y30,5-5*LOG(1+('SK-ratios'!$U30-1)*('SK-ratios'!BQ30-'SK-ratios'!$AA30)/('SK-ratios'!$Y30-'SK-ratios'!$AA30))/LOG('SK-ratios'!$U30),0)))</f>
        <v>5.9565324982353669</v>
      </c>
      <c r="BI27" s="455">
        <f t="array" ref="BI27">IF('SK-ratios'!BR30&gt;'SK-ratios'!$AC30,10,IF('SK-ratios'!BR30&gt;='SK-ratios'!$AA30,5+5*LOG(1+('SK-ratios'!$U30-1)*('SK-ratios'!BR30-'SK-ratios'!$AA30)/('SK-ratios'!$AC30-'SK-ratios'!$AA30))/LOG('SK-ratios'!$U30),IF('SK-ratios'!BR30&gt;'SK-ratios'!$Y30,5-5*LOG(1+('SK-ratios'!$U30-1)*('SK-ratios'!BR30-'SK-ratios'!$AA30)/('SK-ratios'!$Y30-'SK-ratios'!$AA30))/LOG('SK-ratios'!$U30),0)))</f>
        <v>8.9230697231958338</v>
      </c>
      <c r="BJ27" s="455">
        <f t="array" ref="BJ27">IF('SK-ratios'!BS30&gt;'SK-ratios'!$AC30,10,IF('SK-ratios'!BS30&gt;='SK-ratios'!$AA30,5+5*LOG(1+('SK-ratios'!$U30-1)*('SK-ratios'!BS30-'SK-ratios'!$AA30)/('SK-ratios'!$AC30-'SK-ratios'!$AA30))/LOG('SK-ratios'!$U30),IF('SK-ratios'!BS30&gt;'SK-ratios'!$Y30,5-5*LOG(1+('SK-ratios'!$U30-1)*('SK-ratios'!BS30-'SK-ratios'!$AA30)/('SK-ratios'!$Y30-'SK-ratios'!$AA30))/LOG('SK-ratios'!$U30),0)))</f>
        <v>6.7133753332657289</v>
      </c>
      <c r="BK27" s="455">
        <f t="array" ref="BK27">IF('SK-ratios'!BT30&gt;'SK-ratios'!$AC30,10,IF('SK-ratios'!BT30&gt;='SK-ratios'!$AA30,5+5*LOG(1+('SK-ratios'!$U30-1)*('SK-ratios'!BT30-'SK-ratios'!$AA30)/('SK-ratios'!$AC30-'SK-ratios'!$AA30))/LOG('SK-ratios'!$U30),IF('SK-ratios'!BT30&gt;'SK-ratios'!$Y30,5-5*LOG(1+('SK-ratios'!$U30-1)*('SK-ratios'!BT30-'SK-ratios'!$AA30)/('SK-ratios'!$Y30-'SK-ratios'!$AA30))/LOG('SK-ratios'!$U30),0)))</f>
        <v>0</v>
      </c>
      <c r="BL27" s="455">
        <f t="array" ref="BL27">IF('SK-ratios'!BU30&gt;'SK-ratios'!$AC30,10,IF('SK-ratios'!BU30&gt;='SK-ratios'!$AA30,5+5*LOG(1+('SK-ratios'!$U30-1)*('SK-ratios'!BU30-'SK-ratios'!$AA30)/('SK-ratios'!$AC30-'SK-ratios'!$AA30))/LOG('SK-ratios'!$U30),IF('SK-ratios'!BU30&gt;'SK-ratios'!$Y30,5-5*LOG(1+('SK-ratios'!$U30-1)*('SK-ratios'!BU30-'SK-ratios'!$AA30)/('SK-ratios'!$Y30-'SK-ratios'!$AA30))/LOG('SK-ratios'!$U30),0)))</f>
        <v>5.2332547740422095</v>
      </c>
      <c r="BM27" s="455">
        <f t="array" ref="BM27">IF('SK-ratios'!BV30&gt;'SK-ratios'!$AC30,10,IF('SK-ratios'!BV30&gt;='SK-ratios'!$AA30,5+5*LOG(1+('SK-ratios'!$U30-1)*('SK-ratios'!BV30-'SK-ratios'!$AA30)/('SK-ratios'!$AC30-'SK-ratios'!$AA30))/LOG('SK-ratios'!$U30),IF('SK-ratios'!BV30&gt;'SK-ratios'!$Y30,5-5*LOG(1+('SK-ratios'!$U30-1)*('SK-ratios'!BV30-'SK-ratios'!$AA30)/('SK-ratios'!$Y30-'SK-ratios'!$AA30))/LOG('SK-ratios'!$U30),0)))</f>
        <v>5.2591296012275883</v>
      </c>
      <c r="BN27" s="455">
        <f t="array" ref="BN27">IF('SK-ratios'!BW30&gt;'SK-ratios'!$AC30,10,IF('SK-ratios'!BW30&gt;='SK-ratios'!$AA30,5+5*LOG(1+('SK-ratios'!$U30-1)*('SK-ratios'!BW30-'SK-ratios'!$AA30)/('SK-ratios'!$AC30-'SK-ratios'!$AA30))/LOG('SK-ratios'!$U30),IF('SK-ratios'!BW30&gt;'SK-ratios'!$Y30,5-5*LOG(1+('SK-ratios'!$U30-1)*('SK-ratios'!BW30-'SK-ratios'!$AA30)/('SK-ratios'!$Y30-'SK-ratios'!$AA30))/LOG('SK-ratios'!$U30),0)))</f>
        <v>6.4024442391908156</v>
      </c>
      <c r="BO27" s="455">
        <f t="array" ref="BO27">IF('SK-ratios'!BX30&gt;'SK-ratios'!$AC30,10,IF('SK-ratios'!BX30&gt;='SK-ratios'!$AA30,5+5*LOG(1+('SK-ratios'!$U30-1)*('SK-ratios'!BX30-'SK-ratios'!$AA30)/('SK-ratios'!$AC30-'SK-ratios'!$AA30))/LOG('SK-ratios'!$U30),IF('SK-ratios'!BX30&gt;'SK-ratios'!$Y30,5-5*LOG(1+('SK-ratios'!$U30-1)*('SK-ratios'!BX30-'SK-ratios'!$AA30)/('SK-ratios'!$Y30-'SK-ratios'!$AA30))/LOG('SK-ratios'!$U30),0)))</f>
        <v>9.1322461257248726</v>
      </c>
      <c r="BP27" s="455">
        <f t="array" ref="BP27">IF('SK-ratios'!BY30&gt;'SK-ratios'!$AC30,10,IF('SK-ratios'!BY30&gt;='SK-ratios'!$AA30,5+5*LOG(1+('SK-ratios'!$U30-1)*('SK-ratios'!BY30-'SK-ratios'!$AA30)/('SK-ratios'!$AC30-'SK-ratios'!$AA30))/LOG('SK-ratios'!$U30),IF('SK-ratios'!BY30&gt;'SK-ratios'!$Y30,5-5*LOG(1+('SK-ratios'!$U30-1)*('SK-ratios'!BY30-'SK-ratios'!$AA30)/('SK-ratios'!$Y30-'SK-ratios'!$AA30))/LOG('SK-ratios'!$U30),0)))</f>
        <v>8.2369287861311911</v>
      </c>
      <c r="BQ27" s="455">
        <f t="array" ref="BQ27">IF('SK-ratios'!BZ30&gt;'SK-ratios'!$AC30,10,IF('SK-ratios'!BZ30&gt;='SK-ratios'!$AA30,5+5*LOG(1+('SK-ratios'!$U30-1)*('SK-ratios'!BZ30-'SK-ratios'!$AA30)/('SK-ratios'!$AC30-'SK-ratios'!$AA30))/LOG('SK-ratios'!$U30),IF('SK-ratios'!BZ30&gt;'SK-ratios'!$Y30,5-5*LOG(1+('SK-ratios'!$U30-1)*('SK-ratios'!BZ30-'SK-ratios'!$AA30)/('SK-ratios'!$Y30-'SK-ratios'!$AA30))/LOG('SK-ratios'!$U30),0)))</f>
        <v>5.6862444655613125</v>
      </c>
      <c r="BR27" s="455">
        <f t="array" ref="BR27">IF('SK-ratios'!CA30&gt;'SK-ratios'!$AC30,10,IF('SK-ratios'!CA30&gt;='SK-ratios'!$AA30,5+5*LOG(1+('SK-ratios'!$U30-1)*('SK-ratios'!CA30-'SK-ratios'!$AA30)/('SK-ratios'!$AC30-'SK-ratios'!$AA30))/LOG('SK-ratios'!$U30),IF('SK-ratios'!CA30&gt;'SK-ratios'!$Y30,5-5*LOG(1+('SK-ratios'!$U30-1)*('SK-ratios'!CA30-'SK-ratios'!$AA30)/('SK-ratios'!$Y30-'SK-ratios'!$AA30))/LOG('SK-ratios'!$U30),0)))</f>
        <v>7.6378304639498751</v>
      </c>
      <c r="BS27" s="455">
        <f t="array" ref="BS27">IF('SK-ratios'!CB30&gt;'SK-ratios'!$AC30,10,IF('SK-ratios'!CB30&gt;='SK-ratios'!$AA30,5+5*LOG(1+('SK-ratios'!$U30-1)*('SK-ratios'!CB30-'SK-ratios'!$AA30)/('SK-ratios'!$AC30-'SK-ratios'!$AA30))/LOG('SK-ratios'!$U30),IF('SK-ratios'!CB30&gt;'SK-ratios'!$Y30,5-5*LOG(1+('SK-ratios'!$U30-1)*('SK-ratios'!CB30-'SK-ratios'!$AA30)/('SK-ratios'!$Y30-'SK-ratios'!$AA30))/LOG('SK-ratios'!$U30),0)))</f>
        <v>7.993887501385176</v>
      </c>
      <c r="BT27" s="455">
        <f t="array" ref="BT27">IF('SK-ratios'!CC30&gt;'SK-ratios'!$AC30,10,IF('SK-ratios'!CC30&gt;='SK-ratios'!$AA30,5+5*LOG(1+('SK-ratios'!$U30-1)*('SK-ratios'!CC30-'SK-ratios'!$AA30)/('SK-ratios'!$AC30-'SK-ratios'!$AA30))/LOG('SK-ratios'!$U30),IF('SK-ratios'!CC30&gt;'SK-ratios'!$Y30,5-5*LOG(1+('SK-ratios'!$U30-1)*('SK-ratios'!CC30-'SK-ratios'!$AA30)/('SK-ratios'!$Y30-'SK-ratios'!$AA30))/LOG('SK-ratios'!$U30),0)))</f>
        <v>7.6747291229264079</v>
      </c>
      <c r="BU27" s="455">
        <f t="array" ref="BU27">IF('SK-ratios'!CD30&gt;'SK-ratios'!$AC30,10,IF('SK-ratios'!CD30&gt;='SK-ratios'!$AA30,5+5*LOG(1+('SK-ratios'!$U30-1)*('SK-ratios'!CD30-'SK-ratios'!$AA30)/('SK-ratios'!$AC30-'SK-ratios'!$AA30))/LOG('SK-ratios'!$U30),IF('SK-ratios'!CD30&gt;'SK-ratios'!$Y30,5-5*LOG(1+('SK-ratios'!$U30-1)*('SK-ratios'!CD30-'SK-ratios'!$AA30)/('SK-ratios'!$Y30-'SK-ratios'!$AA30))/LOG('SK-ratios'!$U30),0)))</f>
        <v>9.9247997179774963</v>
      </c>
      <c r="BV27" s="455">
        <f t="array" ref="BV27">IF('SK-ratios'!CE30&gt;'SK-ratios'!$AC30,10,IF('SK-ratios'!CE30&gt;='SK-ratios'!$AA30,5+5*LOG(1+('SK-ratios'!$U30-1)*('SK-ratios'!CE30-'SK-ratios'!$AA30)/('SK-ratios'!$AC30-'SK-ratios'!$AA30))/LOG('SK-ratios'!$U30),IF('SK-ratios'!CE30&gt;'SK-ratios'!$Y30,5-5*LOG(1+('SK-ratios'!$U30-1)*('SK-ratios'!CE30-'SK-ratios'!$AA30)/('SK-ratios'!$Y30-'SK-ratios'!$AA30))/LOG('SK-ratios'!$U30),0)))</f>
        <v>10</v>
      </c>
      <c r="BW27" s="455">
        <f t="array" ref="BW27">IF('SK-ratios'!CF30&gt;'SK-ratios'!$AC30,10,IF('SK-ratios'!CF30&gt;='SK-ratios'!$AA30,5+5*LOG(1+('SK-ratios'!$U30-1)*('SK-ratios'!CF30-'SK-ratios'!$AA30)/('SK-ratios'!$AC30-'SK-ratios'!$AA30))/LOG('SK-ratios'!$U30),IF('SK-ratios'!CF30&gt;'SK-ratios'!$Y30,5-5*LOG(1+('SK-ratios'!$U30-1)*('SK-ratios'!CF30-'SK-ratios'!$AA30)/('SK-ratios'!$Y30-'SK-ratios'!$AA30))/LOG('SK-ratios'!$U30),0)))</f>
        <v>6.0465151719975712</v>
      </c>
      <c r="BX27" s="455">
        <f t="array" ref="BX27">IF('SK-ratios'!CG30&gt;'SK-ratios'!$AC30,10,IF('SK-ratios'!CG30&gt;='SK-ratios'!$AA30,5+5*LOG(1+('SK-ratios'!$U30-1)*('SK-ratios'!CG30-'SK-ratios'!$AA30)/('SK-ratios'!$AC30-'SK-ratios'!$AA30))/LOG('SK-ratios'!$U30),IF('SK-ratios'!CG30&gt;'SK-ratios'!$Y30,5-5*LOG(1+('SK-ratios'!$U30-1)*('SK-ratios'!CG30-'SK-ratios'!$AA30)/('SK-ratios'!$Y30-'SK-ratios'!$AA30))/LOG('SK-ratios'!$U30),0)))</f>
        <v>8.326149502769745</v>
      </c>
      <c r="BY27" s="455">
        <f t="array" ref="BY27">IF('SK-ratios'!CH30&gt;'SK-ratios'!$AC30,10,IF('SK-ratios'!CH30&gt;='SK-ratios'!$AA30,5+5*LOG(1+('SK-ratios'!$U30-1)*('SK-ratios'!CH30-'SK-ratios'!$AA30)/('SK-ratios'!$AC30-'SK-ratios'!$AA30))/LOG('SK-ratios'!$U30),IF('SK-ratios'!CH30&gt;'SK-ratios'!$Y30,5-5*LOG(1+('SK-ratios'!$U30-1)*('SK-ratios'!CH30-'SK-ratios'!$AA30)/('SK-ratios'!$Y30-'SK-ratios'!$AA30))/LOG('SK-ratios'!$U30),0)))</f>
        <v>10</v>
      </c>
      <c r="BZ27" s="455">
        <f t="array" ref="BZ27">IF('SK-ratios'!CI30&gt;'SK-ratios'!$AC30,10,IF('SK-ratios'!CI30&gt;='SK-ratios'!$AA30,5+5*LOG(1+('SK-ratios'!$U30-1)*('SK-ratios'!CI30-'SK-ratios'!$AA30)/('SK-ratios'!$AC30-'SK-ratios'!$AA30))/LOG('SK-ratios'!$U30),IF('SK-ratios'!CI30&gt;'SK-ratios'!$Y30,5-5*LOG(1+('SK-ratios'!$U30-1)*('SK-ratios'!CI30-'SK-ratios'!$AA30)/('SK-ratios'!$Y30-'SK-ratios'!$AA30))/LOG('SK-ratios'!$U30),0)))</f>
        <v>0.70584977361391577</v>
      </c>
      <c r="CA27" s="455">
        <f t="array" ref="CA27">IF('SK-ratios'!CJ30&gt;'SK-ratios'!$AC30,10,IF('SK-ratios'!CJ30&gt;='SK-ratios'!$AA30,5+5*LOG(1+('SK-ratios'!$U30-1)*('SK-ratios'!CJ30-'SK-ratios'!$AA30)/('SK-ratios'!$AC30-'SK-ratios'!$AA30))/LOG('SK-ratios'!$U30),IF('SK-ratios'!CJ30&gt;'SK-ratios'!$Y30,5-5*LOG(1+('SK-ratios'!$U30-1)*('SK-ratios'!CJ30-'SK-ratios'!$AA30)/('SK-ratios'!$Y30-'SK-ratios'!$AA30))/LOG('SK-ratios'!$U30),0)))</f>
        <v>9.6024026860175624</v>
      </c>
      <c r="CB27" s="455">
        <f t="array" ref="CB27">IF('SK-ratios'!CK30&gt;'SK-ratios'!$AC30,10,IF('SK-ratios'!CK30&gt;='SK-ratios'!$AA30,5+5*LOG(1+('SK-ratios'!$U30-1)*('SK-ratios'!CK30-'SK-ratios'!$AA30)/('SK-ratios'!$AC30-'SK-ratios'!$AA30))/LOG('SK-ratios'!$U30),IF('SK-ratios'!CK30&gt;'SK-ratios'!$Y30,5-5*LOG(1+('SK-ratios'!$U30-1)*('SK-ratios'!CK30-'SK-ratios'!$AA30)/('SK-ratios'!$Y30-'SK-ratios'!$AA30))/LOG('SK-ratios'!$U30),0)))</f>
        <v>1.6937152593127887</v>
      </c>
      <c r="CC27" s="455">
        <f t="array" ref="CC27">IF('SK-ratios'!CL30&gt;'SK-ratios'!$AC30,10,IF('SK-ratios'!CL30&gt;='SK-ratios'!$AA30,5+5*LOG(1+('SK-ratios'!$U30-1)*('SK-ratios'!CL30-'SK-ratios'!$AA30)/('SK-ratios'!$AC30-'SK-ratios'!$AA30))/LOG('SK-ratios'!$U30),IF('SK-ratios'!CL30&gt;'SK-ratios'!$Y30,5-5*LOG(1+('SK-ratios'!$U30-1)*('SK-ratios'!CL30-'SK-ratios'!$AA30)/('SK-ratios'!$Y30-'SK-ratios'!$AA30))/LOG('SK-ratios'!$U30),0)))</f>
        <v>9.1760268381016914</v>
      </c>
      <c r="CD27" s="455">
        <f t="array" ref="CD27">IF('SK-ratios'!CM30&gt;'SK-ratios'!$AC30,10,IF('SK-ratios'!CM30&gt;='SK-ratios'!$AA30,5+5*LOG(1+('SK-ratios'!$U30-1)*('SK-ratios'!CM30-'SK-ratios'!$AA30)/('SK-ratios'!$AC30-'SK-ratios'!$AA30))/LOG('SK-ratios'!$U30),IF('SK-ratios'!CM30&gt;'SK-ratios'!$Y30,5-5*LOG(1+('SK-ratios'!$U30-1)*('SK-ratios'!CM30-'SK-ratios'!$AA30)/('SK-ratios'!$Y30-'SK-ratios'!$AA30))/LOG('SK-ratios'!$U30),0)))</f>
        <v>9.5293921948174294</v>
      </c>
      <c r="CE27" s="455">
        <f t="array" ref="CE27">IF('SK-ratios'!CN30&gt;'SK-ratios'!$AC30,10,IF('SK-ratios'!CN30&gt;='SK-ratios'!$AA30,5+5*LOG(1+('SK-ratios'!$U30-1)*('SK-ratios'!CN30-'SK-ratios'!$AA30)/('SK-ratios'!$AC30-'SK-ratios'!$AA30))/LOG('SK-ratios'!$U30),IF('SK-ratios'!CN30&gt;'SK-ratios'!$Y30,5-5*LOG(1+('SK-ratios'!$U30-1)*('SK-ratios'!CN30-'SK-ratios'!$AA30)/('SK-ratios'!$Y30-'SK-ratios'!$AA30))/LOG('SK-ratios'!$U30),0)))</f>
        <v>6.759814312530521</v>
      </c>
      <c r="CF27" s="455">
        <f t="array" ref="CF27">IF('SK-ratios'!CO30&gt;'SK-ratios'!$AC30,10,IF('SK-ratios'!CO30&gt;='SK-ratios'!$AA30,5+5*LOG(1+('SK-ratios'!$U30-1)*('SK-ratios'!CO30-'SK-ratios'!$AA30)/('SK-ratios'!$AC30-'SK-ratios'!$AA30))/LOG('SK-ratios'!$U30),IF('SK-ratios'!CO30&gt;'SK-ratios'!$Y30,5-5*LOG(1+('SK-ratios'!$U30-1)*('SK-ratios'!CO30-'SK-ratios'!$AA30)/('SK-ratios'!$Y30-'SK-ratios'!$AA30))/LOG('SK-ratios'!$U30),0)))</f>
        <v>8.5226870029545552</v>
      </c>
      <c r="CG27" s="455">
        <f t="array" ref="CG27">IF('SK-ratios'!CP30&gt;'SK-ratios'!$AC30,10,IF('SK-ratios'!CP30&gt;='SK-ratios'!$AA30,5+5*LOG(1+('SK-ratios'!$U30-1)*('SK-ratios'!CP30-'SK-ratios'!$AA30)/('SK-ratios'!$AC30-'SK-ratios'!$AA30))/LOG('SK-ratios'!$U30),IF('SK-ratios'!CP30&gt;'SK-ratios'!$Y30,5-5*LOG(1+('SK-ratios'!$U30-1)*('SK-ratios'!CP30-'SK-ratios'!$AA30)/('SK-ratios'!$Y30-'SK-ratios'!$AA30))/LOG('SK-ratios'!$U30),0)))</f>
        <v>7.0375742737106126</v>
      </c>
      <c r="CH27" s="455">
        <f t="array" ref="CH27">IF('SK-ratios'!CQ30&gt;'SK-ratios'!$AC30,10,IF('SK-ratios'!CQ30&gt;='SK-ratios'!$AA30,5+5*LOG(1+('SK-ratios'!$U30-1)*('SK-ratios'!CQ30-'SK-ratios'!$AA30)/('SK-ratios'!$AC30-'SK-ratios'!$AA30))/LOG('SK-ratios'!$U30),IF('SK-ratios'!CQ30&gt;'SK-ratios'!$Y30,5-5*LOG(1+('SK-ratios'!$U30-1)*('SK-ratios'!CQ30-'SK-ratios'!$AA30)/('SK-ratios'!$Y30-'SK-ratios'!$AA30))/LOG('SK-ratios'!$U30),0)))</f>
        <v>7.7618251858480551</v>
      </c>
      <c r="CI27" s="455">
        <f t="array" ref="CI27">IF('SK-ratios'!CR30&gt;'SK-ratios'!$AC30,10,IF('SK-ratios'!CR30&gt;='SK-ratios'!$AA30,5+5*LOG(1+('SK-ratios'!$U30-1)*('SK-ratios'!CR30-'SK-ratios'!$AA30)/('SK-ratios'!$AC30-'SK-ratios'!$AA30))/LOG('SK-ratios'!$U30),IF('SK-ratios'!CR30&gt;'SK-ratios'!$Y30,5-5*LOG(1+('SK-ratios'!$U30-1)*('SK-ratios'!CR30-'SK-ratios'!$AA30)/('SK-ratios'!$Y30-'SK-ratios'!$AA30))/LOG('SK-ratios'!$U30),0)))</f>
        <v>8.6579536668307036</v>
      </c>
      <c r="CJ27" s="455">
        <f t="array" ref="CJ27">IF('SK-ratios'!CS30&gt;'SK-ratios'!$AC30,10,IF('SK-ratios'!CS30&gt;='SK-ratios'!$AA30,5+5*LOG(1+('SK-ratios'!$U30-1)*('SK-ratios'!CS30-'SK-ratios'!$AA30)/('SK-ratios'!$AC30-'SK-ratios'!$AA30))/LOG('SK-ratios'!$U30),IF('SK-ratios'!CS30&gt;'SK-ratios'!$Y30,5-5*LOG(1+('SK-ratios'!$U30-1)*('SK-ratios'!CS30-'SK-ratios'!$AA30)/('SK-ratios'!$Y30-'SK-ratios'!$AA30))/LOG('SK-ratios'!$U30),0)))</f>
        <v>7.1828730145725412</v>
      </c>
      <c r="CK27" s="455">
        <f t="array" ref="CK27">IF('SK-ratios'!CT30&gt;'SK-ratios'!$AC30,10,IF('SK-ratios'!CT30&gt;='SK-ratios'!$AA30,5+5*LOG(1+('SK-ratios'!$U30-1)*('SK-ratios'!CT30-'SK-ratios'!$AA30)/('SK-ratios'!$AC30-'SK-ratios'!$AA30))/LOG('SK-ratios'!$U30),IF('SK-ratios'!CT30&gt;'SK-ratios'!$Y30,5-5*LOG(1+('SK-ratios'!$U30-1)*('SK-ratios'!CT30-'SK-ratios'!$AA30)/('SK-ratios'!$Y30-'SK-ratios'!$AA30))/LOG('SK-ratios'!$U30),0)))</f>
        <v>8.9818848978517813</v>
      </c>
      <c r="CL27" s="455">
        <f t="array" ref="CL27">IF('SK-ratios'!CU30&gt;'SK-ratios'!$AC30,10,IF('SK-ratios'!CU30&gt;='SK-ratios'!$AA30,5+5*LOG(1+('SK-ratios'!$U30-1)*('SK-ratios'!CU30-'SK-ratios'!$AA30)/('SK-ratios'!$AC30-'SK-ratios'!$AA30))/LOG('SK-ratios'!$U30),IF('SK-ratios'!CU30&gt;'SK-ratios'!$Y30,5-5*LOG(1+('SK-ratios'!$U30-1)*('SK-ratios'!CU30-'SK-ratios'!$AA30)/('SK-ratios'!$Y30-'SK-ratios'!$AA30))/LOG('SK-ratios'!$U30),0)))</f>
        <v>6.414719433342694</v>
      </c>
      <c r="CM27" s="455">
        <f t="array" ref="CM27">IF('SK-ratios'!CV30&gt;'SK-ratios'!$AC30,10,IF('SK-ratios'!CV30&gt;='SK-ratios'!$AA30,5+5*LOG(1+('SK-ratios'!$U30-1)*('SK-ratios'!CV30-'SK-ratios'!$AA30)/('SK-ratios'!$AC30-'SK-ratios'!$AA30))/LOG('SK-ratios'!$U30),IF('SK-ratios'!CV30&gt;'SK-ratios'!$Y30,5-5*LOG(1+('SK-ratios'!$U30-1)*('SK-ratios'!CV30-'SK-ratios'!$AA30)/('SK-ratios'!$Y30-'SK-ratios'!$AA30))/LOG('SK-ratios'!$U30),0)))</f>
        <v>0</v>
      </c>
      <c r="CN27" s="455">
        <f t="array" ref="CN27">IF('SK-ratios'!CW30&gt;'SK-ratios'!$AC30,10,IF('SK-ratios'!CW30&gt;='SK-ratios'!$AA30,5+5*LOG(1+('SK-ratios'!$U30-1)*('SK-ratios'!CW30-'SK-ratios'!$AA30)/('SK-ratios'!$AC30-'SK-ratios'!$AA30))/LOG('SK-ratios'!$U30),IF('SK-ratios'!CW30&gt;'SK-ratios'!$Y30,5-5*LOG(1+('SK-ratios'!$U30-1)*('SK-ratios'!CW30-'SK-ratios'!$AA30)/('SK-ratios'!$Y30-'SK-ratios'!$AA30))/LOG('SK-ratios'!$U30),0)))</f>
        <v>6.5910458275454014</v>
      </c>
      <c r="CO27" s="455">
        <f t="array" ref="CO27">IF('SK-ratios'!CX30&gt;'SK-ratios'!$AC30,10,IF('SK-ratios'!CX30&gt;='SK-ratios'!$AA30,5+5*LOG(1+('SK-ratios'!$U30-1)*('SK-ratios'!CX30-'SK-ratios'!$AA30)/('SK-ratios'!$AC30-'SK-ratios'!$AA30))/LOG('SK-ratios'!$U30),IF('SK-ratios'!CX30&gt;'SK-ratios'!$Y30,5-5*LOG(1+('SK-ratios'!$U30-1)*('SK-ratios'!CX30-'SK-ratios'!$AA30)/('SK-ratios'!$Y30-'SK-ratios'!$AA30))/LOG('SK-ratios'!$U30),0)))</f>
        <v>6.0910731719762055</v>
      </c>
      <c r="CP27" s="455">
        <f t="array" ref="CP27">IF('SK-ratios'!CY30&gt;'SK-ratios'!$AC30,10,IF('SK-ratios'!CY30&gt;='SK-ratios'!$AA30,5+5*LOG(1+('SK-ratios'!$U30-1)*('SK-ratios'!CY30-'SK-ratios'!$AA30)/('SK-ratios'!$AC30-'SK-ratios'!$AA30))/LOG('SK-ratios'!$U30),IF('SK-ratios'!CY30&gt;'SK-ratios'!$Y30,5-5*LOG(1+('SK-ratios'!$U30-1)*('SK-ratios'!CY30-'SK-ratios'!$AA30)/('SK-ratios'!$Y30-'SK-ratios'!$AA30))/LOG('SK-ratios'!$U30),0)))</f>
        <v>6.2886261404637667</v>
      </c>
      <c r="CQ27" s="455">
        <f t="array" ref="CQ27">IF('SK-ratios'!CZ30&gt;'SK-ratios'!$AC30,10,IF('SK-ratios'!CZ30&gt;='SK-ratios'!$AA30,5+5*LOG(1+('SK-ratios'!$U30-1)*('SK-ratios'!CZ30-'SK-ratios'!$AA30)/('SK-ratios'!$AC30-'SK-ratios'!$AA30))/LOG('SK-ratios'!$U30),IF('SK-ratios'!CZ30&gt;'SK-ratios'!$Y30,5-5*LOG(1+('SK-ratios'!$U30-1)*('SK-ratios'!CZ30-'SK-ratios'!$AA30)/('SK-ratios'!$Y30-'SK-ratios'!$AA30))/LOG('SK-ratios'!$U30),0)))</f>
        <v>10</v>
      </c>
      <c r="CR27" s="455">
        <f t="array" ref="CR27">IF('SK-ratios'!DA30&gt;'SK-ratios'!$AC30,10,IF('SK-ratios'!DA30&gt;='SK-ratios'!$AA30,5+5*LOG(1+('SK-ratios'!$U30-1)*('SK-ratios'!DA30-'SK-ratios'!$AA30)/('SK-ratios'!$AC30-'SK-ratios'!$AA30))/LOG('SK-ratios'!$U30),IF('SK-ratios'!DA30&gt;'SK-ratios'!$Y30,5-5*LOG(1+('SK-ratios'!$U30-1)*('SK-ratios'!DA30-'SK-ratios'!$AA30)/('SK-ratios'!$Y30-'SK-ratios'!$AA30))/LOG('SK-ratios'!$U30),0)))</f>
        <v>8.130081782271704</v>
      </c>
      <c r="CS27" s="455">
        <f t="array" ref="CS27">IF('SK-ratios'!DB30&gt;'SK-ratios'!$AC30,10,IF('SK-ratios'!DB30&gt;='SK-ratios'!$AA30,5+5*LOG(1+('SK-ratios'!$U30-1)*('SK-ratios'!DB30-'SK-ratios'!$AA30)/('SK-ratios'!$AC30-'SK-ratios'!$AA30))/LOG('SK-ratios'!$U30),IF('SK-ratios'!DB30&gt;'SK-ratios'!$Y30,5-5*LOG(1+('SK-ratios'!$U30-1)*('SK-ratios'!DB30-'SK-ratios'!$AA30)/('SK-ratios'!$Y30-'SK-ratios'!$AA30))/LOG('SK-ratios'!$U30),0)))</f>
        <v>8.1984025959222198</v>
      </c>
      <c r="CT27" s="455">
        <f t="array" ref="CT27">IF('SK-ratios'!DC30&gt;'SK-ratios'!$AC30,10,IF('SK-ratios'!DC30&gt;='SK-ratios'!$AA30,5+5*LOG(1+('SK-ratios'!$U30-1)*('SK-ratios'!DC30-'SK-ratios'!$AA30)/('SK-ratios'!$AC30-'SK-ratios'!$AA30))/LOG('SK-ratios'!$U30),IF('SK-ratios'!DC30&gt;'SK-ratios'!$Y30,5-5*LOG(1+('SK-ratios'!$U30-1)*('SK-ratios'!DC30-'SK-ratios'!$AA30)/('SK-ratios'!$Y30-'SK-ratios'!$AA30))/LOG('SK-ratios'!$U30),0)))</f>
        <v>10</v>
      </c>
      <c r="CU27" s="455">
        <f t="array" ref="CU27">IF('SK-ratios'!DD30&gt;'SK-ratios'!$AC30,10,IF('SK-ratios'!DD30&gt;='SK-ratios'!$AA30,5+5*LOG(1+('SK-ratios'!$U30-1)*('SK-ratios'!DD30-'SK-ratios'!$AA30)/('SK-ratios'!$AC30-'SK-ratios'!$AA30))/LOG('SK-ratios'!$U30),IF('SK-ratios'!DD30&gt;'SK-ratios'!$Y30,5-5*LOG(1+('SK-ratios'!$U30-1)*('SK-ratios'!DD30-'SK-ratios'!$AA30)/('SK-ratios'!$Y30-'SK-ratios'!$AA30))/LOG('SK-ratios'!$U30),0)))</f>
        <v>0</v>
      </c>
      <c r="CV27" s="455">
        <f t="array" ref="CV27">IF('SK-ratios'!DE30&gt;'SK-ratios'!$AC30,10,IF('SK-ratios'!DE30&gt;='SK-ratios'!$AA30,5+5*LOG(1+('SK-ratios'!$U30-1)*('SK-ratios'!DE30-'SK-ratios'!$AA30)/('SK-ratios'!$AC30-'SK-ratios'!$AA30))/LOG('SK-ratios'!$U30),IF('SK-ratios'!DE30&gt;'SK-ratios'!$Y30,5-5*LOG(1+('SK-ratios'!$U30-1)*('SK-ratios'!DE30-'SK-ratios'!$AA30)/('SK-ratios'!$Y30-'SK-ratios'!$AA30))/LOG('SK-ratios'!$U30),0)))</f>
        <v>8.2269988867948314</v>
      </c>
      <c r="CW27" s="455">
        <f t="array" ref="CW27">IF('SK-ratios'!DF30&gt;'SK-ratios'!$AC30,10,IF('SK-ratios'!DF30&gt;='SK-ratios'!$AA30,5+5*LOG(1+('SK-ratios'!$U30-1)*('SK-ratios'!DF30-'SK-ratios'!$AA30)/('SK-ratios'!$AC30-'SK-ratios'!$AA30))/LOG('SK-ratios'!$U30),IF('SK-ratios'!DF30&gt;'SK-ratios'!$Y30,5-5*LOG(1+('SK-ratios'!$U30-1)*('SK-ratios'!DF30-'SK-ratios'!$AA30)/('SK-ratios'!$Y30-'SK-ratios'!$AA30))/LOG('SK-ratios'!$U30),0)))</f>
        <v>5.090585883330081</v>
      </c>
      <c r="CX27" s="455">
        <f t="array" ref="CX27">IF('SK-ratios'!DG30&gt;'SK-ratios'!$AC30,10,IF('SK-ratios'!DG30&gt;='SK-ratios'!$AA30,5+5*LOG(1+('SK-ratios'!$U30-1)*('SK-ratios'!DG30-'SK-ratios'!$AA30)/('SK-ratios'!$AC30-'SK-ratios'!$AA30))/LOG('SK-ratios'!$U30),IF('SK-ratios'!DG30&gt;'SK-ratios'!$Y30,5-5*LOG(1+('SK-ratios'!$U30-1)*('SK-ratios'!DG30-'SK-ratios'!$AA30)/('SK-ratios'!$Y30-'SK-ratios'!$AA30))/LOG('SK-ratios'!$U30),0)))</f>
        <v>1.5948194561225502</v>
      </c>
      <c r="DA27" s="456">
        <f t="array" ref="DA27">SUMPRODUCT(IF(($W$3:$CX$3=DA$3)*($W$2:$CX$2=DA$2),$W27:$CX27),IF(($W$3:$CX$3=DA$3)*($W$2:$CX$2=DA$2),$W$36:$CX$36))/SUM(IF(($W$3:$CX$3=DA$3)*($W$2:$CX$2=DA$2),$W$36:$CX$36))</f>
        <v>6.6745074440242469</v>
      </c>
      <c r="DB27" s="456">
        <f t="array" ref="DB27">SUMPRODUCT(IF(($W$3:$CX$3=DB$3)*($W$2:$CX$2=DB$2),$W27:$CX27),IF(($W$3:$CX$3=DB$3)*($W$2:$CX$2=DB$2),$W$36:$CX$36))/SUM(IF(($W$3:$CX$3=DB$3)*($W$2:$CX$2=DB$2),$W$36:$CX$36))</f>
        <v>9.5057917744555063</v>
      </c>
      <c r="DC27" s="456">
        <f t="array" ref="DC27">SUMPRODUCT(IF(($W$3:$CX$3=DC$3)*($W$2:$CX$2=DC$2),$W27:$CX27),IF(($W$3:$CX$3=DC$3)*($W$2:$CX$2=DC$2),$W$36:$CX$36))/SUM(IF(($W$3:$CX$3=DC$3)*($W$2:$CX$2=DC$2),$W$36:$CX$36))</f>
        <v>5.5664721288233325</v>
      </c>
      <c r="DD27" s="456">
        <f t="array" ref="DD27">SUMPRODUCT(IF(($W$3:$CX$3=DD$3)*($W$2:$CX$2=DD$2),$W27:$CX27),IF(($W$3:$CX$3=DD$3)*($W$2:$CX$2=DD$2),$W$36:$CX$36))/SUM(IF(($W$3:$CX$3=DD$3)*($W$2:$CX$2=DD$2),$W$36:$CX$36))</f>
        <v>5.5517952130063319</v>
      </c>
      <c r="DE27" s="456">
        <f t="array" ref="DE27">SUMPRODUCT(IF(($W$3:$CX$3=DE$3)*($W$2:$CX$2=DE$2),$W27:$CX27),IF(($W$3:$CX$3=DE$3)*($W$2:$CX$2=DE$2),$W$36:$CX$36))/SUM(IF(($W$3:$CX$3=DE$3)*($W$2:$CX$2=DE$2),$W$36:$CX$36))</f>
        <v>8.4122510819991927</v>
      </c>
      <c r="DF27" s="456">
        <f t="array" ref="DF27">SUMPRODUCT(IF(($W$3:$CX$3=DF$3)*($W$2:$CX$2=DF$2),$W27:$CX27),IF(($W$3:$CX$3=DF$3)*($W$2:$CX$2=DF$2),$W$36:$CX$36))/SUM(IF(($W$3:$CX$3=DF$3)*($W$2:$CX$2=DF$2),$W$36:$CX$36))</f>
        <v>5.945936950435498</v>
      </c>
      <c r="DG27" s="456">
        <f t="array" ref="DG27">SUMPRODUCT(IF(($W$3:$CX$3=DG$3)*($W$2:$CX$2=DG$2),$W27:$CX27),IF(($W$3:$CX$3=DG$3)*($W$2:$CX$2=DG$2),$W$36:$CX$36))/SUM(IF(($W$3:$CX$3=DG$3)*($W$2:$CX$2=DG$2),$W$36:$CX$36))</f>
        <v>7.7152185392933026</v>
      </c>
      <c r="DH27" s="456">
        <f t="array" ref="DH27">SUMPRODUCT(IF(($W$3:$CX$3=DH$3)*($W$2:$CX$2=DH$2),$W27:$CX27),IF(($W$3:$CX$3=DH$3)*($W$2:$CX$2=DH$2),$W$36:$CX$36))/SUM(IF(($W$3:$CX$3=DH$3)*($W$2:$CX$2=DH$2),$W$36:$CX$36))</f>
        <v>7.888622198296364</v>
      </c>
      <c r="DI27" s="456">
        <f t="array" ref="DI27">SUMPRODUCT(IF(($W$3:$CX$3=DI$3)*($W$2:$CX$2=DI$2),$W27:$CX27),IF(($W$3:$CX$3=DI$3)*($W$2:$CX$2=DI$2),$W$36:$CX$36))/SUM(IF(($W$3:$CX$3=DI$3)*($W$2:$CX$2=DI$2),$W$36:$CX$36))</f>
        <v>7.1482266139226009</v>
      </c>
      <c r="DJ27" s="456">
        <f t="array" ref="DJ27">SUMPRODUCT(IF(($W$3:$CX$3=DJ$3)*($W$2:$CX$2=DJ$2),$W27:$CX27),IF(($W$3:$CX$3=DJ$3)*($W$2:$CX$2=DJ$2),$W$36:$CX$36))/SUM(IF(($W$3:$CX$3=DJ$3)*($W$2:$CX$2=DJ$2),$W$36:$CX$36))</f>
        <v>8.2122885697605934</v>
      </c>
      <c r="DK27" s="456">
        <f t="array" ref="DK27">SUMPRODUCT(IF(($W$3:$CX$3=DK$3)*1,$W27:$CX27),IF(($W$3:$CX$3=DK$3)*1,$W$36:$CX$36))/SUM(IF(($W$3:$CX$3=DK$3)*1,$W$36:$CX$36))</f>
        <v>8.5204363019953142</v>
      </c>
      <c r="DL27" s="456">
        <f t="array" ref="DL27">SUMPRODUCT(IF(($W$3:$CX$3=DL$3)*1,$W27:$CX27),IF(($W$3:$CX$3=DL$3)*1,$W$36:$CX$36))/SUM(IF(($W$3:$CX$3=DL$3)*1,$W$36:$CX$36))</f>
        <v>6.6406595858296518</v>
      </c>
      <c r="DM27" s="456">
        <f t="array" ref="DM27">SUMPRODUCT(IF(($W$3:$CX$3=DM$3)*1,$W27:$CX27),IF(($W$3:$CX$3=DM$3)*1,$W$36:$CX$36))/SUM(IF(($W$3:$CX$3=DM$3)*1,$W$36:$CX$36))</f>
        <v>6.0631676429336334</v>
      </c>
      <c r="DN27" s="456">
        <f t="array" ref="DN27">SUMPRODUCT(IF(1*($W$2:$CX$2=DN$2),$W27:$CX27),IF(1*($W$2:$CX$2=DN$2),$W$36:$CX$36))/SUM(IF(1*($W$2:$CX$2=DN$2),$W$36:$CX$36))</f>
        <v>6.8153451384841945</v>
      </c>
      <c r="DO27" s="456">
        <f t="array" ref="DO27">SUMPRODUCT(IF(1*($W$2:$CX$2=DO$2),$W27:$CX27),IF(1*($W$2:$CX$2=DO$2),$W$36:$CX$36))/SUM(IF(1*($W$2:$CX$2=DO$2),$W$36:$CX$36))</f>
        <v>7.7322269179941108</v>
      </c>
      <c r="DP27" s="456">
        <f t="array" ref="DP27">SUMPRODUCT(IF(1*1,$W27:$CX27),IF(1*1,$W$36:$CX$36))/SUM(IF(1*1,$W$36:$CX$36))</f>
        <v>7.1661581529308194</v>
      </c>
    </row>
    <row r="28" spans="1:120" s="463" customFormat="1" ht="15.75" customHeight="1" thickBot="1" x14ac:dyDescent="0.3">
      <c r="A28" s="641"/>
      <c r="B28" s="635"/>
      <c r="C28" s="677" t="str">
        <f>'MD-ratings-year'!C28:E28</f>
        <v>Profitability total</v>
      </c>
      <c r="D28" s="678"/>
      <c r="E28" s="682"/>
      <c r="F28" s="590" t="s">
        <v>400</v>
      </c>
      <c r="G28" s="653"/>
      <c r="K28" s="271"/>
      <c r="L28" s="271"/>
      <c r="M28" s="271"/>
      <c r="N28" s="271"/>
      <c r="O28" s="271"/>
      <c r="P28" s="271"/>
      <c r="Q28" s="271"/>
      <c r="R28" s="271"/>
      <c r="S28" s="270"/>
      <c r="T28" s="270"/>
      <c r="U28" s="270"/>
      <c r="V28" s="254"/>
      <c r="W28" s="462">
        <f>SUMPRODUCT(W25:W27,$C25:$C27)/SUM($C25:$C27)</f>
        <v>5.3778053549018558</v>
      </c>
      <c r="X28" s="462">
        <f t="shared" ref="X28:CI28" si="12">SUMPRODUCT(X25:X27,$C25:$C27)/SUM($C25:$C27)</f>
        <v>6.1435291572282704</v>
      </c>
      <c r="Y28" s="462">
        <f t="shared" si="12"/>
        <v>7.0296153586395986</v>
      </c>
      <c r="Z28" s="462">
        <f t="shared" si="12"/>
        <v>8.4644203458367429</v>
      </c>
      <c r="AA28" s="462">
        <f t="shared" si="12"/>
        <v>7.7088498374660981</v>
      </c>
      <c r="AB28" s="462">
        <f t="shared" si="12"/>
        <v>3.6883213570674989</v>
      </c>
      <c r="AC28" s="462">
        <f t="shared" si="12"/>
        <v>8.1237609405007891</v>
      </c>
      <c r="AD28" s="462">
        <f t="shared" si="12"/>
        <v>9.1081264129827133</v>
      </c>
      <c r="AE28" s="462">
        <f t="shared" si="12"/>
        <v>8.1614342049452198</v>
      </c>
      <c r="AF28" s="462">
        <f t="shared" si="12"/>
        <v>8.3342428269222442</v>
      </c>
      <c r="AG28" s="462">
        <f t="shared" si="12"/>
        <v>9.4957212615892619</v>
      </c>
      <c r="AH28" s="462">
        <f t="shared" si="12"/>
        <v>1.1884616477679146</v>
      </c>
      <c r="AI28" s="462">
        <f t="shared" si="12"/>
        <v>8.68089999005735</v>
      </c>
      <c r="AJ28" s="462">
        <f t="shared" si="12"/>
        <v>9.2454105934379029</v>
      </c>
      <c r="AK28" s="462">
        <f t="shared" si="12"/>
        <v>6.6690724454463979</v>
      </c>
      <c r="AL28" s="462">
        <f t="shared" si="12"/>
        <v>9.4748429101172622</v>
      </c>
      <c r="AM28" s="462">
        <f t="shared" si="12"/>
        <v>9.755275427711215</v>
      </c>
      <c r="AN28" s="462">
        <f t="shared" si="12"/>
        <v>3.5362435931374749</v>
      </c>
      <c r="AO28" s="462">
        <f t="shared" si="12"/>
        <v>0.17893630293545668</v>
      </c>
      <c r="AP28" s="462">
        <f t="shared" si="12"/>
        <v>8.3596158981344715</v>
      </c>
      <c r="AQ28" s="462">
        <f t="shared" si="12"/>
        <v>8.0954649074562504</v>
      </c>
      <c r="AR28" s="462">
        <f t="shared" si="12"/>
        <v>6.0172822534301602</v>
      </c>
      <c r="AS28" s="462">
        <f t="shared" si="12"/>
        <v>6.7824441294801332</v>
      </c>
      <c r="AT28" s="462">
        <f t="shared" si="12"/>
        <v>1.4082225470270548</v>
      </c>
      <c r="AU28" s="462">
        <f t="shared" si="12"/>
        <v>2.5893399116873446</v>
      </c>
      <c r="AV28" s="462">
        <f t="shared" si="12"/>
        <v>8.4575332679687101</v>
      </c>
      <c r="AW28" s="462">
        <f t="shared" si="12"/>
        <v>1.706796898402632</v>
      </c>
      <c r="AX28" s="462">
        <f t="shared" si="12"/>
        <v>1.4429710791683639</v>
      </c>
      <c r="AY28" s="462">
        <f t="shared" si="12"/>
        <v>1.734697095451651</v>
      </c>
      <c r="AZ28" s="462">
        <f t="shared" si="12"/>
        <v>2.0069351018376755</v>
      </c>
      <c r="BA28" s="462">
        <f t="shared" si="12"/>
        <v>1.2174397675789035</v>
      </c>
      <c r="BB28" s="462">
        <f t="shared" si="12"/>
        <v>6.7348192567405469</v>
      </c>
      <c r="BC28" s="462">
        <f t="shared" si="12"/>
        <v>8.2078557099377445</v>
      </c>
      <c r="BD28" s="462">
        <f t="shared" si="12"/>
        <v>8.3575903534018749</v>
      </c>
      <c r="BE28" s="462">
        <f t="shared" si="12"/>
        <v>7.0141223176212355</v>
      </c>
      <c r="BF28" s="462">
        <f t="shared" si="12"/>
        <v>5.1633813963248496</v>
      </c>
      <c r="BG28" s="462">
        <f t="shared" si="12"/>
        <v>9.3413221915639504</v>
      </c>
      <c r="BH28" s="462">
        <f t="shared" si="12"/>
        <v>5.9673480048497254</v>
      </c>
      <c r="BI28" s="462">
        <f t="shared" si="12"/>
        <v>9.3975018074666767</v>
      </c>
      <c r="BJ28" s="462">
        <f t="shared" si="12"/>
        <v>8.2637737841600085</v>
      </c>
      <c r="BK28" s="462">
        <f t="shared" si="12"/>
        <v>0.61945647589975983</v>
      </c>
      <c r="BL28" s="462">
        <f t="shared" si="12"/>
        <v>6.4881695539487669</v>
      </c>
      <c r="BM28" s="462">
        <f t="shared" si="12"/>
        <v>5.7426653371073613</v>
      </c>
      <c r="BN28" s="462">
        <f t="shared" si="12"/>
        <v>6.9784753544290741</v>
      </c>
      <c r="BO28" s="462">
        <f t="shared" si="12"/>
        <v>9.6528984502899497</v>
      </c>
      <c r="BP28" s="462">
        <f t="shared" si="12"/>
        <v>9.2546943418738916</v>
      </c>
      <c r="BQ28" s="462">
        <f t="shared" si="12"/>
        <v>5.6043005772654197</v>
      </c>
      <c r="BR28" s="462">
        <f t="shared" si="12"/>
        <v>6.92630257647596</v>
      </c>
      <c r="BS28" s="462">
        <f t="shared" si="12"/>
        <v>8.3982889144743709</v>
      </c>
      <c r="BT28" s="462">
        <f t="shared" si="12"/>
        <v>7.7140277765731451</v>
      </c>
      <c r="BU28" s="462">
        <f t="shared" si="12"/>
        <v>9.1934977927574799</v>
      </c>
      <c r="BV28" s="462">
        <f t="shared" si="12"/>
        <v>9.0855894189706756</v>
      </c>
      <c r="BW28" s="462">
        <f t="shared" si="12"/>
        <v>5.9945877861985259</v>
      </c>
      <c r="BX28" s="462">
        <f t="shared" si="12"/>
        <v>7.4032856810218721</v>
      </c>
      <c r="BY28" s="462">
        <f t="shared" si="12"/>
        <v>9.8389516823303502</v>
      </c>
      <c r="BZ28" s="462">
        <f t="shared" si="12"/>
        <v>2.7029790729432617</v>
      </c>
      <c r="CA28" s="462">
        <f t="shared" si="12"/>
        <v>9.3427249002772239</v>
      </c>
      <c r="CB28" s="462">
        <f t="shared" si="12"/>
        <v>2.2946755815689674</v>
      </c>
      <c r="CC28" s="462">
        <f t="shared" si="12"/>
        <v>7.2862635568240277</v>
      </c>
      <c r="CD28" s="462">
        <f t="shared" si="12"/>
        <v>9.1655280309080318</v>
      </c>
      <c r="CE28" s="462">
        <f t="shared" si="12"/>
        <v>6.8388103797711306</v>
      </c>
      <c r="CF28" s="462">
        <f t="shared" si="12"/>
        <v>8.3129742407054437</v>
      </c>
      <c r="CG28" s="462">
        <f t="shared" si="12"/>
        <v>7.3943326818888995</v>
      </c>
      <c r="CH28" s="462">
        <f t="shared" si="12"/>
        <v>7.3046065185079261</v>
      </c>
      <c r="CI28" s="462">
        <f t="shared" si="12"/>
        <v>8.3876841107039208</v>
      </c>
      <c r="CJ28" s="462">
        <f t="shared" ref="CJ28:CX28" si="13">SUMPRODUCT(CJ25:CJ27,$C25:$C27)/SUM($C25:$C27)</f>
        <v>8.8731492058290158</v>
      </c>
      <c r="CK28" s="462">
        <f t="shared" si="13"/>
        <v>7.5756862357666765</v>
      </c>
      <c r="CL28" s="462">
        <f t="shared" si="13"/>
        <v>8.045308412623692</v>
      </c>
      <c r="CM28" s="462">
        <f t="shared" si="13"/>
        <v>2.6350146404621135</v>
      </c>
      <c r="CN28" s="462">
        <f t="shared" si="13"/>
        <v>5.7856922237343529</v>
      </c>
      <c r="CO28" s="462">
        <f t="shared" si="13"/>
        <v>5.6171035681775923</v>
      </c>
      <c r="CP28" s="462">
        <f t="shared" si="13"/>
        <v>7.1813648293491639</v>
      </c>
      <c r="CQ28" s="462">
        <f t="shared" si="13"/>
        <v>8.9400021698629573</v>
      </c>
      <c r="CR28" s="462">
        <f t="shared" si="13"/>
        <v>7.9554991999352556</v>
      </c>
      <c r="CS28" s="462">
        <f t="shared" si="13"/>
        <v>8.3691394372003582</v>
      </c>
      <c r="CT28" s="462">
        <f t="shared" si="13"/>
        <v>9.2042714024281675</v>
      </c>
      <c r="CU28" s="462">
        <f t="shared" si="13"/>
        <v>1.3486729264250632</v>
      </c>
      <c r="CV28" s="462">
        <f t="shared" si="13"/>
        <v>6.5998310978446924</v>
      </c>
      <c r="CW28" s="462">
        <f t="shared" si="13"/>
        <v>5.0986768540951672</v>
      </c>
      <c r="CX28" s="462">
        <f t="shared" si="13"/>
        <v>2.8267056188758466</v>
      </c>
      <c r="CZ28" s="584"/>
      <c r="DA28" s="464">
        <f t="array" ref="DA28">SUMPRODUCT(IF(($W$3:$CX$3=DA$3)*($W$2:$CX$2=DA$2),$W28:$CX28),IF(($W$3:$CX$3=DA$3)*($W$2:$CX$2=DA$2),$W$36:$CX$36))/SUM(IF(($W$3:$CX$3=DA$3)*($W$2:$CX$2=DA$2),$W$36:$CX$36))</f>
        <v>6.216460703932551</v>
      </c>
      <c r="DB28" s="464">
        <f t="array" ref="DB28">SUMPRODUCT(IF(($W$3:$CX$3=DB$3)*($W$2:$CX$2=DB$2),$W28:$CX28),IF(($W$3:$CX$3=DB$3)*($W$2:$CX$2=DB$2),$W$36:$CX$36))/SUM(IF(($W$3:$CX$3=DB$3)*($W$2:$CX$2=DB$2),$W$36:$CX$36))</f>
        <v>9.0454896815233603</v>
      </c>
      <c r="DC28" s="464">
        <f t="array" ref="DC28">SUMPRODUCT(IF(($W$3:$CX$3=DC$3)*($W$2:$CX$2=DC$2),$W28:$CX28),IF(($W$3:$CX$3=DC$3)*($W$2:$CX$2=DC$2),$W$36:$CX$36))/SUM(IF(($W$3:$CX$3=DC$3)*($W$2:$CX$2=DC$2),$W$36:$CX$36))</f>
        <v>5.3136277071926052</v>
      </c>
      <c r="DD28" s="464">
        <f t="array" ref="DD28">SUMPRODUCT(IF(($W$3:$CX$3=DD$3)*($W$2:$CX$2=DD$2),$W28:$CX28),IF(($W$3:$CX$3=DD$3)*($W$2:$CX$2=DD$2),$W$36:$CX$36))/SUM(IF(($W$3:$CX$3=DD$3)*($W$2:$CX$2=DD$2),$W$36:$CX$36))</f>
        <v>5.6551345449003536</v>
      </c>
      <c r="DE28" s="464">
        <f t="array" ref="DE28">SUMPRODUCT(IF(($W$3:$CX$3=DE$3)*($W$2:$CX$2=DE$2),$W28:$CX28),IF(($W$3:$CX$3=DE$3)*($W$2:$CX$2=DE$2),$W$36:$CX$36))/SUM(IF(($W$3:$CX$3=DE$3)*($W$2:$CX$2=DE$2),$W$36:$CX$36))</f>
        <v>7.9015991607616858</v>
      </c>
      <c r="DF28" s="464">
        <f t="array" ref="DF28">SUMPRODUCT(IF(($W$3:$CX$3=DF$3)*($W$2:$CX$2=DF$2),$W28:$CX28),IF(($W$3:$CX$3=DF$3)*($W$2:$CX$2=DF$2),$W$36:$CX$36))/SUM(IF(($W$3:$CX$3=DF$3)*($W$2:$CX$2=DF$2),$W$36:$CX$36))</f>
        <v>6.3097153943788546</v>
      </c>
      <c r="DG28" s="464">
        <f t="array" ref="DG28">SUMPRODUCT(IF(($W$3:$CX$3=DG$3)*($W$2:$CX$2=DG$2),$W28:$CX28),IF(($W$3:$CX$3=DG$3)*($W$2:$CX$2=DG$2),$W$36:$CX$36))/SUM(IF(($W$3:$CX$3=DG$3)*($W$2:$CX$2=DG$2),$W$36:$CX$36))</f>
        <v>8.3560388955384308</v>
      </c>
      <c r="DH28" s="464">
        <f t="array" ref="DH28">SUMPRODUCT(IF(($W$3:$CX$3=DH$3)*($W$2:$CX$2=DH$2),$W28:$CX28),IF(($W$3:$CX$3=DH$3)*($W$2:$CX$2=DH$2),$W$36:$CX$36))/SUM(IF(($W$3:$CX$3=DH$3)*($W$2:$CX$2=DH$2),$W$36:$CX$36))</f>
        <v>8.2863878336843086</v>
      </c>
      <c r="DI28" s="464">
        <f t="array" ref="DI28">SUMPRODUCT(IF(($W$3:$CX$3=DI$3)*($W$2:$CX$2=DI$2),$W28:$CX28),IF(($W$3:$CX$3=DI$3)*($W$2:$CX$2=DI$2),$W$36:$CX$36))/SUM(IF(($W$3:$CX$3=DI$3)*($W$2:$CX$2=DI$2),$W$36:$CX$36))</f>
        <v>8.1908252635541654</v>
      </c>
      <c r="DJ28" s="464">
        <f t="array" ref="DJ28">SUMPRODUCT(IF(($W$3:$CX$3=DJ$3)*($W$2:$CX$2=DJ$2),$W28:$CX28),IF(($W$3:$CX$3=DJ$3)*($W$2:$CX$2=DJ$2),$W$36:$CX$36))/SUM(IF(($W$3:$CX$3=DJ$3)*($W$2:$CX$2=DJ$2),$W$36:$CX$36))</f>
        <v>8.2160892623343216</v>
      </c>
      <c r="DK28" s="464">
        <f t="array" ref="DK28">SUMPRODUCT(IF(($W$3:$CX$3=DK$3)*1,$W28:$CX28),IF(($W$3:$CX$3=DK$3)*1,$W$36:$CX$36))/SUM(IF(($W$3:$CX$3=DK$3)*1,$W$36:$CX$36))</f>
        <v>8.666083750717803</v>
      </c>
      <c r="DL28" s="464">
        <f t="array" ref="DL28">SUMPRODUCT(IF(($W$3:$CX$3=DL$3)*1,$W28:$CX28),IF(($W$3:$CX$3=DL$3)*1,$W$36:$CX$36))/SUM(IF(($W$3:$CX$3=DL$3)*1,$W$36:$CX$36))</f>
        <v>6.6887764034569113</v>
      </c>
      <c r="DM28" s="464">
        <f t="array" ref="DM28">SUMPRODUCT(IF(($W$3:$CX$3=DM$3)*1,$W28:$CX28),IF(($W$3:$CX$3=DM$3)*1,$W$36:$CX$36))/SUM(IF(($W$3:$CX$3=DM$3)*1,$W$36:$CX$36))</f>
        <v>6.4673725925846322</v>
      </c>
      <c r="DN28" s="464">
        <f t="array" ref="DN28">SUMPRODUCT(IF(1*($W$2:$CX$2=DN$2),$W28:$CX28),IF(1*($W$2:$CX$2=DN$2),$W$36:$CX$36))/SUM(IF(1*($W$2:$CX$2=DN$2),$W$36:$CX$36))</f>
        <v>6.6658471385706068</v>
      </c>
      <c r="DO28" s="464">
        <f t="array" ref="DO28">SUMPRODUCT(IF(1*($W$2:$CX$2=DO$2),$W28:$CX28),IF(1*($W$2:$CX$2=DO$2),$W$36:$CX$36))/SUM(IF(1*($W$2:$CX$2=DO$2),$W$36:$CX$36))</f>
        <v>8.3028022693084118</v>
      </c>
      <c r="DP28" s="464">
        <f t="array" ref="DP28">SUMPRODUCT(IF(1*1,$W28:$CX28),IF(1*1,$W$36:$CX$36))/SUM(IF(1*1,$W$36:$CX$36))</f>
        <v>7.2921712479175556</v>
      </c>
    </row>
    <row r="29" spans="1:120" s="429" customFormat="1" ht="15.75" customHeight="1" thickBot="1" x14ac:dyDescent="0.3">
      <c r="A29" s="639">
        <f>'MD-ratings-year'!A29</f>
        <v>0.3</v>
      </c>
      <c r="B29" s="633" t="str">
        <f>'MD-ratings-year'!B29</f>
        <v>Leverage</v>
      </c>
      <c r="C29" s="460">
        <f>'MD-ratings-year'!C29</f>
        <v>0.15</v>
      </c>
      <c r="D29" s="434" t="str">
        <f>'MD-ratings-year'!D29</f>
        <v>Total Debt to Total Assets</v>
      </c>
      <c r="E29" s="437" t="str">
        <f>'MD-ratings-year'!E29</f>
        <v>Total Debt ÷ Total Assets</v>
      </c>
      <c r="F29" s="439" t="s">
        <v>400</v>
      </c>
      <c r="G29" s="653"/>
      <c r="I29" s="579">
        <f>'SK-ratios'!U32</f>
        <v>52.176476402184669</v>
      </c>
      <c r="K29" s="260">
        <f>'MD-ratings-year'!P29</f>
        <v>0.34811326308868218</v>
      </c>
      <c r="L29" s="567">
        <f>'MD-ratings-year'!Q29</f>
        <v>3.808485790894664E-2</v>
      </c>
      <c r="M29" s="567">
        <f>'MD-ratings-year'!R29</f>
        <v>9.5004357420602186E-3</v>
      </c>
      <c r="N29" s="567">
        <f>'MD-ratings-year'!S29</f>
        <v>2.3699255884006443E-3</v>
      </c>
      <c r="O29" s="260">
        <f>'MD-ratings-year'!T29</f>
        <v>0</v>
      </c>
      <c r="P29" s="260"/>
      <c r="Q29" s="260"/>
      <c r="R29" s="260"/>
      <c r="S29" s="259"/>
      <c r="T29" s="259"/>
      <c r="U29" s="259"/>
      <c r="V29" s="261"/>
      <c r="W29" s="454">
        <f>IF('SK-ratios'!AF32&lt;0,IF(ABS('SK-ratios'!AF32)&gt;'SK-ratios'!$Y32,0,10-10*LOG(1+('SK-ratios'!$U32-1)*(ABS('SK-ratios'!AF32)-'SK-ratios'!$AC32)/('SK-ratios'!$Y32-'SK-ratios'!$AC32))/LOG('SK-ratios'!$U32))/2,IF('SK-ratios'!AF32&gt;'SK-ratios'!$Y32,0,10-10*LOG(1+('SK-ratios'!$U32-1)*('SK-ratios'!AF32-'SK-ratios'!$AC32)/('SK-ratios'!$Y32-'SK-ratios'!$AC32))/LOG('SK-ratios'!$U32)))</f>
        <v>3.2517439655412872</v>
      </c>
      <c r="X29" s="454">
        <f>IF('SK-ratios'!AG32&lt;0,IF(ABS('SK-ratios'!AG32)&gt;'SK-ratios'!$Y32,0,10-10*LOG(1+('SK-ratios'!$U32-1)*(ABS('SK-ratios'!AG32)-'SK-ratios'!$AC32)/('SK-ratios'!$Y32-'SK-ratios'!$AC32))/LOG('SK-ratios'!$U32))/2,IF('SK-ratios'!AG32&gt;'SK-ratios'!$Y32,0,10-10*LOG(1+('SK-ratios'!$U32-1)*('SK-ratios'!AG32-'SK-ratios'!$AC32)/('SK-ratios'!$Y32-'SK-ratios'!$AC32))/LOG('SK-ratios'!$U32)))</f>
        <v>5.7778182572759276</v>
      </c>
      <c r="Y29" s="454">
        <f>IF('SK-ratios'!AH32&lt;0,IF(ABS('SK-ratios'!AH32)&gt;'SK-ratios'!$Y32,0,10-10*LOG(1+('SK-ratios'!$U32-1)*(ABS('SK-ratios'!AH32)-'SK-ratios'!$AC32)/('SK-ratios'!$Y32-'SK-ratios'!$AC32))/LOG('SK-ratios'!$U32))/2,IF('SK-ratios'!AH32&gt;'SK-ratios'!$Y32,0,10-10*LOG(1+('SK-ratios'!$U32-1)*('SK-ratios'!AH32-'SK-ratios'!$AC32)/('SK-ratios'!$Y32-'SK-ratios'!$AC32))/LOG('SK-ratios'!$U32)))</f>
        <v>0</v>
      </c>
      <c r="Z29" s="454">
        <f>IF('SK-ratios'!AI32&lt;0,IF(ABS('SK-ratios'!AI32)&gt;'SK-ratios'!$Y32,0,10-10*LOG(1+('SK-ratios'!$U32-1)*(ABS('SK-ratios'!AI32)-'SK-ratios'!$AC32)/('SK-ratios'!$Y32-'SK-ratios'!$AC32))/LOG('SK-ratios'!$U32))/2,IF('SK-ratios'!AI32&gt;'SK-ratios'!$Y32,0,10-10*LOG(1+('SK-ratios'!$U32-1)*('SK-ratios'!AI32-'SK-ratios'!$AC32)/('SK-ratios'!$Y32-'SK-ratios'!$AC32))/LOG('SK-ratios'!$U32)))</f>
        <v>0</v>
      </c>
      <c r="AA29" s="454">
        <f>IF('SK-ratios'!AJ32&lt;0,IF(ABS('SK-ratios'!AJ32)&gt;'SK-ratios'!$Y32,0,10-10*LOG(1+('SK-ratios'!$U32-1)*(ABS('SK-ratios'!AJ32)-'SK-ratios'!$AC32)/('SK-ratios'!$Y32-'SK-ratios'!$AC32))/LOG('SK-ratios'!$U32))/2,IF('SK-ratios'!AJ32&gt;'SK-ratios'!$Y32,0,10-10*LOG(1+('SK-ratios'!$U32-1)*('SK-ratios'!AJ32-'SK-ratios'!$AC32)/('SK-ratios'!$Y32-'SK-ratios'!$AC32))/LOG('SK-ratios'!$U32)))</f>
        <v>6.4573486023148163E-2</v>
      </c>
      <c r="AB29" s="454">
        <f>IF('SK-ratios'!AK32&lt;0,IF(ABS('SK-ratios'!AK32)&gt;'SK-ratios'!$Y32,0,10-10*LOG(1+('SK-ratios'!$U32-1)*(ABS('SK-ratios'!AK32)-'SK-ratios'!$AC32)/('SK-ratios'!$Y32-'SK-ratios'!$AC32))/LOG('SK-ratios'!$U32))/2,IF('SK-ratios'!AK32&gt;'SK-ratios'!$Y32,0,10-10*LOG(1+('SK-ratios'!$U32-1)*('SK-ratios'!AK32-'SK-ratios'!$AC32)/('SK-ratios'!$Y32-'SK-ratios'!$AC32))/LOG('SK-ratios'!$U32)))</f>
        <v>3.2893723036486184</v>
      </c>
      <c r="AC29" s="454">
        <f>IF('SK-ratios'!AL32&lt;0,IF(ABS('SK-ratios'!AL32)&gt;'SK-ratios'!$Y32,0,10-10*LOG(1+('SK-ratios'!$U32-1)*(ABS('SK-ratios'!AL32)-'SK-ratios'!$AC32)/('SK-ratios'!$Y32-'SK-ratios'!$AC32))/LOG('SK-ratios'!$U32))/2,IF('SK-ratios'!AL32&gt;'SK-ratios'!$Y32,0,10-10*LOG(1+('SK-ratios'!$U32-1)*('SK-ratios'!AL32-'SK-ratios'!$AC32)/('SK-ratios'!$Y32-'SK-ratios'!$AC32))/LOG('SK-ratios'!$U32)))</f>
        <v>1.6194013318098079</v>
      </c>
      <c r="AD29" s="454">
        <f>IF('SK-ratios'!AM32&lt;0,IF(ABS('SK-ratios'!AM32)&gt;'SK-ratios'!$Y32,0,10-10*LOG(1+('SK-ratios'!$U32-1)*(ABS('SK-ratios'!AM32)-'SK-ratios'!$AC32)/('SK-ratios'!$Y32-'SK-ratios'!$AC32))/LOG('SK-ratios'!$U32))/2,IF('SK-ratios'!AM32&gt;'SK-ratios'!$Y32,0,10-10*LOG(1+('SK-ratios'!$U32-1)*('SK-ratios'!AM32-'SK-ratios'!$AC32)/('SK-ratios'!$Y32-'SK-ratios'!$AC32))/LOG('SK-ratios'!$U32)))</f>
        <v>0</v>
      </c>
      <c r="AE29" s="454">
        <f>IF('SK-ratios'!AN32&lt;0,IF(ABS('SK-ratios'!AN32)&gt;'SK-ratios'!$Y32,0,10-10*LOG(1+('SK-ratios'!$U32-1)*(ABS('SK-ratios'!AN32)-'SK-ratios'!$AC32)/('SK-ratios'!$Y32-'SK-ratios'!$AC32))/LOG('SK-ratios'!$U32))/2,IF('SK-ratios'!AN32&gt;'SK-ratios'!$Y32,0,10-10*LOG(1+('SK-ratios'!$U32-1)*('SK-ratios'!AN32-'SK-ratios'!$AC32)/('SK-ratios'!$Y32-'SK-ratios'!$AC32))/LOG('SK-ratios'!$U32)))</f>
        <v>0</v>
      </c>
      <c r="AF29" s="454">
        <f>IF('SK-ratios'!AO32&lt;0,IF(ABS('SK-ratios'!AO32)&gt;'SK-ratios'!$Y32,0,10-10*LOG(1+('SK-ratios'!$U32-1)*(ABS('SK-ratios'!AO32)-'SK-ratios'!$AC32)/('SK-ratios'!$Y32-'SK-ratios'!$AC32))/LOG('SK-ratios'!$U32))/2,IF('SK-ratios'!AO32&gt;'SK-ratios'!$Y32,0,10-10*LOG(1+('SK-ratios'!$U32-1)*('SK-ratios'!AO32-'SK-ratios'!$AC32)/('SK-ratios'!$Y32-'SK-ratios'!$AC32))/LOG('SK-ratios'!$U32)))</f>
        <v>0</v>
      </c>
      <c r="AG29" s="454">
        <f>IF('SK-ratios'!AP32&lt;0,IF(ABS('SK-ratios'!AP32)&gt;'SK-ratios'!$Y32,0,10-10*LOG(1+('SK-ratios'!$U32-1)*(ABS('SK-ratios'!AP32)-'SK-ratios'!$AC32)/('SK-ratios'!$Y32-'SK-ratios'!$AC32))/LOG('SK-ratios'!$U32))/2,IF('SK-ratios'!AP32&gt;'SK-ratios'!$Y32,0,10-10*LOG(1+('SK-ratios'!$U32-1)*('SK-ratios'!AP32-'SK-ratios'!$AC32)/('SK-ratios'!$Y32-'SK-ratios'!$AC32))/LOG('SK-ratios'!$U32)))</f>
        <v>0</v>
      </c>
      <c r="AH29" s="454">
        <f>IF('SK-ratios'!AQ32&lt;0,IF(ABS('SK-ratios'!AQ32)&gt;'SK-ratios'!$Y32,0,10-10*LOG(1+('SK-ratios'!$U32-1)*(ABS('SK-ratios'!AQ32)-'SK-ratios'!$AC32)/('SK-ratios'!$Y32-'SK-ratios'!$AC32))/LOG('SK-ratios'!$U32))/2,IF('SK-ratios'!AQ32&gt;'SK-ratios'!$Y32,0,10-10*LOG(1+('SK-ratios'!$U32-1)*('SK-ratios'!AQ32-'SK-ratios'!$AC32)/('SK-ratios'!$Y32-'SK-ratios'!$AC32))/LOG('SK-ratios'!$U32)))</f>
        <v>9.0505619284147869</v>
      </c>
      <c r="AI29" s="454">
        <f>IF('SK-ratios'!AR32&lt;0,IF(ABS('SK-ratios'!AR32)&gt;'SK-ratios'!$Y32,0,10-10*LOG(1+('SK-ratios'!$U32-1)*(ABS('SK-ratios'!AR32)-'SK-ratios'!$AC32)/('SK-ratios'!$Y32-'SK-ratios'!$AC32))/LOG('SK-ratios'!$U32))/2,IF('SK-ratios'!AR32&gt;'SK-ratios'!$Y32,0,10-10*LOG(1+('SK-ratios'!$U32-1)*('SK-ratios'!AR32-'SK-ratios'!$AC32)/('SK-ratios'!$Y32-'SK-ratios'!$AC32))/LOG('SK-ratios'!$U32)))</f>
        <v>0</v>
      </c>
      <c r="AJ29" s="454">
        <f>IF('SK-ratios'!AS32&lt;0,IF(ABS('SK-ratios'!AS32)&gt;'SK-ratios'!$Y32,0,10-10*LOG(1+('SK-ratios'!$U32-1)*(ABS('SK-ratios'!AS32)-'SK-ratios'!$AC32)/('SK-ratios'!$Y32-'SK-ratios'!$AC32))/LOG('SK-ratios'!$U32))/2,IF('SK-ratios'!AS32&gt;'SK-ratios'!$Y32,0,10-10*LOG(1+('SK-ratios'!$U32-1)*('SK-ratios'!AS32-'SK-ratios'!$AC32)/('SK-ratios'!$Y32-'SK-ratios'!$AC32))/LOG('SK-ratios'!$U32)))</f>
        <v>0</v>
      </c>
      <c r="AK29" s="454">
        <f>IF('SK-ratios'!AT32&lt;0,IF(ABS('SK-ratios'!AT32)&gt;'SK-ratios'!$Y32,0,10-10*LOG(1+('SK-ratios'!$U32-1)*(ABS('SK-ratios'!AT32)-'SK-ratios'!$AC32)/('SK-ratios'!$Y32-'SK-ratios'!$AC32))/LOG('SK-ratios'!$U32))/2,IF('SK-ratios'!AT32&gt;'SK-ratios'!$Y32,0,10-10*LOG(1+('SK-ratios'!$U32-1)*('SK-ratios'!AT32-'SK-ratios'!$AC32)/('SK-ratios'!$Y32-'SK-ratios'!$AC32))/LOG('SK-ratios'!$U32)))</f>
        <v>0</v>
      </c>
      <c r="AL29" s="454">
        <f>IF('SK-ratios'!AU32&lt;0,IF(ABS('SK-ratios'!AU32)&gt;'SK-ratios'!$Y32,0,10-10*LOG(1+('SK-ratios'!$U32-1)*(ABS('SK-ratios'!AU32)-'SK-ratios'!$AC32)/('SK-ratios'!$Y32-'SK-ratios'!$AC32))/LOG('SK-ratios'!$U32))/2,IF('SK-ratios'!AU32&gt;'SK-ratios'!$Y32,0,10-10*LOG(1+('SK-ratios'!$U32-1)*('SK-ratios'!AU32-'SK-ratios'!$AC32)/('SK-ratios'!$Y32-'SK-ratios'!$AC32))/LOG('SK-ratios'!$U32)))</f>
        <v>0</v>
      </c>
      <c r="AM29" s="454">
        <f>IF('SK-ratios'!AV32&lt;0,IF(ABS('SK-ratios'!AV32)&gt;'SK-ratios'!$Y32,0,10-10*LOG(1+('SK-ratios'!$U32-1)*(ABS('SK-ratios'!AV32)-'SK-ratios'!$AC32)/('SK-ratios'!$Y32-'SK-ratios'!$AC32))/LOG('SK-ratios'!$U32))/2,IF('SK-ratios'!AV32&gt;'SK-ratios'!$Y32,0,10-10*LOG(1+('SK-ratios'!$U32-1)*('SK-ratios'!AV32-'SK-ratios'!$AC32)/('SK-ratios'!$Y32-'SK-ratios'!$AC32))/LOG('SK-ratios'!$U32)))</f>
        <v>0</v>
      </c>
      <c r="AN29" s="454">
        <f>IF('SK-ratios'!AW32&lt;0,IF(ABS('SK-ratios'!AW32)&gt;'SK-ratios'!$Y32,0,10-10*LOG(1+('SK-ratios'!$U32-1)*(ABS('SK-ratios'!AW32)-'SK-ratios'!$AC32)/('SK-ratios'!$Y32-'SK-ratios'!$AC32))/LOG('SK-ratios'!$U32))/2,IF('SK-ratios'!AW32&gt;'SK-ratios'!$Y32,0,10-10*LOG(1+('SK-ratios'!$U32-1)*('SK-ratios'!AW32-'SK-ratios'!$AC32)/('SK-ratios'!$Y32-'SK-ratios'!$AC32))/LOG('SK-ratios'!$U32)))</f>
        <v>4.2389562599012507</v>
      </c>
      <c r="AO29" s="454">
        <f>IF('SK-ratios'!AX32&lt;0,IF(ABS('SK-ratios'!AX32)&gt;'SK-ratios'!$Y32,0,10-10*LOG(1+('SK-ratios'!$U32-1)*(ABS('SK-ratios'!AX32)-'SK-ratios'!$AC32)/('SK-ratios'!$Y32-'SK-ratios'!$AC32))/LOG('SK-ratios'!$U32))/2,IF('SK-ratios'!AX32&gt;'SK-ratios'!$Y32,0,10-10*LOG(1+('SK-ratios'!$U32-1)*('SK-ratios'!AX32-'SK-ratios'!$AC32)/('SK-ratios'!$Y32-'SK-ratios'!$AC32))/LOG('SK-ratios'!$U32)))</f>
        <v>5.2800507953336782</v>
      </c>
      <c r="AP29" s="454">
        <f>IF('SK-ratios'!AY32&lt;0,IF(ABS('SK-ratios'!AY32)&gt;'SK-ratios'!$Y32,0,10-10*LOG(1+('SK-ratios'!$U32-1)*(ABS('SK-ratios'!AY32)-'SK-ratios'!$AC32)/('SK-ratios'!$Y32-'SK-ratios'!$AC32))/LOG('SK-ratios'!$U32))/2,IF('SK-ratios'!AY32&gt;'SK-ratios'!$Y32,0,10-10*LOG(1+('SK-ratios'!$U32-1)*('SK-ratios'!AY32-'SK-ratios'!$AC32)/('SK-ratios'!$Y32-'SK-ratios'!$AC32))/LOG('SK-ratios'!$U32)))</f>
        <v>0</v>
      </c>
      <c r="AQ29" s="454">
        <f>IF('SK-ratios'!AZ32&lt;0,IF(ABS('SK-ratios'!AZ32)&gt;'SK-ratios'!$Y32,0,10-10*LOG(1+('SK-ratios'!$U32-1)*(ABS('SK-ratios'!AZ32)-'SK-ratios'!$AC32)/('SK-ratios'!$Y32-'SK-ratios'!$AC32))/LOG('SK-ratios'!$U32))/2,IF('SK-ratios'!AZ32&gt;'SK-ratios'!$Y32,0,10-10*LOG(1+('SK-ratios'!$U32-1)*('SK-ratios'!AZ32-'SK-ratios'!$AC32)/('SK-ratios'!$Y32-'SK-ratios'!$AC32))/LOG('SK-ratios'!$U32)))</f>
        <v>0</v>
      </c>
      <c r="AR29" s="454">
        <f>IF('SK-ratios'!BA32&lt;0,IF(ABS('SK-ratios'!BA32)&gt;'SK-ratios'!$Y32,0,10-10*LOG(1+('SK-ratios'!$U32-1)*(ABS('SK-ratios'!BA32)-'SK-ratios'!$AC32)/('SK-ratios'!$Y32-'SK-ratios'!$AC32))/LOG('SK-ratios'!$U32))/2,IF('SK-ratios'!BA32&gt;'SK-ratios'!$Y32,0,10-10*LOG(1+('SK-ratios'!$U32-1)*('SK-ratios'!BA32-'SK-ratios'!$AC32)/('SK-ratios'!$Y32-'SK-ratios'!$AC32))/LOG('SK-ratios'!$U32)))</f>
        <v>6.0032729949862311</v>
      </c>
      <c r="AS29" s="454">
        <f>IF('SK-ratios'!BB32&lt;0,IF(ABS('SK-ratios'!BB32)&gt;'SK-ratios'!$Y32,0,10-10*LOG(1+('SK-ratios'!$U32-1)*(ABS('SK-ratios'!BB32)-'SK-ratios'!$AC32)/('SK-ratios'!$Y32-'SK-ratios'!$AC32))/LOG('SK-ratios'!$U32))/2,IF('SK-ratios'!BB32&gt;'SK-ratios'!$Y32,0,10-10*LOG(1+('SK-ratios'!$U32-1)*('SK-ratios'!BB32-'SK-ratios'!$AC32)/('SK-ratios'!$Y32-'SK-ratios'!$AC32))/LOG('SK-ratios'!$U32)))</f>
        <v>3.1572991168469793</v>
      </c>
      <c r="AT29" s="454">
        <f>IF('SK-ratios'!BC32&lt;0,IF(ABS('SK-ratios'!BC32)&gt;'SK-ratios'!$Y32,0,10-10*LOG(1+('SK-ratios'!$U32-1)*(ABS('SK-ratios'!BC32)-'SK-ratios'!$AC32)/('SK-ratios'!$Y32-'SK-ratios'!$AC32))/LOG('SK-ratios'!$U32))/2,IF('SK-ratios'!BC32&gt;'SK-ratios'!$Y32,0,10-10*LOG(1+('SK-ratios'!$U32-1)*('SK-ratios'!BC32-'SK-ratios'!$AC32)/('SK-ratios'!$Y32-'SK-ratios'!$AC32))/LOG('SK-ratios'!$U32)))</f>
        <v>0.94575494526880099</v>
      </c>
      <c r="AU29" s="454">
        <f>IF('SK-ratios'!BD32&lt;0,IF(ABS('SK-ratios'!BD32)&gt;'SK-ratios'!$Y32,0,10-10*LOG(1+('SK-ratios'!$U32-1)*(ABS('SK-ratios'!BD32)-'SK-ratios'!$AC32)/('SK-ratios'!$Y32-'SK-ratios'!$AC32))/LOG('SK-ratios'!$U32))/2,IF('SK-ratios'!BD32&gt;'SK-ratios'!$Y32,0,10-10*LOG(1+('SK-ratios'!$U32-1)*('SK-ratios'!BD32-'SK-ratios'!$AC32)/('SK-ratios'!$Y32-'SK-ratios'!$AC32))/LOG('SK-ratios'!$U32)))</f>
        <v>2.485397597330719</v>
      </c>
      <c r="AV29" s="454">
        <f>IF('SK-ratios'!BE32&lt;0,IF(ABS('SK-ratios'!BE32)&gt;'SK-ratios'!$Y32,0,10-10*LOG(1+('SK-ratios'!$U32-1)*(ABS('SK-ratios'!BE32)-'SK-ratios'!$AC32)/('SK-ratios'!$Y32-'SK-ratios'!$AC32))/LOG('SK-ratios'!$U32))/2,IF('SK-ratios'!BE32&gt;'SK-ratios'!$Y32,0,10-10*LOG(1+('SK-ratios'!$U32-1)*('SK-ratios'!BE32-'SK-ratios'!$AC32)/('SK-ratios'!$Y32-'SK-ratios'!$AC32))/LOG('SK-ratios'!$U32)))</f>
        <v>5.0734186994960231</v>
      </c>
      <c r="AW29" s="454">
        <f>IF('SK-ratios'!BF32&lt;0,IF(ABS('SK-ratios'!BF32)&gt;'SK-ratios'!$Y32,0,10-10*LOG(1+('SK-ratios'!$U32-1)*(ABS('SK-ratios'!BF32)-'SK-ratios'!$AC32)/('SK-ratios'!$Y32-'SK-ratios'!$AC32))/LOG('SK-ratios'!$U32))/2,IF('SK-ratios'!BF32&gt;'SK-ratios'!$Y32,0,10-10*LOG(1+('SK-ratios'!$U32-1)*('SK-ratios'!BF32-'SK-ratios'!$AC32)/('SK-ratios'!$Y32-'SK-ratios'!$AC32))/LOG('SK-ratios'!$U32)))</f>
        <v>1.1859641975953128</v>
      </c>
      <c r="AX29" s="454">
        <f>IF('SK-ratios'!BG32&lt;0,IF(ABS('SK-ratios'!BG32)&gt;'SK-ratios'!$Y32,0,10-10*LOG(1+('SK-ratios'!$U32-1)*(ABS('SK-ratios'!BG32)-'SK-ratios'!$AC32)/('SK-ratios'!$Y32-'SK-ratios'!$AC32))/LOG('SK-ratios'!$U32))/2,IF('SK-ratios'!BG32&gt;'SK-ratios'!$Y32,0,10-10*LOG(1+('SK-ratios'!$U32-1)*('SK-ratios'!BG32-'SK-ratios'!$AC32)/('SK-ratios'!$Y32-'SK-ratios'!$AC32))/LOG('SK-ratios'!$U32)))</f>
        <v>3.2298693640946814</v>
      </c>
      <c r="AY29" s="454">
        <f>IF('SK-ratios'!BH32&lt;0,IF(ABS('SK-ratios'!BH32)&gt;'SK-ratios'!$Y32,0,10-10*LOG(1+('SK-ratios'!$U32-1)*(ABS('SK-ratios'!BH32)-'SK-ratios'!$AC32)/('SK-ratios'!$Y32-'SK-ratios'!$AC32))/LOG('SK-ratios'!$U32))/2,IF('SK-ratios'!BH32&gt;'SK-ratios'!$Y32,0,10-10*LOG(1+('SK-ratios'!$U32-1)*('SK-ratios'!BH32-'SK-ratios'!$AC32)/('SK-ratios'!$Y32-'SK-ratios'!$AC32))/LOG('SK-ratios'!$U32)))</f>
        <v>7.2336253619009376</v>
      </c>
      <c r="AZ29" s="454">
        <f>IF('SK-ratios'!BI32&lt;0,IF(ABS('SK-ratios'!BI32)&gt;'SK-ratios'!$Y32,0,10-10*LOG(1+('SK-ratios'!$U32-1)*(ABS('SK-ratios'!BI32)-'SK-ratios'!$AC32)/('SK-ratios'!$Y32-'SK-ratios'!$AC32))/LOG('SK-ratios'!$U32))/2,IF('SK-ratios'!BI32&gt;'SK-ratios'!$Y32,0,10-10*LOG(1+('SK-ratios'!$U32-1)*('SK-ratios'!BI32-'SK-ratios'!$AC32)/('SK-ratios'!$Y32-'SK-ratios'!$AC32))/LOG('SK-ratios'!$U32)))</f>
        <v>1.6497840093804399</v>
      </c>
      <c r="BA29" s="454">
        <f>IF('SK-ratios'!BJ32&lt;0,IF(ABS('SK-ratios'!BJ32)&gt;'SK-ratios'!$Y32,0,10-10*LOG(1+('SK-ratios'!$U32-1)*(ABS('SK-ratios'!BJ32)-'SK-ratios'!$AC32)/('SK-ratios'!$Y32-'SK-ratios'!$AC32))/LOG('SK-ratios'!$U32))/2,IF('SK-ratios'!BJ32&gt;'SK-ratios'!$Y32,0,10-10*LOG(1+('SK-ratios'!$U32-1)*('SK-ratios'!BJ32-'SK-ratios'!$AC32)/('SK-ratios'!$Y32-'SK-ratios'!$AC32))/LOG('SK-ratios'!$U32)))</f>
        <v>3.4342796175397314</v>
      </c>
      <c r="BB29" s="454">
        <f>IF('SK-ratios'!BK32&lt;0,IF(ABS('SK-ratios'!BK32)&gt;'SK-ratios'!$Y32,0,10-10*LOG(1+('SK-ratios'!$U32-1)*(ABS('SK-ratios'!BK32)-'SK-ratios'!$AC32)/('SK-ratios'!$Y32-'SK-ratios'!$AC32))/LOG('SK-ratios'!$U32))/2,IF('SK-ratios'!BK32&gt;'SK-ratios'!$Y32,0,10-10*LOG(1+('SK-ratios'!$U32-1)*('SK-ratios'!BK32-'SK-ratios'!$AC32)/('SK-ratios'!$Y32-'SK-ratios'!$AC32))/LOG('SK-ratios'!$U32)))</f>
        <v>0.82834275135104107</v>
      </c>
      <c r="BC29" s="454">
        <f>IF('SK-ratios'!BL32&lt;0,IF(ABS('SK-ratios'!BL32)&gt;'SK-ratios'!$Y32,0,10-10*LOG(1+('SK-ratios'!$U32-1)*(ABS('SK-ratios'!BL32)-'SK-ratios'!$AC32)/('SK-ratios'!$Y32-'SK-ratios'!$AC32))/LOG('SK-ratios'!$U32))/2,IF('SK-ratios'!BL32&gt;'SK-ratios'!$Y32,0,10-10*LOG(1+('SK-ratios'!$U32-1)*('SK-ratios'!BL32-'SK-ratios'!$AC32)/('SK-ratios'!$Y32-'SK-ratios'!$AC32))/LOG('SK-ratios'!$U32)))</f>
        <v>0</v>
      </c>
      <c r="BD29" s="454">
        <f>IF('SK-ratios'!BM32&lt;0,IF(ABS('SK-ratios'!BM32)&gt;'SK-ratios'!$Y32,0,10-10*LOG(1+('SK-ratios'!$U32-1)*(ABS('SK-ratios'!BM32)-'SK-ratios'!$AC32)/('SK-ratios'!$Y32-'SK-ratios'!$AC32))/LOG('SK-ratios'!$U32))/2,IF('SK-ratios'!BM32&gt;'SK-ratios'!$Y32,0,10-10*LOG(1+('SK-ratios'!$U32-1)*('SK-ratios'!BM32-'SK-ratios'!$AC32)/('SK-ratios'!$Y32-'SK-ratios'!$AC32))/LOG('SK-ratios'!$U32)))</f>
        <v>0.24017553652877588</v>
      </c>
      <c r="BE29" s="454">
        <f>IF('SK-ratios'!BN32&lt;0,IF(ABS('SK-ratios'!BN32)&gt;'SK-ratios'!$Y32,0,10-10*LOG(1+('SK-ratios'!$U32-1)*(ABS('SK-ratios'!BN32)-'SK-ratios'!$AC32)/('SK-ratios'!$Y32-'SK-ratios'!$AC32))/LOG('SK-ratios'!$U32))/2,IF('SK-ratios'!BN32&gt;'SK-ratios'!$Y32,0,10-10*LOG(1+('SK-ratios'!$U32-1)*('SK-ratios'!BN32-'SK-ratios'!$AC32)/('SK-ratios'!$Y32-'SK-ratios'!$AC32))/LOG('SK-ratios'!$U32)))</f>
        <v>4.1406942878309065</v>
      </c>
      <c r="BF29" s="454">
        <f>IF('SK-ratios'!BO32&lt;0,IF(ABS('SK-ratios'!BO32)&gt;'SK-ratios'!$Y32,0,10-10*LOG(1+('SK-ratios'!$U32-1)*(ABS('SK-ratios'!BO32)-'SK-ratios'!$AC32)/('SK-ratios'!$Y32-'SK-ratios'!$AC32))/LOG('SK-ratios'!$U32))/2,IF('SK-ratios'!BO32&gt;'SK-ratios'!$Y32,0,10-10*LOG(1+('SK-ratios'!$U32-1)*('SK-ratios'!BO32-'SK-ratios'!$AC32)/('SK-ratios'!$Y32-'SK-ratios'!$AC32))/LOG('SK-ratios'!$U32)))</f>
        <v>2.7197106979151373</v>
      </c>
      <c r="BG29" s="454">
        <f>IF('SK-ratios'!BP32&lt;0,IF(ABS('SK-ratios'!BP32)&gt;'SK-ratios'!$Y32,0,10-10*LOG(1+('SK-ratios'!$U32-1)*(ABS('SK-ratios'!BP32)-'SK-ratios'!$AC32)/('SK-ratios'!$Y32-'SK-ratios'!$AC32))/LOG('SK-ratios'!$U32))/2,IF('SK-ratios'!BP32&gt;'SK-ratios'!$Y32,0,10-10*LOG(1+('SK-ratios'!$U32-1)*('SK-ratios'!BP32-'SK-ratios'!$AC32)/('SK-ratios'!$Y32-'SK-ratios'!$AC32))/LOG('SK-ratios'!$U32)))</f>
        <v>9.5153392590196617E-2</v>
      </c>
      <c r="BH29" s="454">
        <f>IF('SK-ratios'!BQ32&lt;0,IF(ABS('SK-ratios'!BQ32)&gt;'SK-ratios'!$Y32,0,10-10*LOG(1+('SK-ratios'!$U32-1)*(ABS('SK-ratios'!BQ32)-'SK-ratios'!$AC32)/('SK-ratios'!$Y32-'SK-ratios'!$AC32))/LOG('SK-ratios'!$U32))/2,IF('SK-ratios'!BQ32&gt;'SK-ratios'!$Y32,0,10-10*LOG(1+('SK-ratios'!$U32-1)*('SK-ratios'!BQ32-'SK-ratios'!$AC32)/('SK-ratios'!$Y32-'SK-ratios'!$AC32))/LOG('SK-ratios'!$U32)))</f>
        <v>1.7945885783413598</v>
      </c>
      <c r="BI29" s="454">
        <f>IF('SK-ratios'!BR32&lt;0,IF(ABS('SK-ratios'!BR32)&gt;'SK-ratios'!$Y32,0,10-10*LOG(1+('SK-ratios'!$U32-1)*(ABS('SK-ratios'!BR32)-'SK-ratios'!$AC32)/('SK-ratios'!$Y32-'SK-ratios'!$AC32))/LOG('SK-ratios'!$U32))/2,IF('SK-ratios'!BR32&gt;'SK-ratios'!$Y32,0,10-10*LOG(1+('SK-ratios'!$U32-1)*('SK-ratios'!BR32-'SK-ratios'!$AC32)/('SK-ratios'!$Y32-'SK-ratios'!$AC32))/LOG('SK-ratios'!$U32)))</f>
        <v>0</v>
      </c>
      <c r="BJ29" s="454">
        <f>IF('SK-ratios'!BS32&lt;0,IF(ABS('SK-ratios'!BS32)&gt;'SK-ratios'!$Y32,0,10-10*LOG(1+('SK-ratios'!$U32-1)*(ABS('SK-ratios'!BS32)-'SK-ratios'!$AC32)/('SK-ratios'!$Y32-'SK-ratios'!$AC32))/LOG('SK-ratios'!$U32))/2,IF('SK-ratios'!BS32&gt;'SK-ratios'!$Y32,0,10-10*LOG(1+('SK-ratios'!$U32-1)*('SK-ratios'!BS32-'SK-ratios'!$AC32)/('SK-ratios'!$Y32-'SK-ratios'!$AC32))/LOG('SK-ratios'!$U32)))</f>
        <v>0</v>
      </c>
      <c r="BK29" s="454">
        <f>IF('SK-ratios'!BT32&lt;0,IF(ABS('SK-ratios'!BT32)&gt;'SK-ratios'!$Y32,0,10-10*LOG(1+('SK-ratios'!$U32-1)*(ABS('SK-ratios'!BT32)-'SK-ratios'!$AC32)/('SK-ratios'!$Y32-'SK-ratios'!$AC32))/LOG('SK-ratios'!$U32))/2,IF('SK-ratios'!BT32&gt;'SK-ratios'!$Y32,0,10-10*LOG(1+('SK-ratios'!$U32-1)*('SK-ratios'!BT32-'SK-ratios'!$AC32)/('SK-ratios'!$Y32-'SK-ratios'!$AC32))/LOG('SK-ratios'!$U32)))</f>
        <v>3.3363003530937663</v>
      </c>
      <c r="BL29" s="454">
        <f>IF('SK-ratios'!BU32&lt;0,IF(ABS('SK-ratios'!BU32)&gt;'SK-ratios'!$Y32,0,10-10*LOG(1+('SK-ratios'!$U32-1)*(ABS('SK-ratios'!BU32)-'SK-ratios'!$AC32)/('SK-ratios'!$Y32-'SK-ratios'!$AC32))/LOG('SK-ratios'!$U32))/2,IF('SK-ratios'!BU32&gt;'SK-ratios'!$Y32,0,10-10*LOG(1+('SK-ratios'!$U32-1)*('SK-ratios'!BU32-'SK-ratios'!$AC32)/('SK-ratios'!$Y32-'SK-ratios'!$AC32))/LOG('SK-ratios'!$U32)))</f>
        <v>0</v>
      </c>
      <c r="BM29" s="454">
        <f>IF('SK-ratios'!BV32&lt;0,IF(ABS('SK-ratios'!BV32)&gt;'SK-ratios'!$Y32,0,10-10*LOG(1+('SK-ratios'!$U32-1)*(ABS('SK-ratios'!BV32)-'SK-ratios'!$AC32)/('SK-ratios'!$Y32-'SK-ratios'!$AC32))/LOG('SK-ratios'!$U32))/2,IF('SK-ratios'!BV32&gt;'SK-ratios'!$Y32,0,10-10*LOG(1+('SK-ratios'!$U32-1)*('SK-ratios'!BV32-'SK-ratios'!$AC32)/('SK-ratios'!$Y32-'SK-ratios'!$AC32))/LOG('SK-ratios'!$U32)))</f>
        <v>3.3495518799784305</v>
      </c>
      <c r="BN29" s="454">
        <f>IF('SK-ratios'!BW32&lt;0,IF(ABS('SK-ratios'!BW32)&gt;'SK-ratios'!$Y32,0,10-10*LOG(1+('SK-ratios'!$U32-1)*(ABS('SK-ratios'!BW32)-'SK-ratios'!$AC32)/('SK-ratios'!$Y32-'SK-ratios'!$AC32))/LOG('SK-ratios'!$U32))/2,IF('SK-ratios'!BW32&gt;'SK-ratios'!$Y32,0,10-10*LOG(1+('SK-ratios'!$U32-1)*('SK-ratios'!BW32-'SK-ratios'!$AC32)/('SK-ratios'!$Y32-'SK-ratios'!$AC32))/LOG('SK-ratios'!$U32)))</f>
        <v>0.52720676152495471</v>
      </c>
      <c r="BO29" s="454">
        <f>IF('SK-ratios'!BX32&lt;0,IF(ABS('SK-ratios'!BX32)&gt;'SK-ratios'!$Y32,0,10-10*LOG(1+('SK-ratios'!$U32-1)*(ABS('SK-ratios'!BX32)-'SK-ratios'!$AC32)/('SK-ratios'!$Y32-'SK-ratios'!$AC32))/LOG('SK-ratios'!$U32))/2,IF('SK-ratios'!BX32&gt;'SK-ratios'!$Y32,0,10-10*LOG(1+('SK-ratios'!$U32-1)*('SK-ratios'!BX32-'SK-ratios'!$AC32)/('SK-ratios'!$Y32-'SK-ratios'!$AC32))/LOG('SK-ratios'!$U32)))</f>
        <v>0</v>
      </c>
      <c r="BP29" s="454">
        <f>IF('SK-ratios'!BY32&lt;0,IF(ABS('SK-ratios'!BY32)&gt;'SK-ratios'!$Y32,0,10-10*LOG(1+('SK-ratios'!$U32-1)*(ABS('SK-ratios'!BY32)-'SK-ratios'!$AC32)/('SK-ratios'!$Y32-'SK-ratios'!$AC32))/LOG('SK-ratios'!$U32))/2,IF('SK-ratios'!BY32&gt;'SK-ratios'!$Y32,0,10-10*LOG(1+('SK-ratios'!$U32-1)*('SK-ratios'!BY32-'SK-ratios'!$AC32)/('SK-ratios'!$Y32-'SK-ratios'!$AC32))/LOG('SK-ratios'!$U32)))</f>
        <v>0</v>
      </c>
      <c r="BQ29" s="454">
        <f>IF('SK-ratios'!BZ32&lt;0,IF(ABS('SK-ratios'!BZ32)&gt;'SK-ratios'!$Y32,0,10-10*LOG(1+('SK-ratios'!$U32-1)*(ABS('SK-ratios'!BZ32)-'SK-ratios'!$AC32)/('SK-ratios'!$Y32-'SK-ratios'!$AC32))/LOG('SK-ratios'!$U32))/2,IF('SK-ratios'!BZ32&gt;'SK-ratios'!$Y32,0,10-10*LOG(1+('SK-ratios'!$U32-1)*('SK-ratios'!BZ32-'SK-ratios'!$AC32)/('SK-ratios'!$Y32-'SK-ratios'!$AC32))/LOG('SK-ratios'!$U32)))</f>
        <v>2.7247135183616713</v>
      </c>
      <c r="BR29" s="454">
        <f>IF('SK-ratios'!CA32&lt;0,IF(ABS('SK-ratios'!CA32)&gt;'SK-ratios'!$Y32,0,10-10*LOG(1+('SK-ratios'!$U32-1)*(ABS('SK-ratios'!CA32)-'SK-ratios'!$AC32)/('SK-ratios'!$Y32-'SK-ratios'!$AC32))/LOG('SK-ratios'!$U32))/2,IF('SK-ratios'!CA32&gt;'SK-ratios'!$Y32,0,10-10*LOG(1+('SK-ratios'!$U32-1)*('SK-ratios'!CA32-'SK-ratios'!$AC32)/('SK-ratios'!$Y32-'SK-ratios'!$AC32))/LOG('SK-ratios'!$U32)))</f>
        <v>0.37966260452093437</v>
      </c>
      <c r="BS29" s="454">
        <f>IF('SK-ratios'!CB32&lt;0,IF(ABS('SK-ratios'!CB32)&gt;'SK-ratios'!$Y32,0,10-10*LOG(1+('SK-ratios'!$U32-1)*(ABS('SK-ratios'!CB32)-'SK-ratios'!$AC32)/('SK-ratios'!$Y32-'SK-ratios'!$AC32))/LOG('SK-ratios'!$U32))/2,IF('SK-ratios'!CB32&gt;'SK-ratios'!$Y32,0,10-10*LOG(1+('SK-ratios'!$U32-1)*('SK-ratios'!CB32-'SK-ratios'!$AC32)/('SK-ratios'!$Y32-'SK-ratios'!$AC32))/LOG('SK-ratios'!$U32)))</f>
        <v>0</v>
      </c>
      <c r="BT29" s="454">
        <f>IF('SK-ratios'!CC32&lt;0,IF(ABS('SK-ratios'!CC32)&gt;'SK-ratios'!$Y32,0,10-10*LOG(1+('SK-ratios'!$U32-1)*(ABS('SK-ratios'!CC32)-'SK-ratios'!$AC32)/('SK-ratios'!$Y32-'SK-ratios'!$AC32))/LOG('SK-ratios'!$U32))/2,IF('SK-ratios'!CC32&gt;'SK-ratios'!$Y32,0,10-10*LOG(1+('SK-ratios'!$U32-1)*('SK-ratios'!CC32-'SK-ratios'!$AC32)/('SK-ratios'!$Y32-'SK-ratios'!$AC32))/LOG('SK-ratios'!$U32)))</f>
        <v>0</v>
      </c>
      <c r="BU29" s="454">
        <f>IF('SK-ratios'!CD32&lt;0,IF(ABS('SK-ratios'!CD32)&gt;'SK-ratios'!$Y32,0,10-10*LOG(1+('SK-ratios'!$U32-1)*(ABS('SK-ratios'!CD32)-'SK-ratios'!$AC32)/('SK-ratios'!$Y32-'SK-ratios'!$AC32))/LOG('SK-ratios'!$U32))/2,IF('SK-ratios'!CD32&gt;'SK-ratios'!$Y32,0,10-10*LOG(1+('SK-ratios'!$U32-1)*('SK-ratios'!CD32-'SK-ratios'!$AC32)/('SK-ratios'!$Y32-'SK-ratios'!$AC32))/LOG('SK-ratios'!$U32)))</f>
        <v>1.2871298861102751</v>
      </c>
      <c r="BV29" s="454">
        <f>IF('SK-ratios'!CE32&lt;0,IF(ABS('SK-ratios'!CE32)&gt;'SK-ratios'!$Y32,0,10-10*LOG(1+('SK-ratios'!$U32-1)*(ABS('SK-ratios'!CE32)-'SK-ratios'!$AC32)/('SK-ratios'!$Y32-'SK-ratios'!$AC32))/LOG('SK-ratios'!$U32))/2,IF('SK-ratios'!CE32&gt;'SK-ratios'!$Y32,0,10-10*LOG(1+('SK-ratios'!$U32-1)*('SK-ratios'!CE32-'SK-ratios'!$AC32)/('SK-ratios'!$Y32-'SK-ratios'!$AC32))/LOG('SK-ratios'!$U32)))</f>
        <v>0</v>
      </c>
      <c r="BW29" s="454">
        <f>IF('SK-ratios'!CF32&lt;0,IF(ABS('SK-ratios'!CF32)&gt;'SK-ratios'!$Y32,0,10-10*LOG(1+('SK-ratios'!$U32-1)*(ABS('SK-ratios'!CF32)-'SK-ratios'!$AC32)/('SK-ratios'!$Y32-'SK-ratios'!$AC32))/LOG('SK-ratios'!$U32))/2,IF('SK-ratios'!CF32&gt;'SK-ratios'!$Y32,0,10-10*LOG(1+('SK-ratios'!$U32-1)*('SK-ratios'!CF32-'SK-ratios'!$AC32)/('SK-ratios'!$Y32-'SK-ratios'!$AC32))/LOG('SK-ratios'!$U32)))</f>
        <v>0</v>
      </c>
      <c r="BX29" s="454">
        <f>IF('SK-ratios'!CG32&lt;0,IF(ABS('SK-ratios'!CG32)&gt;'SK-ratios'!$Y32,0,10-10*LOG(1+('SK-ratios'!$U32-1)*(ABS('SK-ratios'!CG32)-'SK-ratios'!$AC32)/('SK-ratios'!$Y32-'SK-ratios'!$AC32))/LOG('SK-ratios'!$U32))/2,IF('SK-ratios'!CG32&gt;'SK-ratios'!$Y32,0,10-10*LOG(1+('SK-ratios'!$U32-1)*('SK-ratios'!CG32-'SK-ratios'!$AC32)/('SK-ratios'!$Y32-'SK-ratios'!$AC32))/LOG('SK-ratios'!$U32)))</f>
        <v>0</v>
      </c>
      <c r="BY29" s="454">
        <f>IF('SK-ratios'!CH32&lt;0,IF(ABS('SK-ratios'!CH32)&gt;'SK-ratios'!$Y32,0,10-10*LOG(1+('SK-ratios'!$U32-1)*(ABS('SK-ratios'!CH32)-'SK-ratios'!$AC32)/('SK-ratios'!$Y32-'SK-ratios'!$AC32))/LOG('SK-ratios'!$U32))/2,IF('SK-ratios'!CH32&gt;'SK-ratios'!$Y32,0,10-10*LOG(1+('SK-ratios'!$U32-1)*('SK-ratios'!CH32-'SK-ratios'!$AC32)/('SK-ratios'!$Y32-'SK-ratios'!$AC32))/LOG('SK-ratios'!$U32)))</f>
        <v>1.8905949016676598</v>
      </c>
      <c r="BZ29" s="454">
        <f>IF('SK-ratios'!CI32&lt;0,IF(ABS('SK-ratios'!CI32)&gt;'SK-ratios'!$Y32,0,10-10*LOG(1+('SK-ratios'!$U32-1)*(ABS('SK-ratios'!CI32)-'SK-ratios'!$AC32)/('SK-ratios'!$Y32-'SK-ratios'!$AC32))/LOG('SK-ratios'!$U32))/2,IF('SK-ratios'!CI32&gt;'SK-ratios'!$Y32,0,10-10*LOG(1+('SK-ratios'!$U32-1)*('SK-ratios'!CI32-'SK-ratios'!$AC32)/('SK-ratios'!$Y32-'SK-ratios'!$AC32))/LOG('SK-ratios'!$U32)))</f>
        <v>2.2315546616763919</v>
      </c>
      <c r="CA29" s="454">
        <f>IF('SK-ratios'!CJ32&lt;0,IF(ABS('SK-ratios'!CJ32)&gt;'SK-ratios'!$Y32,0,10-10*LOG(1+('SK-ratios'!$U32-1)*(ABS('SK-ratios'!CJ32)-'SK-ratios'!$AC32)/('SK-ratios'!$Y32-'SK-ratios'!$AC32))/LOG('SK-ratios'!$U32))/2,IF('SK-ratios'!CJ32&gt;'SK-ratios'!$Y32,0,10-10*LOG(1+('SK-ratios'!$U32-1)*('SK-ratios'!CJ32-'SK-ratios'!$AC32)/('SK-ratios'!$Y32-'SK-ratios'!$AC32))/LOG('SK-ratios'!$U32)))</f>
        <v>0</v>
      </c>
      <c r="CB29" s="454">
        <f>IF('SK-ratios'!CK32&lt;0,IF(ABS('SK-ratios'!CK32)&gt;'SK-ratios'!$Y32,0,10-10*LOG(1+('SK-ratios'!$U32-1)*(ABS('SK-ratios'!CK32)-'SK-ratios'!$AC32)/('SK-ratios'!$Y32-'SK-ratios'!$AC32))/LOG('SK-ratios'!$U32))/2,IF('SK-ratios'!CK32&gt;'SK-ratios'!$Y32,0,10-10*LOG(1+('SK-ratios'!$U32-1)*('SK-ratios'!CK32-'SK-ratios'!$AC32)/('SK-ratios'!$Y32-'SK-ratios'!$AC32))/LOG('SK-ratios'!$U32)))</f>
        <v>3.278453711023082</v>
      </c>
      <c r="CC29" s="454">
        <f>IF('SK-ratios'!CL32&lt;0,IF(ABS('SK-ratios'!CL32)&gt;'SK-ratios'!$Y32,0,10-10*LOG(1+('SK-ratios'!$U32-1)*(ABS('SK-ratios'!CL32)-'SK-ratios'!$AC32)/('SK-ratios'!$Y32-'SK-ratios'!$AC32))/LOG('SK-ratios'!$U32))/2,IF('SK-ratios'!CL32&gt;'SK-ratios'!$Y32,0,10-10*LOG(1+('SK-ratios'!$U32-1)*('SK-ratios'!CL32-'SK-ratios'!$AC32)/('SK-ratios'!$Y32-'SK-ratios'!$AC32))/LOG('SK-ratios'!$U32)))</f>
        <v>4.485060779374896</v>
      </c>
      <c r="CD29" s="454">
        <f>IF('SK-ratios'!CM32&lt;0,IF(ABS('SK-ratios'!CM32)&gt;'SK-ratios'!$Y32,0,10-10*LOG(1+('SK-ratios'!$U32-1)*(ABS('SK-ratios'!CM32)-'SK-ratios'!$AC32)/('SK-ratios'!$Y32-'SK-ratios'!$AC32))/LOG('SK-ratios'!$U32))/2,IF('SK-ratios'!CM32&gt;'SK-ratios'!$Y32,0,10-10*LOG(1+('SK-ratios'!$U32-1)*('SK-ratios'!CM32-'SK-ratios'!$AC32)/('SK-ratios'!$Y32-'SK-ratios'!$AC32))/LOG('SK-ratios'!$U32)))</f>
        <v>2.4918277502678219</v>
      </c>
      <c r="CE29" s="454">
        <f>IF('SK-ratios'!CN32&lt;0,IF(ABS('SK-ratios'!CN32)&gt;'SK-ratios'!$Y32,0,10-10*LOG(1+('SK-ratios'!$U32-1)*(ABS('SK-ratios'!CN32)-'SK-ratios'!$AC32)/('SK-ratios'!$Y32-'SK-ratios'!$AC32))/LOG('SK-ratios'!$U32))/2,IF('SK-ratios'!CN32&gt;'SK-ratios'!$Y32,0,10-10*LOG(1+('SK-ratios'!$U32-1)*('SK-ratios'!CN32-'SK-ratios'!$AC32)/('SK-ratios'!$Y32-'SK-ratios'!$AC32))/LOG('SK-ratios'!$U32)))</f>
        <v>0</v>
      </c>
      <c r="CF29" s="454">
        <f>IF('SK-ratios'!CO32&lt;0,IF(ABS('SK-ratios'!CO32)&gt;'SK-ratios'!$Y32,0,10-10*LOG(1+('SK-ratios'!$U32-1)*(ABS('SK-ratios'!CO32)-'SK-ratios'!$AC32)/('SK-ratios'!$Y32-'SK-ratios'!$AC32))/LOG('SK-ratios'!$U32))/2,IF('SK-ratios'!CO32&gt;'SK-ratios'!$Y32,0,10-10*LOG(1+('SK-ratios'!$U32-1)*('SK-ratios'!CO32-'SK-ratios'!$AC32)/('SK-ratios'!$Y32-'SK-ratios'!$AC32))/LOG('SK-ratios'!$U32)))</f>
        <v>3.3186707220905225</v>
      </c>
      <c r="CG29" s="454">
        <f>IF('SK-ratios'!CP32&lt;0,IF(ABS('SK-ratios'!CP32)&gt;'SK-ratios'!$Y32,0,10-10*LOG(1+('SK-ratios'!$U32-1)*(ABS('SK-ratios'!CP32)-'SK-ratios'!$AC32)/('SK-ratios'!$Y32-'SK-ratios'!$AC32))/LOG('SK-ratios'!$U32))/2,IF('SK-ratios'!CP32&gt;'SK-ratios'!$Y32,0,10-10*LOG(1+('SK-ratios'!$U32-1)*('SK-ratios'!CP32-'SK-ratios'!$AC32)/('SK-ratios'!$Y32-'SK-ratios'!$AC32))/LOG('SK-ratios'!$U32)))</f>
        <v>0.38984358936930086</v>
      </c>
      <c r="CH29" s="454">
        <f>IF('SK-ratios'!CQ32&lt;0,IF(ABS('SK-ratios'!CQ32)&gt;'SK-ratios'!$Y32,0,10-10*LOG(1+('SK-ratios'!$U32-1)*(ABS('SK-ratios'!CQ32)-'SK-ratios'!$AC32)/('SK-ratios'!$Y32-'SK-ratios'!$AC32))/LOG('SK-ratios'!$U32))/2,IF('SK-ratios'!CQ32&gt;'SK-ratios'!$Y32,0,10-10*LOG(1+('SK-ratios'!$U32-1)*('SK-ratios'!CQ32-'SK-ratios'!$AC32)/('SK-ratios'!$Y32-'SK-ratios'!$AC32))/LOG('SK-ratios'!$U32)))</f>
        <v>4.4166037499964625</v>
      </c>
      <c r="CI29" s="454">
        <f>IF('SK-ratios'!CR32&lt;0,IF(ABS('SK-ratios'!CR32)&gt;'SK-ratios'!$Y32,0,10-10*LOG(1+('SK-ratios'!$U32-1)*(ABS('SK-ratios'!CR32)-'SK-ratios'!$AC32)/('SK-ratios'!$Y32-'SK-ratios'!$AC32))/LOG('SK-ratios'!$U32))/2,IF('SK-ratios'!CR32&gt;'SK-ratios'!$Y32,0,10-10*LOG(1+('SK-ratios'!$U32-1)*('SK-ratios'!CR32-'SK-ratios'!$AC32)/('SK-ratios'!$Y32-'SK-ratios'!$AC32))/LOG('SK-ratios'!$U32)))</f>
        <v>1.3126306672948775</v>
      </c>
      <c r="CJ29" s="454">
        <f>IF('SK-ratios'!CS32&lt;0,IF(ABS('SK-ratios'!CS32)&gt;'SK-ratios'!$Y32,0,10-10*LOG(1+('SK-ratios'!$U32-1)*(ABS('SK-ratios'!CS32)-'SK-ratios'!$AC32)/('SK-ratios'!$Y32-'SK-ratios'!$AC32))/LOG('SK-ratios'!$U32))/2,IF('SK-ratios'!CS32&gt;'SK-ratios'!$Y32,0,10-10*LOG(1+('SK-ratios'!$U32-1)*('SK-ratios'!CS32-'SK-ratios'!$AC32)/('SK-ratios'!$Y32-'SK-ratios'!$AC32))/LOG('SK-ratios'!$U32)))</f>
        <v>0</v>
      </c>
      <c r="CK29" s="454">
        <f>IF('SK-ratios'!CT32&lt;0,IF(ABS('SK-ratios'!CT32)&gt;'SK-ratios'!$Y32,0,10-10*LOG(1+('SK-ratios'!$U32-1)*(ABS('SK-ratios'!CT32)-'SK-ratios'!$AC32)/('SK-ratios'!$Y32-'SK-ratios'!$AC32))/LOG('SK-ratios'!$U32))/2,IF('SK-ratios'!CT32&gt;'SK-ratios'!$Y32,0,10-10*LOG(1+('SK-ratios'!$U32-1)*('SK-ratios'!CT32-'SK-ratios'!$AC32)/('SK-ratios'!$Y32-'SK-ratios'!$AC32))/LOG('SK-ratios'!$U32)))</f>
        <v>3.6532430789799388</v>
      </c>
      <c r="CL29" s="454">
        <f>IF('SK-ratios'!CU32&lt;0,IF(ABS('SK-ratios'!CU32)&gt;'SK-ratios'!$Y32,0,10-10*LOG(1+('SK-ratios'!$U32-1)*(ABS('SK-ratios'!CU32)-'SK-ratios'!$AC32)/('SK-ratios'!$Y32-'SK-ratios'!$AC32))/LOG('SK-ratios'!$U32))/2,IF('SK-ratios'!CU32&gt;'SK-ratios'!$Y32,0,10-10*LOG(1+('SK-ratios'!$U32-1)*('SK-ratios'!CU32-'SK-ratios'!$AC32)/('SK-ratios'!$Y32-'SK-ratios'!$AC32))/LOG('SK-ratios'!$U32)))</f>
        <v>0</v>
      </c>
      <c r="CM29" s="454">
        <f>IF('SK-ratios'!CV32&lt;0,IF(ABS('SK-ratios'!CV32)&gt;'SK-ratios'!$Y32,0,10-10*LOG(1+('SK-ratios'!$U32-1)*(ABS('SK-ratios'!CV32)-'SK-ratios'!$AC32)/('SK-ratios'!$Y32-'SK-ratios'!$AC32))/LOG('SK-ratios'!$U32))/2,IF('SK-ratios'!CV32&gt;'SK-ratios'!$Y32,0,10-10*LOG(1+('SK-ratios'!$U32-1)*('SK-ratios'!CV32-'SK-ratios'!$AC32)/('SK-ratios'!$Y32-'SK-ratios'!$AC32))/LOG('SK-ratios'!$U32)))</f>
        <v>9.5015045860004648</v>
      </c>
      <c r="CN29" s="454">
        <f>IF('SK-ratios'!CW32&lt;0,IF(ABS('SK-ratios'!CW32)&gt;'SK-ratios'!$Y32,0,10-10*LOG(1+('SK-ratios'!$U32-1)*(ABS('SK-ratios'!CW32)-'SK-ratios'!$AC32)/('SK-ratios'!$Y32-'SK-ratios'!$AC32))/LOG('SK-ratios'!$U32))/2,IF('SK-ratios'!CW32&gt;'SK-ratios'!$Y32,0,10-10*LOG(1+('SK-ratios'!$U32-1)*('SK-ratios'!CW32-'SK-ratios'!$AC32)/('SK-ratios'!$Y32-'SK-ratios'!$AC32))/LOG('SK-ratios'!$U32)))</f>
        <v>0</v>
      </c>
      <c r="CO29" s="454">
        <f>IF('SK-ratios'!CX32&lt;0,IF(ABS('SK-ratios'!CX32)&gt;'SK-ratios'!$Y32,0,10-10*LOG(1+('SK-ratios'!$U32-1)*(ABS('SK-ratios'!CX32)-'SK-ratios'!$AC32)/('SK-ratios'!$Y32-'SK-ratios'!$AC32))/LOG('SK-ratios'!$U32))/2,IF('SK-ratios'!CX32&gt;'SK-ratios'!$Y32,0,10-10*LOG(1+('SK-ratios'!$U32-1)*('SK-ratios'!CX32-'SK-ratios'!$AC32)/('SK-ratios'!$Y32-'SK-ratios'!$AC32))/LOG('SK-ratios'!$U32)))</f>
        <v>2.9375728783244908</v>
      </c>
      <c r="CP29" s="454">
        <f>IF('SK-ratios'!CY32&lt;0,IF(ABS('SK-ratios'!CY32)&gt;'SK-ratios'!$Y32,0,10-10*LOG(1+('SK-ratios'!$U32-1)*(ABS('SK-ratios'!CY32)-'SK-ratios'!$AC32)/('SK-ratios'!$Y32-'SK-ratios'!$AC32))/LOG('SK-ratios'!$U32))/2,IF('SK-ratios'!CY32&gt;'SK-ratios'!$Y32,0,10-10*LOG(1+('SK-ratios'!$U32-1)*('SK-ratios'!CY32-'SK-ratios'!$AC32)/('SK-ratios'!$Y32-'SK-ratios'!$AC32))/LOG('SK-ratios'!$U32)))</f>
        <v>0</v>
      </c>
      <c r="CQ29" s="454">
        <f>IF('SK-ratios'!CZ32&lt;0,IF(ABS('SK-ratios'!CZ32)&gt;'SK-ratios'!$Y32,0,10-10*LOG(1+('SK-ratios'!$U32-1)*(ABS('SK-ratios'!CZ32)-'SK-ratios'!$AC32)/('SK-ratios'!$Y32-'SK-ratios'!$AC32))/LOG('SK-ratios'!$U32))/2,IF('SK-ratios'!CZ32&gt;'SK-ratios'!$Y32,0,10-10*LOG(1+('SK-ratios'!$U32-1)*('SK-ratios'!CZ32-'SK-ratios'!$AC32)/('SK-ratios'!$Y32-'SK-ratios'!$AC32))/LOG('SK-ratios'!$U32)))</f>
        <v>0.17440493529679202</v>
      </c>
      <c r="CR29" s="454">
        <f>IF('SK-ratios'!DA32&lt;0,IF(ABS('SK-ratios'!DA32)&gt;'SK-ratios'!$Y32,0,10-10*LOG(1+('SK-ratios'!$U32-1)*(ABS('SK-ratios'!DA32)-'SK-ratios'!$AC32)/('SK-ratios'!$Y32-'SK-ratios'!$AC32))/LOG('SK-ratios'!$U32))/2,IF('SK-ratios'!DA32&gt;'SK-ratios'!$Y32,0,10-10*LOG(1+('SK-ratios'!$U32-1)*('SK-ratios'!DA32-'SK-ratios'!$AC32)/('SK-ratios'!$Y32-'SK-ratios'!$AC32))/LOG('SK-ratios'!$U32)))</f>
        <v>2.2714651969704613</v>
      </c>
      <c r="CS29" s="454">
        <f>IF('SK-ratios'!DB32&lt;0,IF(ABS('SK-ratios'!DB32)&gt;'SK-ratios'!$Y32,0,10-10*LOG(1+('SK-ratios'!$U32-1)*(ABS('SK-ratios'!DB32)-'SK-ratios'!$AC32)/('SK-ratios'!$Y32-'SK-ratios'!$AC32))/LOG('SK-ratios'!$U32))/2,IF('SK-ratios'!DB32&gt;'SK-ratios'!$Y32,0,10-10*LOG(1+('SK-ratios'!$U32-1)*('SK-ratios'!DB32-'SK-ratios'!$AC32)/('SK-ratios'!$Y32-'SK-ratios'!$AC32))/LOG('SK-ratios'!$U32)))</f>
        <v>7.6536209044077097E-2</v>
      </c>
      <c r="CT29" s="454">
        <f>IF('SK-ratios'!DC32&lt;0,IF(ABS('SK-ratios'!DC32)&gt;'SK-ratios'!$Y32,0,10-10*LOG(1+('SK-ratios'!$U32-1)*(ABS('SK-ratios'!DC32)-'SK-ratios'!$AC32)/('SK-ratios'!$Y32-'SK-ratios'!$AC32))/LOG('SK-ratios'!$U32))/2,IF('SK-ratios'!DC32&gt;'SK-ratios'!$Y32,0,10-10*LOG(1+('SK-ratios'!$U32-1)*('SK-ratios'!DC32-'SK-ratios'!$AC32)/('SK-ratios'!$Y32-'SK-ratios'!$AC32))/LOG('SK-ratios'!$U32)))</f>
        <v>0</v>
      </c>
      <c r="CU29" s="454">
        <f>IF('SK-ratios'!DD32&lt;0,IF(ABS('SK-ratios'!DD32)&gt;'SK-ratios'!$Y32,0,10-10*LOG(1+('SK-ratios'!$U32-1)*(ABS('SK-ratios'!DD32)-'SK-ratios'!$AC32)/('SK-ratios'!$Y32-'SK-ratios'!$AC32))/LOG('SK-ratios'!$U32))/2,IF('SK-ratios'!DD32&gt;'SK-ratios'!$Y32,0,10-10*LOG(1+('SK-ratios'!$U32-1)*('SK-ratios'!DD32-'SK-ratios'!$AC32)/('SK-ratios'!$Y32-'SK-ratios'!$AC32))/LOG('SK-ratios'!$U32)))</f>
        <v>2.54707664446516</v>
      </c>
      <c r="CV29" s="454">
        <f>IF('SK-ratios'!DE32&lt;0,IF(ABS('SK-ratios'!DE32)&gt;'SK-ratios'!$Y32,0,10-10*LOG(1+('SK-ratios'!$U32-1)*(ABS('SK-ratios'!DE32)-'SK-ratios'!$AC32)/('SK-ratios'!$Y32-'SK-ratios'!$AC32))/LOG('SK-ratios'!$U32))/2,IF('SK-ratios'!DE32&gt;'SK-ratios'!$Y32,0,10-10*LOG(1+('SK-ratios'!$U32-1)*('SK-ratios'!DE32-'SK-ratios'!$AC32)/('SK-ratios'!$Y32-'SK-ratios'!$AC32))/LOG('SK-ratios'!$U32)))</f>
        <v>3.2335167241750398</v>
      </c>
      <c r="CW29" s="454">
        <f>IF('SK-ratios'!DF32&lt;0,IF(ABS('SK-ratios'!DF32)&gt;'SK-ratios'!$Y32,0,10-10*LOG(1+('SK-ratios'!$U32-1)*(ABS('SK-ratios'!DF32)-'SK-ratios'!$AC32)/('SK-ratios'!$Y32-'SK-ratios'!$AC32))/LOG('SK-ratios'!$U32))/2,IF('SK-ratios'!DF32&gt;'SK-ratios'!$Y32,0,10-10*LOG(1+('SK-ratios'!$U32-1)*('SK-ratios'!DF32-'SK-ratios'!$AC32)/('SK-ratios'!$Y32-'SK-ratios'!$AC32))/LOG('SK-ratios'!$U32)))</f>
        <v>0</v>
      </c>
      <c r="CX29" s="454">
        <f>IF('SK-ratios'!DG32&lt;0,IF(ABS('SK-ratios'!DG32)&gt;'SK-ratios'!$Y32,0,10-10*LOG(1+('SK-ratios'!$U32-1)*(ABS('SK-ratios'!DG32)-'SK-ratios'!$AC32)/('SK-ratios'!$Y32-'SK-ratios'!$AC32))/LOG('SK-ratios'!$U32))/2,IF('SK-ratios'!DG32&gt;'SK-ratios'!$Y32,0,10-10*LOG(1+('SK-ratios'!$U32-1)*('SK-ratios'!DG32-'SK-ratios'!$AC32)/('SK-ratios'!$Y32-'SK-ratios'!$AC32))/LOG('SK-ratios'!$U32)))</f>
        <v>0</v>
      </c>
      <c r="CZ29" s="558"/>
      <c r="DA29" s="454">
        <f t="array" ref="DA29">SUMPRODUCT(IF(($W$3:$CX$3=DA$3)*($W$2:$CX$2=DA$2),$W29:$CX29),IF(($W$3:$CX$3=DA$3)*($W$2:$CX$2=DA$2),$W$36:$CX$36))/SUM(IF(($W$3:$CX$3=DA$3)*($W$2:$CX$2=DA$2),$W$36:$CX$36))</f>
        <v>3.5417380126487736</v>
      </c>
      <c r="DB29" s="454">
        <f t="array" ref="DB29">SUMPRODUCT(IF(($W$3:$CX$3=DB$3)*($W$2:$CX$2=DB$2),$W29:$CX29),IF(($W$3:$CX$3=DB$3)*($W$2:$CX$2=DB$2),$W$36:$CX$36))/SUM(IF(($W$3:$CX$3=DB$3)*($W$2:$CX$2=DB$2),$W$36:$CX$36))</f>
        <v>1.273207783883832</v>
      </c>
      <c r="DC29" s="454">
        <f t="array" ref="DC29">SUMPRODUCT(IF(($W$3:$CX$3=DC$3)*($W$2:$CX$2=DC$2),$W29:$CX29),IF(($W$3:$CX$3=DC$3)*($W$2:$CX$2=DC$2),$W$36:$CX$36))/SUM(IF(($W$3:$CX$3=DC$3)*($W$2:$CX$2=DC$2),$W$36:$CX$36))</f>
        <v>2.0621262553600115</v>
      </c>
      <c r="DD29" s="454">
        <f t="array" ref="DD29">SUMPRODUCT(IF(($W$3:$CX$3=DD$3)*($W$2:$CX$2=DD$2),$W29:$CX29),IF(($W$3:$CX$3=DD$3)*($W$2:$CX$2=DD$2),$W$36:$CX$36))/SUM(IF(($W$3:$CX$3=DD$3)*($W$2:$CX$2=DD$2),$W$36:$CX$36))</f>
        <v>1.9061338071329741</v>
      </c>
      <c r="DE29" s="454">
        <f t="array" ref="DE29">SUMPRODUCT(IF(($W$3:$CX$3=DE$3)*($W$2:$CX$2=DE$2),$W29:$CX29),IF(($W$3:$CX$3=DE$3)*($W$2:$CX$2=DE$2),$W$36:$CX$36))/SUM(IF(($W$3:$CX$3=DE$3)*($W$2:$CX$2=DE$2),$W$36:$CX$36))</f>
        <v>0.76532277686311267</v>
      </c>
      <c r="DF29" s="454">
        <f t="array" ref="DF29">SUMPRODUCT(IF(($W$3:$CX$3=DF$3)*($W$2:$CX$2=DF$2),$W29:$CX29),IF(($W$3:$CX$3=DF$3)*($W$2:$CX$2=DF$2),$W$36:$CX$36))/SUM(IF(($W$3:$CX$3=DF$3)*($W$2:$CX$2=DF$2),$W$36:$CX$36))</f>
        <v>1.8169271878664435</v>
      </c>
      <c r="DG29" s="454">
        <f t="array" ref="DG29">SUMPRODUCT(IF(($W$3:$CX$3=DG$3)*($W$2:$CX$2=DG$2),$W29:$CX29),IF(($W$3:$CX$3=DG$3)*($W$2:$CX$2=DG$2),$W$36:$CX$36))/SUM(IF(($W$3:$CX$3=DG$3)*($W$2:$CX$2=DG$2),$W$36:$CX$36))</f>
        <v>0</v>
      </c>
      <c r="DH29" s="454">
        <f t="array" ref="DH29">SUMPRODUCT(IF(($W$3:$CX$3=DH$3)*($W$2:$CX$2=DH$2),$W29:$CX29),IF(($W$3:$CX$3=DH$3)*($W$2:$CX$2=DH$2),$W$36:$CX$36))/SUM(IF(($W$3:$CX$3=DH$3)*($W$2:$CX$2=DH$2),$W$36:$CX$36))</f>
        <v>0.34284786343849116</v>
      </c>
      <c r="DI29" s="454">
        <f t="array" ref="DI29">SUMPRODUCT(IF(($W$3:$CX$3=DI$3)*($W$2:$CX$2=DI$2),$W29:$CX29),IF(($W$3:$CX$3=DI$3)*($W$2:$CX$2=DI$2),$W$36:$CX$36))/SUM(IF(($W$3:$CX$3=DI$3)*($W$2:$CX$2=DI$2),$W$36:$CX$36))</f>
        <v>2.2803256539699425E-2</v>
      </c>
      <c r="DJ29" s="454">
        <f t="array" ref="DJ29">SUMPRODUCT(IF(($W$3:$CX$3=DJ$3)*($W$2:$CX$2=DJ$2),$W29:$CX29),IF(($W$3:$CX$3=DJ$3)*($W$2:$CX$2=DJ$2),$W$36:$CX$36))/SUM(IF(($W$3:$CX$3=DJ$3)*($W$2:$CX$2=DJ$2),$W$36:$CX$36))</f>
        <v>3.0877469593539982E-2</v>
      </c>
      <c r="DK29" s="454">
        <f t="array" ref="DK29">SUMPRODUCT(IF(($W$3:$CX$3=DK$3)*1,$W29:$CX29),IF(($W$3:$CX$3=DK$3)*1,$W$36:$CX$36))/SUM(IF(($W$3:$CX$3=DK$3)*1,$W$36:$CX$36))</f>
        <v>0.57255939218864504</v>
      </c>
      <c r="DL29" s="454">
        <f t="array" ref="DL29">SUMPRODUCT(IF(($W$3:$CX$3=DL$3)*1,$W29:$CX29),IF(($W$3:$CX$3=DL$3)*1,$W$36:$CX$36))/SUM(IF(($W$3:$CX$3=DL$3)*1,$W$36:$CX$36))</f>
        <v>1.2668170684205153</v>
      </c>
      <c r="DM29" s="454">
        <f t="array" ref="DM29">SUMPRODUCT(IF(($W$3:$CX$3=DM$3)*1,$W29:$CX29),IF(($W$3:$CX$3=DM$3)*1,$W$36:$CX$36))/SUM(IF(($W$3:$CX$3=DM$3)*1,$W$36:$CX$36))</f>
        <v>1.3028612083476792</v>
      </c>
      <c r="DN29" s="454">
        <f t="array" ref="DN29">SUMPRODUCT(IF(1*($W$2:$CX$2=DN$2),$W29:$CX29),IF(1*($W$2:$CX$2=DN$2),$W$36:$CX$36))/SUM(IF(1*($W$2:$CX$2=DN$2),$W$36:$CX$36))</f>
        <v>1.8417791195449205</v>
      </c>
      <c r="DO29" s="454">
        <f t="array" ref="DO29">SUMPRODUCT(IF(1*($W$2:$CX$2=DO$2),$W29:$CX29),IF(1*($W$2:$CX$2=DO$2),$W$36:$CX$36))/SUM(IF(1*($W$2:$CX$2=DO$2),$W$36:$CX$36))</f>
        <v>0.12903010564841755</v>
      </c>
      <c r="DP29" s="454">
        <f t="array" ref="DP29">SUMPRODUCT(IF(1*1,$W29:$CX29),IF(1*1,$W$36:$CX$36))/SUM(IF(1*1,$W$36:$CX$36))</f>
        <v>1.1864551094237099</v>
      </c>
    </row>
    <row r="30" spans="1:120" s="428" customFormat="1" ht="15.75" customHeight="1" thickBot="1" x14ac:dyDescent="0.3">
      <c r="A30" s="640"/>
      <c r="B30" s="634"/>
      <c r="C30" s="235">
        <f>'MD-ratings-year'!C30</f>
        <v>0.15</v>
      </c>
      <c r="D30" s="434" t="str">
        <f>'MD-ratings-year'!D30</f>
        <v>Debt-to-EBITDA Ratio</v>
      </c>
      <c r="E30" s="437" t="str">
        <f>'MD-ratings-year'!E30</f>
        <v>Total Debt / Earnings Before Interest Taxes Depreciation &amp; Amortization</v>
      </c>
      <c r="F30" s="440" t="s">
        <v>400</v>
      </c>
      <c r="G30" s="653"/>
      <c r="I30" s="580">
        <f>'SK-ratios'!U33</f>
        <v>328.96137835108112</v>
      </c>
      <c r="K30" s="258">
        <f>'MD-ratings-year'!P30</f>
        <v>97.081782949143062</v>
      </c>
      <c r="L30" s="568">
        <f>'MD-ratings-year'!Q30</f>
        <v>2.3542398244661604</v>
      </c>
      <c r="M30" s="568">
        <f>'MD-ratings-year'!R30</f>
        <v>0.32187866093933049</v>
      </c>
      <c r="N30" s="568">
        <f>'MD-ratings-year'!S30</f>
        <v>4.4008206509542756E-2</v>
      </c>
      <c r="O30" s="258">
        <f>'MD-ratings-year'!T30</f>
        <v>0</v>
      </c>
      <c r="P30" s="258"/>
      <c r="Q30" s="258"/>
      <c r="R30" s="258"/>
      <c r="S30" s="243"/>
      <c r="T30" s="243"/>
      <c r="U30" s="243"/>
      <c r="V30" s="252"/>
      <c r="W30" s="455">
        <f>IF('SK-ratios'!AF33&lt;0,IF(ABS('SK-ratios'!AF33)&gt;'SK-ratios'!$Y33,0,10-10*LOG(1+('SK-ratios'!$U33-1)*(ABS('SK-ratios'!AF33)-'SK-ratios'!$AC33)/('SK-ratios'!$Y33-'SK-ratios'!$AC33))/LOG('SK-ratios'!$U33))/2,IF('SK-ratios'!AF33&gt;'SK-ratios'!$Y33,0,10-10*LOG(1+('SK-ratios'!$U33-1)*('SK-ratios'!AF33-'SK-ratios'!$AC33)/('SK-ratios'!$Y33-'SK-ratios'!$AC33))/LOG('SK-ratios'!$U33)))</f>
        <v>6.307163578984575</v>
      </c>
      <c r="X30" s="455">
        <f>IF('SK-ratios'!AG33&lt;0,IF(ABS('SK-ratios'!AG33)&gt;'SK-ratios'!$Y33,0,10-10*LOG(1+('SK-ratios'!$U33-1)*(ABS('SK-ratios'!AG33)-'SK-ratios'!$AC33)/('SK-ratios'!$Y33-'SK-ratios'!$AC33))/LOG('SK-ratios'!$U33))/2,IF('SK-ratios'!AG33&gt;'SK-ratios'!$Y33,0,10-10*LOG(1+('SK-ratios'!$U33-1)*('SK-ratios'!AG33-'SK-ratios'!$AC33)/('SK-ratios'!$Y33-'SK-ratios'!$AC33))/LOG('SK-ratios'!$U33)))</f>
        <v>7.4430410829938651</v>
      </c>
      <c r="Y30" s="455">
        <f>IF('SK-ratios'!AH33&lt;0,IF(ABS('SK-ratios'!AH33)&gt;'SK-ratios'!$Y33,0,10-10*LOG(1+('SK-ratios'!$U33-1)*(ABS('SK-ratios'!AH33)-'SK-ratios'!$AC33)/('SK-ratios'!$Y33-'SK-ratios'!$AC33))/LOG('SK-ratios'!$U33))/2,IF('SK-ratios'!AH33&gt;'SK-ratios'!$Y33,0,10-10*LOG(1+('SK-ratios'!$U33-1)*('SK-ratios'!AH33-'SK-ratios'!$AC33)/('SK-ratios'!$Y33-'SK-ratios'!$AC33))/LOG('SK-ratios'!$U33)))</f>
        <v>5.2497827231725074</v>
      </c>
      <c r="Z30" s="455">
        <f>IF('SK-ratios'!AI33&lt;0,IF(ABS('SK-ratios'!AI33)&gt;'SK-ratios'!$Y33,0,10-10*LOG(1+('SK-ratios'!$U33-1)*(ABS('SK-ratios'!AI33)-'SK-ratios'!$AC33)/('SK-ratios'!$Y33-'SK-ratios'!$AC33))/LOG('SK-ratios'!$U33))/2,IF('SK-ratios'!AI33&gt;'SK-ratios'!$Y33,0,10-10*LOG(1+('SK-ratios'!$U33-1)*('SK-ratios'!AI33-'SK-ratios'!$AC33)/('SK-ratios'!$Y33-'SK-ratios'!$AC33))/LOG('SK-ratios'!$U33)))</f>
        <v>5.8131372846366958</v>
      </c>
      <c r="AA30" s="455">
        <f>IF('SK-ratios'!AJ33&lt;0,IF(ABS('SK-ratios'!AJ33)&gt;'SK-ratios'!$Y33,0,10-10*LOG(1+('SK-ratios'!$U33-1)*(ABS('SK-ratios'!AJ33)-'SK-ratios'!$AC33)/('SK-ratios'!$Y33-'SK-ratios'!$AC33))/LOG('SK-ratios'!$U33))/2,IF('SK-ratios'!AJ33&gt;'SK-ratios'!$Y33,0,10-10*LOG(1+('SK-ratios'!$U33-1)*('SK-ratios'!AJ33-'SK-ratios'!$AC33)/('SK-ratios'!$Y33-'SK-ratios'!$AC33))/LOG('SK-ratios'!$U33)))</f>
        <v>4.9951009720933603</v>
      </c>
      <c r="AB30" s="455">
        <f>IF('SK-ratios'!AK33&lt;0,IF(ABS('SK-ratios'!AK33)&gt;'SK-ratios'!$Y33,0,10-10*LOG(1+('SK-ratios'!$U33-1)*(ABS('SK-ratios'!AK33)-'SK-ratios'!$AC33)/('SK-ratios'!$Y33-'SK-ratios'!$AC33))/LOG('SK-ratios'!$U33))/2,IF('SK-ratios'!AK33&gt;'SK-ratios'!$Y33,0,10-10*LOG(1+('SK-ratios'!$U33-1)*('SK-ratios'!AK33-'SK-ratios'!$AC33)/('SK-ratios'!$Y33-'SK-ratios'!$AC33))/LOG('SK-ratios'!$U33)))</f>
        <v>3.3393520300465385</v>
      </c>
      <c r="AC30" s="455">
        <f>IF('SK-ratios'!AL33&lt;0,IF(ABS('SK-ratios'!AL33)&gt;'SK-ratios'!$Y33,0,10-10*LOG(1+('SK-ratios'!$U33-1)*(ABS('SK-ratios'!AL33)-'SK-ratios'!$AC33)/('SK-ratios'!$Y33-'SK-ratios'!$AC33))/LOG('SK-ratios'!$U33))/2,IF('SK-ratios'!AL33&gt;'SK-ratios'!$Y33,0,10-10*LOG(1+('SK-ratios'!$U33-1)*('SK-ratios'!AL33-'SK-ratios'!$AC33)/('SK-ratios'!$Y33-'SK-ratios'!$AC33))/LOG('SK-ratios'!$U33)))</f>
        <v>7.7675194209323042</v>
      </c>
      <c r="AD30" s="455">
        <f>IF('SK-ratios'!AM33&lt;0,IF(ABS('SK-ratios'!AM33)&gt;'SK-ratios'!$Y33,0,10-10*LOG(1+('SK-ratios'!$U33-1)*(ABS('SK-ratios'!AM33)-'SK-ratios'!$AC33)/('SK-ratios'!$Y33-'SK-ratios'!$AC33))/LOG('SK-ratios'!$U33))/2,IF('SK-ratios'!AM33&gt;'SK-ratios'!$Y33,0,10-10*LOG(1+('SK-ratios'!$U33-1)*('SK-ratios'!AM33-'SK-ratios'!$AC33)/('SK-ratios'!$Y33-'SK-ratios'!$AC33))/LOG('SK-ratios'!$U33)))</f>
        <v>6.019330578280278</v>
      </c>
      <c r="AE30" s="455">
        <f>IF('SK-ratios'!AN33&lt;0,IF(ABS('SK-ratios'!AN33)&gt;'SK-ratios'!$Y33,0,10-10*LOG(1+('SK-ratios'!$U33-1)*(ABS('SK-ratios'!AN33)-'SK-ratios'!$AC33)/('SK-ratios'!$Y33-'SK-ratios'!$AC33))/LOG('SK-ratios'!$U33))/2,IF('SK-ratios'!AN33&gt;'SK-ratios'!$Y33,0,10-10*LOG(1+('SK-ratios'!$U33-1)*('SK-ratios'!AN33-'SK-ratios'!$AC33)/('SK-ratios'!$Y33-'SK-ratios'!$AC33))/LOG('SK-ratios'!$U33)))</f>
        <v>4.8280424617168194</v>
      </c>
      <c r="AF30" s="455">
        <f>IF('SK-ratios'!AO33&lt;0,IF(ABS('SK-ratios'!AO33)&gt;'SK-ratios'!$Y33,0,10-10*LOG(1+('SK-ratios'!$U33-1)*(ABS('SK-ratios'!AO33)-'SK-ratios'!$AC33)/('SK-ratios'!$Y33-'SK-ratios'!$AC33))/LOG('SK-ratios'!$U33))/2,IF('SK-ratios'!AO33&gt;'SK-ratios'!$Y33,0,10-10*LOG(1+('SK-ratios'!$U33-1)*('SK-ratios'!AO33-'SK-ratios'!$AC33)/('SK-ratios'!$Y33-'SK-ratios'!$AC33))/LOG('SK-ratios'!$U33)))</f>
        <v>4.2408084337868361</v>
      </c>
      <c r="AG30" s="455">
        <f>IF('SK-ratios'!AP33&lt;0,IF(ABS('SK-ratios'!AP33)&gt;'SK-ratios'!$Y33,0,10-10*LOG(1+('SK-ratios'!$U33-1)*(ABS('SK-ratios'!AP33)-'SK-ratios'!$AC33)/('SK-ratios'!$Y33-'SK-ratios'!$AC33))/LOG('SK-ratios'!$U33))/2,IF('SK-ratios'!AP33&gt;'SK-ratios'!$Y33,0,10-10*LOG(1+('SK-ratios'!$U33-1)*('SK-ratios'!AP33-'SK-ratios'!$AC33)/('SK-ratios'!$Y33-'SK-ratios'!$AC33))/LOG('SK-ratios'!$U33)))</f>
        <v>7.0313389315750943</v>
      </c>
      <c r="AH30" s="455">
        <f>IF('SK-ratios'!AQ33&lt;0,IF(ABS('SK-ratios'!AQ33)&gt;'SK-ratios'!$Y33,0,10-10*LOG(1+('SK-ratios'!$U33-1)*(ABS('SK-ratios'!AQ33)-'SK-ratios'!$AC33)/('SK-ratios'!$Y33-'SK-ratios'!$AC33))/LOG('SK-ratios'!$U33))/2,IF('SK-ratios'!AQ33&gt;'SK-ratios'!$Y33,0,10-10*LOG(1+('SK-ratios'!$U33-1)*('SK-ratios'!AQ33-'SK-ratios'!$AC33)/('SK-ratios'!$Y33-'SK-ratios'!$AC33))/LOG('SK-ratios'!$U33)))</f>
        <v>4.3350547198962559</v>
      </c>
      <c r="AI30" s="455">
        <f>IF('SK-ratios'!AR33&lt;0,IF(ABS('SK-ratios'!AR33)&gt;'SK-ratios'!$Y33,0,10-10*LOG(1+('SK-ratios'!$U33-1)*(ABS('SK-ratios'!AR33)-'SK-ratios'!$AC33)/('SK-ratios'!$Y33-'SK-ratios'!$AC33))/LOG('SK-ratios'!$U33))/2,IF('SK-ratios'!AR33&gt;'SK-ratios'!$Y33,0,10-10*LOG(1+('SK-ratios'!$U33-1)*('SK-ratios'!AR33-'SK-ratios'!$AC33)/('SK-ratios'!$Y33-'SK-ratios'!$AC33))/LOG('SK-ratios'!$U33)))</f>
        <v>5.4626488963868356</v>
      </c>
      <c r="AJ30" s="455">
        <f>IF('SK-ratios'!AS33&lt;0,IF(ABS('SK-ratios'!AS33)&gt;'SK-ratios'!$Y33,0,10-10*LOG(1+('SK-ratios'!$U33-1)*(ABS('SK-ratios'!AS33)-'SK-ratios'!$AC33)/('SK-ratios'!$Y33-'SK-ratios'!$AC33))/LOG('SK-ratios'!$U33))/2,IF('SK-ratios'!AS33&gt;'SK-ratios'!$Y33,0,10-10*LOG(1+('SK-ratios'!$U33-1)*('SK-ratios'!AS33-'SK-ratios'!$AC33)/('SK-ratios'!$Y33-'SK-ratios'!$AC33))/LOG('SK-ratios'!$U33)))</f>
        <v>6.0169912881031724</v>
      </c>
      <c r="AK30" s="455">
        <f>IF('SK-ratios'!AT33&lt;0,IF(ABS('SK-ratios'!AT33)&gt;'SK-ratios'!$Y33,0,10-10*LOG(1+('SK-ratios'!$U33-1)*(ABS('SK-ratios'!AT33)-'SK-ratios'!$AC33)/('SK-ratios'!$Y33-'SK-ratios'!$AC33))/LOG('SK-ratios'!$U33))/2,IF('SK-ratios'!AT33&gt;'SK-ratios'!$Y33,0,10-10*LOG(1+('SK-ratios'!$U33-1)*('SK-ratios'!AT33-'SK-ratios'!$AC33)/('SK-ratios'!$Y33-'SK-ratios'!$AC33))/LOG('SK-ratios'!$U33)))</f>
        <v>5.1951393575929909</v>
      </c>
      <c r="AL30" s="455">
        <f>IF('SK-ratios'!AU33&lt;0,IF(ABS('SK-ratios'!AU33)&gt;'SK-ratios'!$Y33,0,10-10*LOG(1+('SK-ratios'!$U33-1)*(ABS('SK-ratios'!AU33)-'SK-ratios'!$AC33)/('SK-ratios'!$Y33-'SK-ratios'!$AC33))/LOG('SK-ratios'!$U33))/2,IF('SK-ratios'!AU33&gt;'SK-ratios'!$Y33,0,10-10*LOG(1+('SK-ratios'!$U33-1)*('SK-ratios'!AU33-'SK-ratios'!$AC33)/('SK-ratios'!$Y33-'SK-ratios'!$AC33))/LOG('SK-ratios'!$U33)))</f>
        <v>5.0861256405789694</v>
      </c>
      <c r="AM30" s="455">
        <f>IF('SK-ratios'!AV33&lt;0,IF(ABS('SK-ratios'!AV33)&gt;'SK-ratios'!$Y33,0,10-10*LOG(1+('SK-ratios'!$U33-1)*(ABS('SK-ratios'!AV33)-'SK-ratios'!$AC33)/('SK-ratios'!$Y33-'SK-ratios'!$AC33))/LOG('SK-ratios'!$U33))/2,IF('SK-ratios'!AV33&gt;'SK-ratios'!$Y33,0,10-10*LOG(1+('SK-ratios'!$U33-1)*('SK-ratios'!AV33-'SK-ratios'!$AC33)/('SK-ratios'!$Y33-'SK-ratios'!$AC33))/LOG('SK-ratios'!$U33)))</f>
        <v>7.1669478006530021</v>
      </c>
      <c r="AN30" s="455">
        <f>IF('SK-ratios'!AW33&lt;0,IF(ABS('SK-ratios'!AW33)&gt;'SK-ratios'!$Y33,0,10-10*LOG(1+('SK-ratios'!$U33-1)*(ABS('SK-ratios'!AW33)-'SK-ratios'!$AC33)/('SK-ratios'!$Y33-'SK-ratios'!$AC33))/LOG('SK-ratios'!$U33))/2,IF('SK-ratios'!AW33&gt;'SK-ratios'!$Y33,0,10-10*LOG(1+('SK-ratios'!$U33-1)*('SK-ratios'!AW33-'SK-ratios'!$AC33)/('SK-ratios'!$Y33-'SK-ratios'!$AC33))/LOG('SK-ratios'!$U33)))</f>
        <v>2.0077573623175571</v>
      </c>
      <c r="AO30" s="455">
        <f>IF('SK-ratios'!AX33&lt;0,IF(ABS('SK-ratios'!AX33)&gt;'SK-ratios'!$Y33,0,10-10*LOG(1+('SK-ratios'!$U33-1)*(ABS('SK-ratios'!AX33)-'SK-ratios'!$AC33)/('SK-ratios'!$Y33-'SK-ratios'!$AC33))/LOG('SK-ratios'!$U33))/2,IF('SK-ratios'!AX33&gt;'SK-ratios'!$Y33,0,10-10*LOG(1+('SK-ratios'!$U33-1)*('SK-ratios'!AX33-'SK-ratios'!$AC33)/('SK-ratios'!$Y33-'SK-ratios'!$AC33))/LOG('SK-ratios'!$U33)))</f>
        <v>3.2040068905764345</v>
      </c>
      <c r="AP30" s="455">
        <f>IF('SK-ratios'!AY33&lt;0,IF(ABS('SK-ratios'!AY33)&gt;'SK-ratios'!$Y33,0,10-10*LOG(1+('SK-ratios'!$U33-1)*(ABS('SK-ratios'!AY33)-'SK-ratios'!$AC33)/('SK-ratios'!$Y33-'SK-ratios'!$AC33))/LOG('SK-ratios'!$U33))/2,IF('SK-ratios'!AY33&gt;'SK-ratios'!$Y33,0,10-10*LOG(1+('SK-ratios'!$U33-1)*('SK-ratios'!AY33-'SK-ratios'!$AC33)/('SK-ratios'!$Y33-'SK-ratios'!$AC33))/LOG('SK-ratios'!$U33)))</f>
        <v>4.0465004476525914</v>
      </c>
      <c r="AQ30" s="455">
        <f>IF('SK-ratios'!AZ33&lt;0,IF(ABS('SK-ratios'!AZ33)&gt;'SK-ratios'!$Y33,0,10-10*LOG(1+('SK-ratios'!$U33-1)*(ABS('SK-ratios'!AZ33)-'SK-ratios'!$AC33)/('SK-ratios'!$Y33-'SK-ratios'!$AC33))/LOG('SK-ratios'!$U33))/2,IF('SK-ratios'!AZ33&gt;'SK-ratios'!$Y33,0,10-10*LOG(1+('SK-ratios'!$U33-1)*('SK-ratios'!AZ33-'SK-ratios'!$AC33)/('SK-ratios'!$Y33-'SK-ratios'!$AC33))/LOG('SK-ratios'!$U33)))</f>
        <v>2.0031933424018966</v>
      </c>
      <c r="AR30" s="455">
        <f>IF('SK-ratios'!BA33&lt;0,IF(ABS('SK-ratios'!BA33)&gt;'SK-ratios'!$Y33,0,10-10*LOG(1+('SK-ratios'!$U33-1)*(ABS('SK-ratios'!BA33)-'SK-ratios'!$AC33)/('SK-ratios'!$Y33-'SK-ratios'!$AC33))/LOG('SK-ratios'!$U33))/2,IF('SK-ratios'!BA33&gt;'SK-ratios'!$Y33,0,10-10*LOG(1+('SK-ratios'!$U33-1)*('SK-ratios'!BA33-'SK-ratios'!$AC33)/('SK-ratios'!$Y33-'SK-ratios'!$AC33))/LOG('SK-ratios'!$U33)))</f>
        <v>7.3649382893199968</v>
      </c>
      <c r="AS30" s="455">
        <f>IF('SK-ratios'!BB33&lt;0,IF(ABS('SK-ratios'!BB33)&gt;'SK-ratios'!$Y33,0,10-10*LOG(1+('SK-ratios'!$U33-1)*(ABS('SK-ratios'!BB33)-'SK-ratios'!$AC33)/('SK-ratios'!$Y33-'SK-ratios'!$AC33))/LOG('SK-ratios'!$U33))/2,IF('SK-ratios'!BB33&gt;'SK-ratios'!$Y33,0,10-10*LOG(1+('SK-ratios'!$U33-1)*('SK-ratios'!BB33-'SK-ratios'!$AC33)/('SK-ratios'!$Y33-'SK-ratios'!$AC33))/LOG('SK-ratios'!$U33)))</f>
        <v>5.3290365289497643</v>
      </c>
      <c r="AT30" s="455">
        <f>IF('SK-ratios'!BC33&lt;0,IF(ABS('SK-ratios'!BC33)&gt;'SK-ratios'!$Y33,0,10-10*LOG(1+('SK-ratios'!$U33-1)*(ABS('SK-ratios'!BC33)-'SK-ratios'!$AC33)/('SK-ratios'!$Y33-'SK-ratios'!$AC33))/LOG('SK-ratios'!$U33))/2,IF('SK-ratios'!BC33&gt;'SK-ratios'!$Y33,0,10-10*LOG(1+('SK-ratios'!$U33-1)*('SK-ratios'!BC33-'SK-ratios'!$AC33)/('SK-ratios'!$Y33-'SK-ratios'!$AC33))/LOG('SK-ratios'!$U33)))</f>
        <v>1.3373536566222812</v>
      </c>
      <c r="AU30" s="455">
        <f>IF('SK-ratios'!BD33&lt;0,IF(ABS('SK-ratios'!BD33)&gt;'SK-ratios'!$Y33,0,10-10*LOG(1+('SK-ratios'!$U33-1)*(ABS('SK-ratios'!BD33)-'SK-ratios'!$AC33)/('SK-ratios'!$Y33-'SK-ratios'!$AC33))/LOG('SK-ratios'!$U33))/2,IF('SK-ratios'!BD33&gt;'SK-ratios'!$Y33,0,10-10*LOG(1+('SK-ratios'!$U33-1)*('SK-ratios'!BD33-'SK-ratios'!$AC33)/('SK-ratios'!$Y33-'SK-ratios'!$AC33))/LOG('SK-ratios'!$U33)))</f>
        <v>3.1492355679135651</v>
      </c>
      <c r="AV30" s="455">
        <f>IF('SK-ratios'!BE33&lt;0,IF(ABS('SK-ratios'!BE33)&gt;'SK-ratios'!$Y33,0,10-10*LOG(1+('SK-ratios'!$U33-1)*(ABS('SK-ratios'!BE33)-'SK-ratios'!$AC33)/('SK-ratios'!$Y33-'SK-ratios'!$AC33))/LOG('SK-ratios'!$U33))/2,IF('SK-ratios'!BE33&gt;'SK-ratios'!$Y33,0,10-10*LOG(1+('SK-ratios'!$U33-1)*('SK-ratios'!BE33-'SK-ratios'!$AC33)/('SK-ratios'!$Y33-'SK-ratios'!$AC33))/LOG('SK-ratios'!$U33)))</f>
        <v>8.0728170057996049</v>
      </c>
      <c r="AW30" s="455">
        <f>IF('SK-ratios'!BF33&lt;0,IF(ABS('SK-ratios'!BF33)&gt;'SK-ratios'!$Y33,0,10-10*LOG(1+('SK-ratios'!$U33-1)*(ABS('SK-ratios'!BF33)-'SK-ratios'!$AC33)/('SK-ratios'!$Y33-'SK-ratios'!$AC33))/LOG('SK-ratios'!$U33))/2,IF('SK-ratios'!BF33&gt;'SK-ratios'!$Y33,0,10-10*LOG(1+('SK-ratios'!$U33-1)*('SK-ratios'!BF33-'SK-ratios'!$AC33)/('SK-ratios'!$Y33-'SK-ratios'!$AC33))/LOG('SK-ratios'!$U33)))</f>
        <v>2.8567332213937968</v>
      </c>
      <c r="AX30" s="455">
        <f>IF('SK-ratios'!BG33&lt;0,IF(ABS('SK-ratios'!BG33)&gt;'SK-ratios'!$Y33,0,10-10*LOG(1+('SK-ratios'!$U33-1)*(ABS('SK-ratios'!BG33)-'SK-ratios'!$AC33)/('SK-ratios'!$Y33-'SK-ratios'!$AC33))/LOG('SK-ratios'!$U33))/2,IF('SK-ratios'!BG33&gt;'SK-ratios'!$Y33,0,10-10*LOG(1+('SK-ratios'!$U33-1)*('SK-ratios'!BG33-'SK-ratios'!$AC33)/('SK-ratios'!$Y33-'SK-ratios'!$AC33))/LOG('SK-ratios'!$U33)))</f>
        <v>2.5811668409294439</v>
      </c>
      <c r="AY30" s="455">
        <f>IF('SK-ratios'!BH33&lt;0,IF(ABS('SK-ratios'!BH33)&gt;'SK-ratios'!$Y33,0,10-10*LOG(1+('SK-ratios'!$U33-1)*(ABS('SK-ratios'!BH33)-'SK-ratios'!$AC33)/('SK-ratios'!$Y33-'SK-ratios'!$AC33))/LOG('SK-ratios'!$U33))/2,IF('SK-ratios'!BH33&gt;'SK-ratios'!$Y33,0,10-10*LOG(1+('SK-ratios'!$U33-1)*('SK-ratios'!BH33-'SK-ratios'!$AC33)/('SK-ratios'!$Y33-'SK-ratios'!$AC33))/LOG('SK-ratios'!$U33)))</f>
        <v>4.4860511075416163</v>
      </c>
      <c r="AZ30" s="455">
        <f>IF('SK-ratios'!BI33&lt;0,IF(ABS('SK-ratios'!BI33)&gt;'SK-ratios'!$Y33,0,10-10*LOG(1+('SK-ratios'!$U33-1)*(ABS('SK-ratios'!BI33)-'SK-ratios'!$AC33)/('SK-ratios'!$Y33-'SK-ratios'!$AC33))/LOG('SK-ratios'!$U33))/2,IF('SK-ratios'!BI33&gt;'SK-ratios'!$Y33,0,10-10*LOG(1+('SK-ratios'!$U33-1)*('SK-ratios'!BI33-'SK-ratios'!$AC33)/('SK-ratios'!$Y33-'SK-ratios'!$AC33))/LOG('SK-ratios'!$U33)))</f>
        <v>4.3371476334146593</v>
      </c>
      <c r="BA30" s="455">
        <f>IF('SK-ratios'!BJ33&lt;0,IF(ABS('SK-ratios'!BJ33)&gt;'SK-ratios'!$Y33,0,10-10*LOG(1+('SK-ratios'!$U33-1)*(ABS('SK-ratios'!BJ33)-'SK-ratios'!$AC33)/('SK-ratios'!$Y33-'SK-ratios'!$AC33))/LOG('SK-ratios'!$U33))/2,IF('SK-ratios'!BJ33&gt;'SK-ratios'!$Y33,0,10-10*LOG(1+('SK-ratios'!$U33-1)*('SK-ratios'!BJ33-'SK-ratios'!$AC33)/('SK-ratios'!$Y33-'SK-ratios'!$AC33))/LOG('SK-ratios'!$U33)))</f>
        <v>6.2551152858689623</v>
      </c>
      <c r="BB30" s="455">
        <f>IF('SK-ratios'!BK33&lt;0,IF(ABS('SK-ratios'!BK33)&gt;'SK-ratios'!$Y33,0,10-10*LOG(1+('SK-ratios'!$U33-1)*(ABS('SK-ratios'!BK33)-'SK-ratios'!$AC33)/('SK-ratios'!$Y33-'SK-ratios'!$AC33))/LOG('SK-ratios'!$U33))/2,IF('SK-ratios'!BK33&gt;'SK-ratios'!$Y33,0,10-10*LOG(1+('SK-ratios'!$U33-1)*('SK-ratios'!BK33-'SK-ratios'!$AC33)/('SK-ratios'!$Y33-'SK-ratios'!$AC33))/LOG('SK-ratios'!$U33)))</f>
        <v>6.0931574886829267</v>
      </c>
      <c r="BC30" s="455">
        <f>IF('SK-ratios'!BL33&lt;0,IF(ABS('SK-ratios'!BL33)&gt;'SK-ratios'!$Y33,0,10-10*LOG(1+('SK-ratios'!$U33-1)*(ABS('SK-ratios'!BL33)-'SK-ratios'!$AC33)/('SK-ratios'!$Y33-'SK-ratios'!$AC33))/LOG('SK-ratios'!$U33))/2,IF('SK-ratios'!BL33&gt;'SK-ratios'!$Y33,0,10-10*LOG(1+('SK-ratios'!$U33-1)*('SK-ratios'!BL33-'SK-ratios'!$AC33)/('SK-ratios'!$Y33-'SK-ratios'!$AC33))/LOG('SK-ratios'!$U33)))</f>
        <v>4.2150390463982443</v>
      </c>
      <c r="BD30" s="455">
        <f>IF('SK-ratios'!BM33&lt;0,IF(ABS('SK-ratios'!BM33)&gt;'SK-ratios'!$Y33,0,10-10*LOG(1+('SK-ratios'!$U33-1)*(ABS('SK-ratios'!BM33)-'SK-ratios'!$AC33)/('SK-ratios'!$Y33-'SK-ratios'!$AC33))/LOG('SK-ratios'!$U33))/2,IF('SK-ratios'!BM33&gt;'SK-ratios'!$Y33,0,10-10*LOG(1+('SK-ratios'!$U33-1)*('SK-ratios'!BM33-'SK-ratios'!$AC33)/('SK-ratios'!$Y33-'SK-ratios'!$AC33))/LOG('SK-ratios'!$U33)))</f>
        <v>5.8035414857774219</v>
      </c>
      <c r="BE30" s="455">
        <f>IF('SK-ratios'!BN33&lt;0,IF(ABS('SK-ratios'!BN33)&gt;'SK-ratios'!$Y33,0,10-10*LOG(1+('SK-ratios'!$U33-1)*(ABS('SK-ratios'!BN33)-'SK-ratios'!$AC33)/('SK-ratios'!$Y33-'SK-ratios'!$AC33))/LOG('SK-ratios'!$U33))/2,IF('SK-ratios'!BN33&gt;'SK-ratios'!$Y33,0,10-10*LOG(1+('SK-ratios'!$U33-1)*('SK-ratios'!BN33-'SK-ratios'!$AC33)/('SK-ratios'!$Y33-'SK-ratios'!$AC33))/LOG('SK-ratios'!$U33)))</f>
        <v>5.4083089445055137</v>
      </c>
      <c r="BF30" s="455">
        <f>IF('SK-ratios'!BO33&lt;0,IF(ABS('SK-ratios'!BO33)&gt;'SK-ratios'!$Y33,0,10-10*LOG(1+('SK-ratios'!$U33-1)*(ABS('SK-ratios'!BO33)-'SK-ratios'!$AC33)/('SK-ratios'!$Y33-'SK-ratios'!$AC33))/LOG('SK-ratios'!$U33))/2,IF('SK-ratios'!BO33&gt;'SK-ratios'!$Y33,0,10-10*LOG(1+('SK-ratios'!$U33-1)*('SK-ratios'!BO33-'SK-ratios'!$AC33)/('SK-ratios'!$Y33-'SK-ratios'!$AC33))/LOG('SK-ratios'!$U33)))</f>
        <v>5.153842811449576</v>
      </c>
      <c r="BG30" s="455">
        <f>IF('SK-ratios'!BP33&lt;0,IF(ABS('SK-ratios'!BP33)&gt;'SK-ratios'!$Y33,0,10-10*LOG(1+('SK-ratios'!$U33-1)*(ABS('SK-ratios'!BP33)-'SK-ratios'!$AC33)/('SK-ratios'!$Y33-'SK-ratios'!$AC33))/LOG('SK-ratios'!$U33))/2,IF('SK-ratios'!BP33&gt;'SK-ratios'!$Y33,0,10-10*LOG(1+('SK-ratios'!$U33-1)*('SK-ratios'!BP33-'SK-ratios'!$AC33)/('SK-ratios'!$Y33-'SK-ratios'!$AC33))/LOG('SK-ratios'!$U33)))</f>
        <v>7.1439065195982563</v>
      </c>
      <c r="BH30" s="455">
        <f>IF('SK-ratios'!BQ33&lt;0,IF(ABS('SK-ratios'!BQ33)&gt;'SK-ratios'!$Y33,0,10-10*LOG(1+('SK-ratios'!$U33-1)*(ABS('SK-ratios'!BQ33)-'SK-ratios'!$AC33)/('SK-ratios'!$Y33-'SK-ratios'!$AC33))/LOG('SK-ratios'!$U33))/2,IF('SK-ratios'!BQ33&gt;'SK-ratios'!$Y33,0,10-10*LOG(1+('SK-ratios'!$U33-1)*('SK-ratios'!BQ33-'SK-ratios'!$AC33)/('SK-ratios'!$Y33-'SK-ratios'!$AC33))/LOG('SK-ratios'!$U33)))</f>
        <v>6.2388655104856312</v>
      </c>
      <c r="BI30" s="455">
        <f>IF('SK-ratios'!BR33&lt;0,IF(ABS('SK-ratios'!BR33)&gt;'SK-ratios'!$Y33,0,10-10*LOG(1+('SK-ratios'!$U33-1)*(ABS('SK-ratios'!BR33)-'SK-ratios'!$AC33)/('SK-ratios'!$Y33-'SK-ratios'!$AC33))/LOG('SK-ratios'!$U33))/2,IF('SK-ratios'!BR33&gt;'SK-ratios'!$Y33,0,10-10*LOG(1+('SK-ratios'!$U33-1)*('SK-ratios'!BR33-'SK-ratios'!$AC33)/('SK-ratios'!$Y33-'SK-ratios'!$AC33))/LOG('SK-ratios'!$U33)))</f>
        <v>5.6711022917755551</v>
      </c>
      <c r="BJ30" s="455">
        <f>IF('SK-ratios'!BS33&lt;0,IF(ABS('SK-ratios'!BS33)&gt;'SK-ratios'!$Y33,0,10-10*LOG(1+('SK-ratios'!$U33-1)*(ABS('SK-ratios'!BS33)-'SK-ratios'!$AC33)/('SK-ratios'!$Y33-'SK-ratios'!$AC33))/LOG('SK-ratios'!$U33))/2,IF('SK-ratios'!BS33&gt;'SK-ratios'!$Y33,0,10-10*LOG(1+('SK-ratios'!$U33-1)*('SK-ratios'!BS33-'SK-ratios'!$AC33)/('SK-ratios'!$Y33-'SK-ratios'!$AC33))/LOG('SK-ratios'!$U33)))</f>
        <v>4.299861182307211</v>
      </c>
      <c r="BK30" s="455">
        <f>IF('SK-ratios'!BT33&lt;0,IF(ABS('SK-ratios'!BT33)&gt;'SK-ratios'!$Y33,0,10-10*LOG(1+('SK-ratios'!$U33-1)*(ABS('SK-ratios'!BT33)-'SK-ratios'!$AC33)/('SK-ratios'!$Y33-'SK-ratios'!$AC33))/LOG('SK-ratios'!$U33))/2,IF('SK-ratios'!BT33&gt;'SK-ratios'!$Y33,0,10-10*LOG(1+('SK-ratios'!$U33-1)*('SK-ratios'!BT33-'SK-ratios'!$AC33)/('SK-ratios'!$Y33-'SK-ratios'!$AC33))/LOG('SK-ratios'!$U33)))</f>
        <v>2.9001307683370299</v>
      </c>
      <c r="BL30" s="455">
        <f>IF('SK-ratios'!BU33&lt;0,IF(ABS('SK-ratios'!BU33)&gt;'SK-ratios'!$Y33,0,10-10*LOG(1+('SK-ratios'!$U33-1)*(ABS('SK-ratios'!BU33)-'SK-ratios'!$AC33)/('SK-ratios'!$Y33-'SK-ratios'!$AC33))/LOG('SK-ratios'!$U33))/2,IF('SK-ratios'!BU33&gt;'SK-ratios'!$Y33,0,10-10*LOG(1+('SK-ratios'!$U33-1)*('SK-ratios'!BU33-'SK-ratios'!$AC33)/('SK-ratios'!$Y33-'SK-ratios'!$AC33))/LOG('SK-ratios'!$U33)))</f>
        <v>1.936971022316893</v>
      </c>
      <c r="BM30" s="455">
        <f>IF('SK-ratios'!BV33&lt;0,IF(ABS('SK-ratios'!BV33)&gt;'SK-ratios'!$Y33,0,10-10*LOG(1+('SK-ratios'!$U33-1)*(ABS('SK-ratios'!BV33)-'SK-ratios'!$AC33)/('SK-ratios'!$Y33-'SK-ratios'!$AC33))/LOG('SK-ratios'!$U33))/2,IF('SK-ratios'!BV33&gt;'SK-ratios'!$Y33,0,10-10*LOG(1+('SK-ratios'!$U33-1)*('SK-ratios'!BV33-'SK-ratios'!$AC33)/('SK-ratios'!$Y33-'SK-ratios'!$AC33))/LOG('SK-ratios'!$U33)))</f>
        <v>7.0834947249348144</v>
      </c>
      <c r="BN30" s="455">
        <f>IF('SK-ratios'!BW33&lt;0,IF(ABS('SK-ratios'!BW33)&gt;'SK-ratios'!$Y33,0,10-10*LOG(1+('SK-ratios'!$U33-1)*(ABS('SK-ratios'!BW33)-'SK-ratios'!$AC33)/('SK-ratios'!$Y33-'SK-ratios'!$AC33))/LOG('SK-ratios'!$U33))/2,IF('SK-ratios'!BW33&gt;'SK-ratios'!$Y33,0,10-10*LOG(1+('SK-ratios'!$U33-1)*('SK-ratios'!BW33-'SK-ratios'!$AC33)/('SK-ratios'!$Y33-'SK-ratios'!$AC33))/LOG('SK-ratios'!$U33)))</f>
        <v>5.320772457574253</v>
      </c>
      <c r="BO30" s="455">
        <f>IF('SK-ratios'!BX33&lt;0,IF(ABS('SK-ratios'!BX33)&gt;'SK-ratios'!$Y33,0,10-10*LOG(1+('SK-ratios'!$U33-1)*(ABS('SK-ratios'!BX33)-'SK-ratios'!$AC33)/('SK-ratios'!$Y33-'SK-ratios'!$AC33))/LOG('SK-ratios'!$U33))/2,IF('SK-ratios'!BX33&gt;'SK-ratios'!$Y33,0,10-10*LOG(1+('SK-ratios'!$U33-1)*('SK-ratios'!BX33-'SK-ratios'!$AC33)/('SK-ratios'!$Y33-'SK-ratios'!$AC33))/LOG('SK-ratios'!$U33)))</f>
        <v>6.5527406306138838</v>
      </c>
      <c r="BP30" s="455">
        <f>IF('SK-ratios'!BY33&lt;0,IF(ABS('SK-ratios'!BY33)&gt;'SK-ratios'!$Y33,0,10-10*LOG(1+('SK-ratios'!$U33-1)*(ABS('SK-ratios'!BY33)-'SK-ratios'!$AC33)/('SK-ratios'!$Y33-'SK-ratios'!$AC33))/LOG('SK-ratios'!$U33))/2,IF('SK-ratios'!BY33&gt;'SK-ratios'!$Y33,0,10-10*LOG(1+('SK-ratios'!$U33-1)*('SK-ratios'!BY33-'SK-ratios'!$AC33)/('SK-ratios'!$Y33-'SK-ratios'!$AC33))/LOG('SK-ratios'!$U33)))</f>
        <v>4.9595221104922178</v>
      </c>
      <c r="BQ30" s="455">
        <f>IF('SK-ratios'!BZ33&lt;0,IF(ABS('SK-ratios'!BZ33)&gt;'SK-ratios'!$Y33,0,10-10*LOG(1+('SK-ratios'!$U33-1)*(ABS('SK-ratios'!BZ33)-'SK-ratios'!$AC33)/('SK-ratios'!$Y33-'SK-ratios'!$AC33))/LOG('SK-ratios'!$U33))/2,IF('SK-ratios'!BZ33&gt;'SK-ratios'!$Y33,0,10-10*LOG(1+('SK-ratios'!$U33-1)*('SK-ratios'!BZ33-'SK-ratios'!$AC33)/('SK-ratios'!$Y33-'SK-ratios'!$AC33))/LOG('SK-ratios'!$U33)))</f>
        <v>2.7822477572044235</v>
      </c>
      <c r="BR30" s="455">
        <f>IF('SK-ratios'!CA33&lt;0,IF(ABS('SK-ratios'!CA33)&gt;'SK-ratios'!$Y33,0,10-10*LOG(1+('SK-ratios'!$U33-1)*(ABS('SK-ratios'!CA33)-'SK-ratios'!$AC33)/('SK-ratios'!$Y33-'SK-ratios'!$AC33))/LOG('SK-ratios'!$U33))/2,IF('SK-ratios'!CA33&gt;'SK-ratios'!$Y33,0,10-10*LOG(1+('SK-ratios'!$U33-1)*('SK-ratios'!CA33-'SK-ratios'!$AC33)/('SK-ratios'!$Y33-'SK-ratios'!$AC33))/LOG('SK-ratios'!$U33)))</f>
        <v>5.0873953200684161</v>
      </c>
      <c r="BS30" s="455">
        <f>IF('SK-ratios'!CB33&lt;0,IF(ABS('SK-ratios'!CB33)&gt;'SK-ratios'!$Y33,0,10-10*LOG(1+('SK-ratios'!$U33-1)*(ABS('SK-ratios'!CB33)-'SK-ratios'!$AC33)/('SK-ratios'!$Y33-'SK-ratios'!$AC33))/LOG('SK-ratios'!$U33))/2,IF('SK-ratios'!CB33&gt;'SK-ratios'!$Y33,0,10-10*LOG(1+('SK-ratios'!$U33-1)*('SK-ratios'!CB33-'SK-ratios'!$AC33)/('SK-ratios'!$Y33-'SK-ratios'!$AC33))/LOG('SK-ratios'!$U33)))</f>
        <v>5.5288369680698972</v>
      </c>
      <c r="BT30" s="455">
        <f>IF('SK-ratios'!CC33&lt;0,IF(ABS('SK-ratios'!CC33)&gt;'SK-ratios'!$Y33,0,10-10*LOG(1+('SK-ratios'!$U33-1)*(ABS('SK-ratios'!CC33)-'SK-ratios'!$AC33)/('SK-ratios'!$Y33-'SK-ratios'!$AC33))/LOG('SK-ratios'!$U33))/2,IF('SK-ratios'!CC33&gt;'SK-ratios'!$Y33,0,10-10*LOG(1+('SK-ratios'!$U33-1)*('SK-ratios'!CC33-'SK-ratios'!$AC33)/('SK-ratios'!$Y33-'SK-ratios'!$AC33))/LOG('SK-ratios'!$U33)))</f>
        <v>4.9129612593584771</v>
      </c>
      <c r="BU30" s="455">
        <f>IF('SK-ratios'!CD33&lt;0,IF(ABS('SK-ratios'!CD33)&gt;'SK-ratios'!$Y33,0,10-10*LOG(1+('SK-ratios'!$U33-1)*(ABS('SK-ratios'!CD33)-'SK-ratios'!$AC33)/('SK-ratios'!$Y33-'SK-ratios'!$AC33))/LOG('SK-ratios'!$U33))/2,IF('SK-ratios'!CD33&gt;'SK-ratios'!$Y33,0,10-10*LOG(1+('SK-ratios'!$U33-1)*('SK-ratios'!CD33-'SK-ratios'!$AC33)/('SK-ratios'!$Y33-'SK-ratios'!$AC33))/LOG('SK-ratios'!$U33)))</f>
        <v>6.1751836004692722</v>
      </c>
      <c r="BV30" s="455">
        <f>IF('SK-ratios'!CE33&lt;0,IF(ABS('SK-ratios'!CE33)&gt;'SK-ratios'!$Y33,0,10-10*LOG(1+('SK-ratios'!$U33-1)*(ABS('SK-ratios'!CE33)-'SK-ratios'!$AC33)/('SK-ratios'!$Y33-'SK-ratios'!$AC33))/LOG('SK-ratios'!$U33))/2,IF('SK-ratios'!CE33&gt;'SK-ratios'!$Y33,0,10-10*LOG(1+('SK-ratios'!$U33-1)*('SK-ratios'!CE33-'SK-ratios'!$AC33)/('SK-ratios'!$Y33-'SK-ratios'!$AC33))/LOG('SK-ratios'!$U33)))</f>
        <v>3.6340000256775085</v>
      </c>
      <c r="BW30" s="455">
        <f>IF('SK-ratios'!CF33&lt;0,IF(ABS('SK-ratios'!CF33)&gt;'SK-ratios'!$Y33,0,10-10*LOG(1+('SK-ratios'!$U33-1)*(ABS('SK-ratios'!CF33)-'SK-ratios'!$AC33)/('SK-ratios'!$Y33-'SK-ratios'!$AC33))/LOG('SK-ratios'!$U33))/2,IF('SK-ratios'!CF33&gt;'SK-ratios'!$Y33,0,10-10*LOG(1+('SK-ratios'!$U33-1)*('SK-ratios'!CF33-'SK-ratios'!$AC33)/('SK-ratios'!$Y33-'SK-ratios'!$AC33))/LOG('SK-ratios'!$U33)))</f>
        <v>1.0305711392681101</v>
      </c>
      <c r="BX30" s="455">
        <f>IF('SK-ratios'!CG33&lt;0,IF(ABS('SK-ratios'!CG33)&gt;'SK-ratios'!$Y33,0,10-10*LOG(1+('SK-ratios'!$U33-1)*(ABS('SK-ratios'!CG33)-'SK-ratios'!$AC33)/('SK-ratios'!$Y33-'SK-ratios'!$AC33))/LOG('SK-ratios'!$U33))/2,IF('SK-ratios'!CG33&gt;'SK-ratios'!$Y33,0,10-10*LOG(1+('SK-ratios'!$U33-1)*('SK-ratios'!CG33-'SK-ratios'!$AC33)/('SK-ratios'!$Y33-'SK-ratios'!$AC33))/LOG('SK-ratios'!$U33)))</f>
        <v>3.0691049045979577</v>
      </c>
      <c r="BY30" s="455">
        <f>IF('SK-ratios'!CH33&lt;0,IF(ABS('SK-ratios'!CH33)&gt;'SK-ratios'!$Y33,0,10-10*LOG(1+('SK-ratios'!$U33-1)*(ABS('SK-ratios'!CH33)-'SK-ratios'!$AC33)/('SK-ratios'!$Y33-'SK-ratios'!$AC33))/LOG('SK-ratios'!$U33))/2,IF('SK-ratios'!CH33&gt;'SK-ratios'!$Y33,0,10-10*LOG(1+('SK-ratios'!$U33-1)*('SK-ratios'!CH33-'SK-ratios'!$AC33)/('SK-ratios'!$Y33-'SK-ratios'!$AC33))/LOG('SK-ratios'!$U33)))</f>
        <v>7.3372649750857484</v>
      </c>
      <c r="BZ30" s="455">
        <f>IF('SK-ratios'!CI33&lt;0,IF(ABS('SK-ratios'!CI33)&gt;'SK-ratios'!$Y33,0,10-10*LOG(1+('SK-ratios'!$U33-1)*(ABS('SK-ratios'!CI33)-'SK-ratios'!$AC33)/('SK-ratios'!$Y33-'SK-ratios'!$AC33))/LOG('SK-ratios'!$U33))/2,IF('SK-ratios'!CI33&gt;'SK-ratios'!$Y33,0,10-10*LOG(1+('SK-ratios'!$U33-1)*('SK-ratios'!CI33-'SK-ratios'!$AC33)/('SK-ratios'!$Y33-'SK-ratios'!$AC33))/LOG('SK-ratios'!$U33)))</f>
        <v>4.0402851988797392</v>
      </c>
      <c r="CA30" s="455">
        <f>IF('SK-ratios'!CJ33&lt;0,IF(ABS('SK-ratios'!CJ33)&gt;'SK-ratios'!$Y33,0,10-10*LOG(1+('SK-ratios'!$U33-1)*(ABS('SK-ratios'!CJ33)-'SK-ratios'!$AC33)/('SK-ratios'!$Y33-'SK-ratios'!$AC33))/LOG('SK-ratios'!$U33))/2,IF('SK-ratios'!CJ33&gt;'SK-ratios'!$Y33,0,10-10*LOG(1+('SK-ratios'!$U33-1)*('SK-ratios'!CJ33-'SK-ratios'!$AC33)/('SK-ratios'!$Y33-'SK-ratios'!$AC33))/LOG('SK-ratios'!$U33)))</f>
        <v>6.6321021571867842</v>
      </c>
      <c r="CB30" s="455">
        <f>IF('SK-ratios'!CK33&lt;0,IF(ABS('SK-ratios'!CK33)&gt;'SK-ratios'!$Y33,0,10-10*LOG(1+('SK-ratios'!$U33-1)*(ABS('SK-ratios'!CK33)-'SK-ratios'!$AC33)/('SK-ratios'!$Y33-'SK-ratios'!$AC33))/LOG('SK-ratios'!$U33))/2,IF('SK-ratios'!CK33&gt;'SK-ratios'!$Y33,0,10-10*LOG(1+('SK-ratios'!$U33-1)*('SK-ratios'!CK33-'SK-ratios'!$AC33)/('SK-ratios'!$Y33-'SK-ratios'!$AC33))/LOG('SK-ratios'!$U33)))</f>
        <v>4.8278039528997923</v>
      </c>
      <c r="CC30" s="455">
        <f>IF('SK-ratios'!CL33&lt;0,IF(ABS('SK-ratios'!CL33)&gt;'SK-ratios'!$Y33,0,10-10*LOG(1+('SK-ratios'!$U33-1)*(ABS('SK-ratios'!CL33)-'SK-ratios'!$AC33)/('SK-ratios'!$Y33-'SK-ratios'!$AC33))/LOG('SK-ratios'!$U33))/2,IF('SK-ratios'!CL33&gt;'SK-ratios'!$Y33,0,10-10*LOG(1+('SK-ratios'!$U33-1)*('SK-ratios'!CL33-'SK-ratios'!$AC33)/('SK-ratios'!$Y33-'SK-ratios'!$AC33))/LOG('SK-ratios'!$U33)))</f>
        <v>6.4626950695111232</v>
      </c>
      <c r="CD30" s="455">
        <f>IF('SK-ratios'!CM33&lt;0,IF(ABS('SK-ratios'!CM33)&gt;'SK-ratios'!$Y33,0,10-10*LOG(1+('SK-ratios'!$U33-1)*(ABS('SK-ratios'!CM33)-'SK-ratios'!$AC33)/('SK-ratios'!$Y33-'SK-ratios'!$AC33))/LOG('SK-ratios'!$U33))/2,IF('SK-ratios'!CM33&gt;'SK-ratios'!$Y33,0,10-10*LOG(1+('SK-ratios'!$U33-1)*('SK-ratios'!CM33-'SK-ratios'!$AC33)/('SK-ratios'!$Y33-'SK-ratios'!$AC33))/LOG('SK-ratios'!$U33)))</f>
        <v>6.9486343128162487</v>
      </c>
      <c r="CE30" s="455">
        <f>IF('SK-ratios'!CN33&lt;0,IF(ABS('SK-ratios'!CN33)&gt;'SK-ratios'!$Y33,0,10-10*LOG(1+('SK-ratios'!$U33-1)*(ABS('SK-ratios'!CN33)-'SK-ratios'!$AC33)/('SK-ratios'!$Y33-'SK-ratios'!$AC33))/LOG('SK-ratios'!$U33))/2,IF('SK-ratios'!CN33&gt;'SK-ratios'!$Y33,0,10-10*LOG(1+('SK-ratios'!$U33-1)*('SK-ratios'!CN33-'SK-ratios'!$AC33)/('SK-ratios'!$Y33-'SK-ratios'!$AC33))/LOG('SK-ratios'!$U33)))</f>
        <v>4.8799256164258971</v>
      </c>
      <c r="CF30" s="455">
        <f>IF('SK-ratios'!CO33&lt;0,IF(ABS('SK-ratios'!CO33)&gt;'SK-ratios'!$Y33,0,10-10*LOG(1+('SK-ratios'!$U33-1)*(ABS('SK-ratios'!CO33)-'SK-ratios'!$AC33)/('SK-ratios'!$Y33-'SK-ratios'!$AC33))/LOG('SK-ratios'!$U33))/2,IF('SK-ratios'!CO33&gt;'SK-ratios'!$Y33,0,10-10*LOG(1+('SK-ratios'!$U33-1)*('SK-ratios'!CO33-'SK-ratios'!$AC33)/('SK-ratios'!$Y33-'SK-ratios'!$AC33))/LOG('SK-ratios'!$U33)))</f>
        <v>7.4009153820533244</v>
      </c>
      <c r="CG30" s="455">
        <f>IF('SK-ratios'!CP33&lt;0,IF(ABS('SK-ratios'!CP33)&gt;'SK-ratios'!$Y33,0,10-10*LOG(1+('SK-ratios'!$U33-1)*(ABS('SK-ratios'!CP33)-'SK-ratios'!$AC33)/('SK-ratios'!$Y33-'SK-ratios'!$AC33))/LOG('SK-ratios'!$U33))/2,IF('SK-ratios'!CP33&gt;'SK-ratios'!$Y33,0,10-10*LOG(1+('SK-ratios'!$U33-1)*('SK-ratios'!CP33-'SK-ratios'!$AC33)/('SK-ratios'!$Y33-'SK-ratios'!$AC33))/LOG('SK-ratios'!$U33)))</f>
        <v>5.1595110871318637</v>
      </c>
      <c r="CH30" s="455">
        <f>IF('SK-ratios'!CQ33&lt;0,IF(ABS('SK-ratios'!CQ33)&gt;'SK-ratios'!$Y33,0,10-10*LOG(1+('SK-ratios'!$U33-1)*(ABS('SK-ratios'!CQ33)-'SK-ratios'!$AC33)/('SK-ratios'!$Y33-'SK-ratios'!$AC33))/LOG('SK-ratios'!$U33))/2,IF('SK-ratios'!CQ33&gt;'SK-ratios'!$Y33,0,10-10*LOG(1+('SK-ratios'!$U33-1)*('SK-ratios'!CQ33-'SK-ratios'!$AC33)/('SK-ratios'!$Y33-'SK-ratios'!$AC33))/LOG('SK-ratios'!$U33)))</f>
        <v>8.4963611885796659</v>
      </c>
      <c r="CI30" s="455">
        <f>IF('SK-ratios'!CR33&lt;0,IF(ABS('SK-ratios'!CR33)&gt;'SK-ratios'!$Y33,0,10-10*LOG(1+('SK-ratios'!$U33-1)*(ABS('SK-ratios'!CR33)-'SK-ratios'!$AC33)/('SK-ratios'!$Y33-'SK-ratios'!$AC33))/LOG('SK-ratios'!$U33))/2,IF('SK-ratios'!CR33&gt;'SK-ratios'!$Y33,0,10-10*LOG(1+('SK-ratios'!$U33-1)*('SK-ratios'!CR33-'SK-ratios'!$AC33)/('SK-ratios'!$Y33-'SK-ratios'!$AC33))/LOG('SK-ratios'!$U33)))</f>
        <v>6.4999962585119553</v>
      </c>
      <c r="CJ30" s="455">
        <f>IF('SK-ratios'!CS33&lt;0,IF(ABS('SK-ratios'!CS33)&gt;'SK-ratios'!$Y33,0,10-10*LOG(1+('SK-ratios'!$U33-1)*(ABS('SK-ratios'!CS33)-'SK-ratios'!$AC33)/('SK-ratios'!$Y33-'SK-ratios'!$AC33))/LOG('SK-ratios'!$U33))/2,IF('SK-ratios'!CS33&gt;'SK-ratios'!$Y33,0,10-10*LOG(1+('SK-ratios'!$U33-1)*('SK-ratios'!CS33-'SK-ratios'!$AC33)/('SK-ratios'!$Y33-'SK-ratios'!$AC33))/LOG('SK-ratios'!$U33)))</f>
        <v>6.5913247305771794</v>
      </c>
      <c r="CK30" s="455">
        <f>IF('SK-ratios'!CT33&lt;0,IF(ABS('SK-ratios'!CT33)&gt;'SK-ratios'!$Y33,0,10-10*LOG(1+('SK-ratios'!$U33-1)*(ABS('SK-ratios'!CT33)-'SK-ratios'!$AC33)/('SK-ratios'!$Y33-'SK-ratios'!$AC33))/LOG('SK-ratios'!$U33))/2,IF('SK-ratios'!CT33&gt;'SK-ratios'!$Y33,0,10-10*LOG(1+('SK-ratios'!$U33-1)*('SK-ratios'!CT33-'SK-ratios'!$AC33)/('SK-ratios'!$Y33-'SK-ratios'!$AC33))/LOG('SK-ratios'!$U33)))</f>
        <v>7.3078954387057236</v>
      </c>
      <c r="CL30" s="455">
        <f>IF('SK-ratios'!CU33&lt;0,IF(ABS('SK-ratios'!CU33)&gt;'SK-ratios'!$Y33,0,10-10*LOG(1+('SK-ratios'!$U33-1)*(ABS('SK-ratios'!CU33)-'SK-ratios'!$AC33)/('SK-ratios'!$Y33-'SK-ratios'!$AC33))/LOG('SK-ratios'!$U33))/2,IF('SK-ratios'!CU33&gt;'SK-ratios'!$Y33,0,10-10*LOG(1+('SK-ratios'!$U33-1)*('SK-ratios'!CU33-'SK-ratios'!$AC33)/('SK-ratios'!$Y33-'SK-ratios'!$AC33))/LOG('SK-ratios'!$U33)))</f>
        <v>3.3517617390189356</v>
      </c>
      <c r="CM30" s="455">
        <f>IF('SK-ratios'!CV33&lt;0,IF(ABS('SK-ratios'!CV33)&gt;'SK-ratios'!$Y33,0,10-10*LOG(1+('SK-ratios'!$U33-1)*(ABS('SK-ratios'!CV33)-'SK-ratios'!$AC33)/('SK-ratios'!$Y33-'SK-ratios'!$AC33))/LOG('SK-ratios'!$U33))/2,IF('SK-ratios'!CV33&gt;'SK-ratios'!$Y33,0,10-10*LOG(1+('SK-ratios'!$U33-1)*('SK-ratios'!CV33-'SK-ratios'!$AC33)/('SK-ratios'!$Y33-'SK-ratios'!$AC33))/LOG('SK-ratios'!$U33)))</f>
        <v>4.064720024973381</v>
      </c>
      <c r="CN30" s="455">
        <f>IF('SK-ratios'!CW33&lt;0,IF(ABS('SK-ratios'!CW33)&gt;'SK-ratios'!$Y33,0,10-10*LOG(1+('SK-ratios'!$U33-1)*(ABS('SK-ratios'!CW33)-'SK-ratios'!$AC33)/('SK-ratios'!$Y33-'SK-ratios'!$AC33))/LOG('SK-ratios'!$U33))/2,IF('SK-ratios'!CW33&gt;'SK-ratios'!$Y33,0,10-10*LOG(1+('SK-ratios'!$U33-1)*('SK-ratios'!CW33-'SK-ratios'!$AC33)/('SK-ratios'!$Y33-'SK-ratios'!$AC33))/LOG('SK-ratios'!$U33)))</f>
        <v>3.6138291662078563</v>
      </c>
      <c r="CO30" s="455">
        <f>IF('SK-ratios'!CX33&lt;0,IF(ABS('SK-ratios'!CX33)&gt;'SK-ratios'!$Y33,0,10-10*LOG(1+('SK-ratios'!$U33-1)*(ABS('SK-ratios'!CX33)-'SK-ratios'!$AC33)/('SK-ratios'!$Y33-'SK-ratios'!$AC33))/LOG('SK-ratios'!$U33))/2,IF('SK-ratios'!CX33&gt;'SK-ratios'!$Y33,0,10-10*LOG(1+('SK-ratios'!$U33-1)*('SK-ratios'!CX33-'SK-ratios'!$AC33)/('SK-ratios'!$Y33-'SK-ratios'!$AC33))/LOG('SK-ratios'!$U33)))</f>
        <v>4.6590212800178072</v>
      </c>
      <c r="CP30" s="455">
        <f>IF('SK-ratios'!CY33&lt;0,IF(ABS('SK-ratios'!CY33)&gt;'SK-ratios'!$Y33,0,10-10*LOG(1+('SK-ratios'!$U33-1)*(ABS('SK-ratios'!CY33)-'SK-ratios'!$AC33)/('SK-ratios'!$Y33-'SK-ratios'!$AC33))/LOG('SK-ratios'!$U33))/2,IF('SK-ratios'!CY33&gt;'SK-ratios'!$Y33,0,10-10*LOG(1+('SK-ratios'!$U33-1)*('SK-ratios'!CY33-'SK-ratios'!$AC33)/('SK-ratios'!$Y33-'SK-ratios'!$AC33))/LOG('SK-ratios'!$U33)))</f>
        <v>4.2008572275599221</v>
      </c>
      <c r="CQ30" s="455">
        <f>IF('SK-ratios'!CZ33&lt;0,IF(ABS('SK-ratios'!CZ33)&gt;'SK-ratios'!$Y33,0,10-10*LOG(1+('SK-ratios'!$U33-1)*(ABS('SK-ratios'!CZ33)-'SK-ratios'!$AC33)/('SK-ratios'!$Y33-'SK-ratios'!$AC33))/LOG('SK-ratios'!$U33))/2,IF('SK-ratios'!CZ33&gt;'SK-ratios'!$Y33,0,10-10*LOG(1+('SK-ratios'!$U33-1)*('SK-ratios'!CZ33-'SK-ratios'!$AC33)/('SK-ratios'!$Y33-'SK-ratios'!$AC33))/LOG('SK-ratios'!$U33)))</f>
        <v>4.4325342606248359</v>
      </c>
      <c r="CR30" s="455">
        <f>IF('SK-ratios'!DA33&lt;0,IF(ABS('SK-ratios'!DA33)&gt;'SK-ratios'!$Y33,0,10-10*LOG(1+('SK-ratios'!$U33-1)*(ABS('SK-ratios'!DA33)-'SK-ratios'!$AC33)/('SK-ratios'!$Y33-'SK-ratios'!$AC33))/LOG('SK-ratios'!$U33))/2,IF('SK-ratios'!DA33&gt;'SK-ratios'!$Y33,0,10-10*LOG(1+('SK-ratios'!$U33-1)*('SK-ratios'!DA33-'SK-ratios'!$AC33)/('SK-ratios'!$Y33-'SK-ratios'!$AC33))/LOG('SK-ratios'!$U33)))</f>
        <v>6.9926738908158832</v>
      </c>
      <c r="CS30" s="455">
        <f>IF('SK-ratios'!DB33&lt;0,IF(ABS('SK-ratios'!DB33)&gt;'SK-ratios'!$Y33,0,10-10*LOG(1+('SK-ratios'!$U33-1)*(ABS('SK-ratios'!DB33)-'SK-ratios'!$AC33)/('SK-ratios'!$Y33-'SK-ratios'!$AC33))/LOG('SK-ratios'!$U33))/2,IF('SK-ratios'!DB33&gt;'SK-ratios'!$Y33,0,10-10*LOG(1+('SK-ratios'!$U33-1)*('SK-ratios'!DB33-'SK-ratios'!$AC33)/('SK-ratios'!$Y33-'SK-ratios'!$AC33))/LOG('SK-ratios'!$U33)))</f>
        <v>5.6580166249636834</v>
      </c>
      <c r="CT30" s="455">
        <f>IF('SK-ratios'!DC33&lt;0,IF(ABS('SK-ratios'!DC33)&gt;'SK-ratios'!$Y33,0,10-10*LOG(1+('SK-ratios'!$U33-1)*(ABS('SK-ratios'!DC33)-'SK-ratios'!$AC33)/('SK-ratios'!$Y33-'SK-ratios'!$AC33))/LOG('SK-ratios'!$U33))/2,IF('SK-ratios'!DC33&gt;'SK-ratios'!$Y33,0,10-10*LOG(1+('SK-ratios'!$U33-1)*('SK-ratios'!DC33-'SK-ratios'!$AC33)/('SK-ratios'!$Y33-'SK-ratios'!$AC33))/LOG('SK-ratios'!$U33)))</f>
        <v>3.4428951392863203</v>
      </c>
      <c r="CU30" s="455">
        <f>IF('SK-ratios'!DD33&lt;0,IF(ABS('SK-ratios'!DD33)&gt;'SK-ratios'!$Y33,0,10-10*LOG(1+('SK-ratios'!$U33-1)*(ABS('SK-ratios'!DD33)-'SK-ratios'!$AC33)/('SK-ratios'!$Y33-'SK-ratios'!$AC33))/LOG('SK-ratios'!$U33))/2,IF('SK-ratios'!DD33&gt;'SK-ratios'!$Y33,0,10-10*LOG(1+('SK-ratios'!$U33-1)*('SK-ratios'!DD33-'SK-ratios'!$AC33)/('SK-ratios'!$Y33-'SK-ratios'!$AC33))/LOG('SK-ratios'!$U33)))</f>
        <v>1.9693453060644162</v>
      </c>
      <c r="CV30" s="455">
        <f>IF('SK-ratios'!DE33&lt;0,IF(ABS('SK-ratios'!DE33)&gt;'SK-ratios'!$Y33,0,10-10*LOG(1+('SK-ratios'!$U33-1)*(ABS('SK-ratios'!DE33)-'SK-ratios'!$AC33)/('SK-ratios'!$Y33-'SK-ratios'!$AC33))/LOG('SK-ratios'!$U33))/2,IF('SK-ratios'!DE33&gt;'SK-ratios'!$Y33,0,10-10*LOG(1+('SK-ratios'!$U33-1)*('SK-ratios'!DE33-'SK-ratios'!$AC33)/('SK-ratios'!$Y33-'SK-ratios'!$AC33))/LOG('SK-ratios'!$U33)))</f>
        <v>5.508075422879771</v>
      </c>
      <c r="CW30" s="455">
        <f>IF('SK-ratios'!DF33&lt;0,IF(ABS('SK-ratios'!DF33)&gt;'SK-ratios'!$Y33,0,10-10*LOG(1+('SK-ratios'!$U33-1)*(ABS('SK-ratios'!DF33)-'SK-ratios'!$AC33)/('SK-ratios'!$Y33-'SK-ratios'!$AC33))/LOG('SK-ratios'!$U33))/2,IF('SK-ratios'!DF33&gt;'SK-ratios'!$Y33,0,10-10*LOG(1+('SK-ratios'!$U33-1)*('SK-ratios'!DF33-'SK-ratios'!$AC33)/('SK-ratios'!$Y33-'SK-ratios'!$AC33))/LOG('SK-ratios'!$U33)))</f>
        <v>4.2527642899611946</v>
      </c>
      <c r="CX30" s="455">
        <f>IF('SK-ratios'!DG33&lt;0,IF(ABS('SK-ratios'!DG33)&gt;'SK-ratios'!$Y33,0,10-10*LOG(1+('SK-ratios'!$U33-1)*(ABS('SK-ratios'!DG33)-'SK-ratios'!$AC33)/('SK-ratios'!$Y33-'SK-ratios'!$AC33))/LOG('SK-ratios'!$U33))/2,IF('SK-ratios'!DG33&gt;'SK-ratios'!$Y33,0,10-10*LOG(1+('SK-ratios'!$U33-1)*('SK-ratios'!DG33-'SK-ratios'!$AC33)/('SK-ratios'!$Y33-'SK-ratios'!$AC33))/LOG('SK-ratios'!$U33)))</f>
        <v>0</v>
      </c>
      <c r="CZ30" s="546"/>
      <c r="DA30" s="455">
        <f t="array" ref="DA30">SUMPRODUCT(IF(($W$3:$CX$3=DA$3)*($W$2:$CX$2=DA$2),$W30:$CX30),IF(($W$3:$CX$3=DA$3)*($W$2:$CX$2=DA$2),$W$36:$CX$36))/SUM(IF(($W$3:$CX$3=DA$3)*($W$2:$CX$2=DA$2),$W$36:$CX$36))</f>
        <v>5.8830596602200487</v>
      </c>
      <c r="DB30" s="455">
        <f t="array" ref="DB30">SUMPRODUCT(IF(($W$3:$CX$3=DB$3)*($W$2:$CX$2=DB$2),$W30:$CX30),IF(($W$3:$CX$3=DB$3)*($W$2:$CX$2=DB$2),$W$36:$CX$36))/SUM(IF(($W$3:$CX$3=DB$3)*($W$2:$CX$2=DB$2),$W$36:$CX$36))</f>
        <v>6.1221827585382567</v>
      </c>
      <c r="DC30" s="455">
        <f t="array" ref="DC30">SUMPRODUCT(IF(($W$3:$CX$3=DC$3)*($W$2:$CX$2=DC$2),$W30:$CX30),IF(($W$3:$CX$3=DC$3)*($W$2:$CX$2=DC$2),$W$36:$CX$36))/SUM(IF(($W$3:$CX$3=DC$3)*($W$2:$CX$2=DC$2),$W$36:$CX$36))</f>
        <v>4.0527511254905741</v>
      </c>
      <c r="DD30" s="455">
        <f t="array" ref="DD30">SUMPRODUCT(IF(($W$3:$CX$3=DD$3)*($W$2:$CX$2=DD$2),$W30:$CX30),IF(($W$3:$CX$3=DD$3)*($W$2:$CX$2=DD$2),$W$36:$CX$36))/SUM(IF(($W$3:$CX$3=DD$3)*($W$2:$CX$2=DD$2),$W$36:$CX$36))</f>
        <v>5.1454047471260491</v>
      </c>
      <c r="DE30" s="455">
        <f t="array" ref="DE30">SUMPRODUCT(IF(($W$3:$CX$3=DE$3)*($W$2:$CX$2=DE$2),$W30:$CX30),IF(($W$3:$CX$3=DE$3)*($W$2:$CX$2=DE$2),$W$36:$CX$36))/SUM(IF(($W$3:$CX$3=DE$3)*($W$2:$CX$2=DE$2),$W$36:$CX$36))</f>
        <v>4.4110313750996655</v>
      </c>
      <c r="DF30" s="455">
        <f t="array" ref="DF30">SUMPRODUCT(IF(($W$3:$CX$3=DF$3)*($W$2:$CX$2=DF$2),$W30:$CX30),IF(($W$3:$CX$3=DF$3)*($W$2:$CX$2=DF$2),$W$36:$CX$36))/SUM(IF(($W$3:$CX$3=DF$3)*($W$2:$CX$2=DF$2),$W$36:$CX$36))</f>
        <v>4.8922855440208721</v>
      </c>
      <c r="DG30" s="455">
        <f t="array" ref="DG30">SUMPRODUCT(IF(($W$3:$CX$3=DG$3)*($W$2:$CX$2=DG$2),$W30:$CX30),IF(($W$3:$CX$3=DG$3)*($W$2:$CX$2=DG$2),$W$36:$CX$36))/SUM(IF(($W$3:$CX$3=DG$3)*($W$2:$CX$2=DG$2),$W$36:$CX$36))</f>
        <v>4.5317089040799576</v>
      </c>
      <c r="DH30" s="455">
        <f t="array" ref="DH30">SUMPRODUCT(IF(($W$3:$CX$3=DH$3)*($W$2:$CX$2=DH$2),$W30:$CX30),IF(($W$3:$CX$3=DH$3)*($W$2:$CX$2=DH$2),$W$36:$CX$36))/SUM(IF(($W$3:$CX$3=DH$3)*($W$2:$CX$2=DH$2),$W$36:$CX$36))</f>
        <v>5.5998388200692384</v>
      </c>
      <c r="DI30" s="455">
        <f t="array" ref="DI30">SUMPRODUCT(IF(($W$3:$CX$3=DI$3)*($W$2:$CX$2=DI$2),$W30:$CX30),IF(($W$3:$CX$3=DI$3)*($W$2:$CX$2=DI$2),$W$36:$CX$36))/SUM(IF(($W$3:$CX$3=DI$3)*($W$2:$CX$2=DI$2),$W$36:$CX$36))</f>
        <v>4.7583052425561156</v>
      </c>
      <c r="DJ30" s="455">
        <f t="array" ref="DJ30">SUMPRODUCT(IF(($W$3:$CX$3=DJ$3)*($W$2:$CX$2=DJ$2),$W30:$CX30),IF(($W$3:$CX$3=DJ$3)*($W$2:$CX$2=DJ$2),$W$36:$CX$36))/SUM(IF(($W$3:$CX$3=DJ$3)*($W$2:$CX$2=DJ$2),$W$36:$CX$36))</f>
        <v>5.2390788569635456</v>
      </c>
      <c r="DK30" s="455">
        <f t="array" ref="DK30">SUMPRODUCT(IF(($W$3:$CX$3=DK$3)*1,$W30:$CX30),IF(($W$3:$CX$3=DK$3)*1,$W$36:$CX$36))/SUM(IF(($W$3:$CX$3=DK$3)*1,$W$36:$CX$36))</f>
        <v>5.2469423128977439</v>
      </c>
      <c r="DL30" s="455">
        <f t="array" ref="DL30">SUMPRODUCT(IF(($W$3:$CX$3=DL$3)*1,$W30:$CX30),IF(($W$3:$CX$3=DL$3)*1,$W$36:$CX$36))/SUM(IF(($W$3:$CX$3=DL$3)*1,$W$36:$CX$36))</f>
        <v>4.7684077999889416</v>
      </c>
      <c r="DM30" s="455">
        <f t="array" ref="DM30">SUMPRODUCT(IF(($W$3:$CX$3=DM$3)*1,$W30:$CX30),IF(($W$3:$CX$3=DM$3)*1,$W$36:$CX$36))/SUM(IF(($W$3:$CX$3=DM$3)*1,$W$36:$CX$36))</f>
        <v>5.0214081794301437</v>
      </c>
      <c r="DN30" s="455">
        <f t="array" ref="DN30">SUMPRODUCT(IF(1*($W$2:$CX$2=DN$2),$W30:$CX30),IF(1*($W$2:$CX$2=DN$2),$W$36:$CX$36))/SUM(IF(1*($W$2:$CX$2=DN$2),$W$36:$CX$36))</f>
        <v>5.049932114272579</v>
      </c>
      <c r="DO30" s="455">
        <f t="array" ref="DO30">SUMPRODUCT(IF(1*($W$2:$CX$2=DO$2),$W30:$CX30),IF(1*($W$2:$CX$2=DO$2),$W$36:$CX$36))/SUM(IF(1*($W$2:$CX$2=DO$2),$W$36:$CX$36))</f>
        <v>4.9844359969829428</v>
      </c>
      <c r="DP30" s="455">
        <f t="array" ref="DP30">SUMPRODUCT(IF(1*1,$W30:$CX30),IF(1*1,$W$36:$CX$36))/SUM(IF(1*1,$W$36:$CX$36))</f>
        <v>5.0248722964701091</v>
      </c>
    </row>
    <row r="31" spans="1:120" s="461" customFormat="1" ht="15.75" customHeight="1" thickBot="1" x14ac:dyDescent="0.3">
      <c r="A31" s="641"/>
      <c r="B31" s="635"/>
      <c r="C31" s="458" t="str">
        <f>'MD-ratings-year'!C31:E31</f>
        <v>Leverage total</v>
      </c>
      <c r="D31" s="459"/>
      <c r="E31" s="459"/>
      <c r="F31" s="589" t="s">
        <v>400</v>
      </c>
      <c r="G31" s="653"/>
      <c r="K31" s="267"/>
      <c r="L31" s="569"/>
      <c r="M31" s="569"/>
      <c r="N31" s="569"/>
      <c r="O31" s="267"/>
      <c r="P31" s="267"/>
      <c r="Q31" s="267"/>
      <c r="R31" s="267"/>
      <c r="S31" s="266"/>
      <c r="T31" s="266"/>
      <c r="U31" s="266"/>
      <c r="V31" s="268"/>
      <c r="W31" s="465">
        <f>SUMPRODUCT(W29:W30,$C29:$C30)/SUM($C29:$C30)</f>
        <v>4.7794537722629311</v>
      </c>
      <c r="X31" s="465">
        <f t="shared" ref="X31:CI31" si="14">SUMPRODUCT(X29:X30,$C29:$C30)/SUM($C29:$C30)</f>
        <v>6.6104296701348959</v>
      </c>
      <c r="Y31" s="465">
        <f t="shared" si="14"/>
        <v>2.6248913615862537</v>
      </c>
      <c r="Z31" s="465">
        <f t="shared" si="14"/>
        <v>2.9065686423183479</v>
      </c>
      <c r="AA31" s="465">
        <f t="shared" si="14"/>
        <v>2.5298372290582543</v>
      </c>
      <c r="AB31" s="465">
        <f t="shared" si="14"/>
        <v>3.3143621668475785</v>
      </c>
      <c r="AC31" s="465">
        <f t="shared" si="14"/>
        <v>4.6934603763710561</v>
      </c>
      <c r="AD31" s="465">
        <f t="shared" si="14"/>
        <v>3.009665289140139</v>
      </c>
      <c r="AE31" s="465">
        <f t="shared" si="14"/>
        <v>2.4140212308584097</v>
      </c>
      <c r="AF31" s="465">
        <f t="shared" si="14"/>
        <v>2.1204042168934181</v>
      </c>
      <c r="AG31" s="465">
        <f t="shared" si="14"/>
        <v>3.5156694657875471</v>
      </c>
      <c r="AH31" s="465">
        <f t="shared" si="14"/>
        <v>6.6928083241555214</v>
      </c>
      <c r="AI31" s="465">
        <f t="shared" si="14"/>
        <v>2.7313244481934178</v>
      </c>
      <c r="AJ31" s="465">
        <f t="shared" si="14"/>
        <v>3.0084956440515862</v>
      </c>
      <c r="AK31" s="465">
        <f t="shared" si="14"/>
        <v>2.5975696787964955</v>
      </c>
      <c r="AL31" s="465">
        <f t="shared" si="14"/>
        <v>2.5430628202894847</v>
      </c>
      <c r="AM31" s="465">
        <f t="shared" si="14"/>
        <v>3.583473900326501</v>
      </c>
      <c r="AN31" s="465">
        <f t="shared" si="14"/>
        <v>3.1233568111094039</v>
      </c>
      <c r="AO31" s="465">
        <f t="shared" si="14"/>
        <v>4.2420288429550563</v>
      </c>
      <c r="AP31" s="465">
        <f t="shared" si="14"/>
        <v>2.0232502238262957</v>
      </c>
      <c r="AQ31" s="465">
        <f t="shared" si="14"/>
        <v>1.0015966712009483</v>
      </c>
      <c r="AR31" s="465">
        <f t="shared" si="14"/>
        <v>6.6841056421531144</v>
      </c>
      <c r="AS31" s="465">
        <f t="shared" si="14"/>
        <v>4.2431678228983722</v>
      </c>
      <c r="AT31" s="465">
        <f t="shared" si="14"/>
        <v>1.1415543009455411</v>
      </c>
      <c r="AU31" s="465">
        <f t="shared" si="14"/>
        <v>2.817316582622142</v>
      </c>
      <c r="AV31" s="465">
        <f t="shared" si="14"/>
        <v>6.5731178526478136</v>
      </c>
      <c r="AW31" s="465">
        <f t="shared" si="14"/>
        <v>2.0213487094945548</v>
      </c>
      <c r="AX31" s="465">
        <f t="shared" si="14"/>
        <v>2.9055181025120627</v>
      </c>
      <c r="AY31" s="465">
        <f t="shared" si="14"/>
        <v>5.859838234721277</v>
      </c>
      <c r="AZ31" s="465">
        <f t="shared" si="14"/>
        <v>2.9934658213975496</v>
      </c>
      <c r="BA31" s="465">
        <f t="shared" si="14"/>
        <v>4.8446974517043468</v>
      </c>
      <c r="BB31" s="465">
        <f t="shared" si="14"/>
        <v>3.4607501200169839</v>
      </c>
      <c r="BC31" s="465">
        <f t="shared" si="14"/>
        <v>2.1075195231991222</v>
      </c>
      <c r="BD31" s="465">
        <f t="shared" si="14"/>
        <v>3.0218585111530989</v>
      </c>
      <c r="BE31" s="465">
        <f t="shared" si="14"/>
        <v>4.7745016161682097</v>
      </c>
      <c r="BF31" s="465">
        <f t="shared" si="14"/>
        <v>3.9367767546823571</v>
      </c>
      <c r="BG31" s="465">
        <f t="shared" si="14"/>
        <v>3.619529956094226</v>
      </c>
      <c r="BH31" s="465">
        <f t="shared" si="14"/>
        <v>4.0167270444134955</v>
      </c>
      <c r="BI31" s="465">
        <f t="shared" si="14"/>
        <v>2.8355511458877776</v>
      </c>
      <c r="BJ31" s="465">
        <f t="shared" si="14"/>
        <v>2.1499305911536055</v>
      </c>
      <c r="BK31" s="465">
        <f t="shared" si="14"/>
        <v>3.1182155607153983</v>
      </c>
      <c r="BL31" s="465">
        <f t="shared" si="14"/>
        <v>0.96848551115844661</v>
      </c>
      <c r="BM31" s="465">
        <f t="shared" si="14"/>
        <v>5.2165233024566229</v>
      </c>
      <c r="BN31" s="465">
        <f t="shared" si="14"/>
        <v>2.9239896095496039</v>
      </c>
      <c r="BO31" s="465">
        <f t="shared" si="14"/>
        <v>3.2763703153069419</v>
      </c>
      <c r="BP31" s="465">
        <f t="shared" si="14"/>
        <v>2.4797610552461089</v>
      </c>
      <c r="BQ31" s="465">
        <f t="shared" si="14"/>
        <v>2.7534806377830474</v>
      </c>
      <c r="BR31" s="465">
        <f t="shared" si="14"/>
        <v>2.7335289622946752</v>
      </c>
      <c r="BS31" s="465">
        <f t="shared" si="14"/>
        <v>2.7644184840349486</v>
      </c>
      <c r="BT31" s="465">
        <f t="shared" si="14"/>
        <v>2.4564806296792385</v>
      </c>
      <c r="BU31" s="465">
        <f t="shared" si="14"/>
        <v>3.7311567432897736</v>
      </c>
      <c r="BV31" s="465">
        <f t="shared" si="14"/>
        <v>1.8170000128387542</v>
      </c>
      <c r="BW31" s="465">
        <f t="shared" si="14"/>
        <v>0.51528556963405503</v>
      </c>
      <c r="BX31" s="465">
        <f t="shared" si="14"/>
        <v>1.5345524522989789</v>
      </c>
      <c r="BY31" s="465">
        <f t="shared" si="14"/>
        <v>4.6139299383767041</v>
      </c>
      <c r="BZ31" s="465">
        <f t="shared" si="14"/>
        <v>3.1359199302780656</v>
      </c>
      <c r="CA31" s="465">
        <f t="shared" si="14"/>
        <v>3.3160510785933921</v>
      </c>
      <c r="CB31" s="465">
        <f t="shared" si="14"/>
        <v>4.0531288319614367</v>
      </c>
      <c r="CC31" s="465">
        <f t="shared" si="14"/>
        <v>5.4738779244430091</v>
      </c>
      <c r="CD31" s="465">
        <f t="shared" si="14"/>
        <v>4.7202310315420348</v>
      </c>
      <c r="CE31" s="465">
        <f t="shared" si="14"/>
        <v>2.4399628082129485</v>
      </c>
      <c r="CF31" s="465">
        <f t="shared" si="14"/>
        <v>5.3597930520719235</v>
      </c>
      <c r="CG31" s="465">
        <f t="shared" si="14"/>
        <v>2.7746773382505823</v>
      </c>
      <c r="CH31" s="465">
        <f t="shared" si="14"/>
        <v>6.4564824692880647</v>
      </c>
      <c r="CI31" s="465">
        <f t="shared" si="14"/>
        <v>3.9063134629034164</v>
      </c>
      <c r="CJ31" s="465">
        <f t="shared" ref="CJ31:CX31" si="15">SUMPRODUCT(CJ29:CJ30,$C29:$C30)/SUM($C29:$C30)</f>
        <v>3.2956623652885897</v>
      </c>
      <c r="CK31" s="465">
        <f t="shared" si="15"/>
        <v>5.4805692588428307</v>
      </c>
      <c r="CL31" s="465">
        <f t="shared" si="15"/>
        <v>1.6758808695094678</v>
      </c>
      <c r="CM31" s="465">
        <f t="shared" si="15"/>
        <v>6.7831123054869238</v>
      </c>
      <c r="CN31" s="465">
        <f t="shared" si="15"/>
        <v>1.8069145831039279</v>
      </c>
      <c r="CO31" s="465">
        <f t="shared" si="15"/>
        <v>3.798297079171149</v>
      </c>
      <c r="CP31" s="465">
        <f t="shared" si="15"/>
        <v>2.100428613779961</v>
      </c>
      <c r="CQ31" s="465">
        <f t="shared" si="15"/>
        <v>2.303469597960814</v>
      </c>
      <c r="CR31" s="465">
        <f t="shared" si="15"/>
        <v>4.6320695438931727</v>
      </c>
      <c r="CS31" s="465">
        <f t="shared" si="15"/>
        <v>2.8672764170038807</v>
      </c>
      <c r="CT31" s="465">
        <f t="shared" si="15"/>
        <v>1.7214475696431601</v>
      </c>
      <c r="CU31" s="465">
        <f t="shared" si="15"/>
        <v>2.2582109752647881</v>
      </c>
      <c r="CV31" s="465">
        <f t="shared" si="15"/>
        <v>4.3707960735274058</v>
      </c>
      <c r="CW31" s="465">
        <f t="shared" si="15"/>
        <v>2.1263821449805973</v>
      </c>
      <c r="CX31" s="465">
        <f t="shared" si="15"/>
        <v>0</v>
      </c>
      <c r="CZ31" s="585"/>
      <c r="DA31" s="462">
        <f t="array" ref="DA31">SUMPRODUCT(IF(($W$3:$CX$3=DA$3)*($W$2:$CX$2=DA$2),$W31:$CX31),IF(($W$3:$CX$3=DA$3)*($W$2:$CX$2=DA$2),$W$36:$CX$36))/SUM(IF(($W$3:$CX$3=DA$3)*($W$2:$CX$2=DA$2),$W$36:$CX$36))</f>
        <v>4.7123988364344118</v>
      </c>
      <c r="DB31" s="462">
        <f t="array" ref="DB31">SUMPRODUCT(IF(($W$3:$CX$3=DB$3)*($W$2:$CX$2=DB$2),$W31:$CX31),IF(($W$3:$CX$3=DB$3)*($W$2:$CX$2=DB$2),$W$36:$CX$36))/SUM(IF(($W$3:$CX$3=DB$3)*($W$2:$CX$2=DB$2),$W$36:$CX$36))</f>
        <v>3.6976952712110442</v>
      </c>
      <c r="DC31" s="462">
        <f t="array" ref="DC31">SUMPRODUCT(IF(($W$3:$CX$3=DC$3)*($W$2:$CX$2=DC$2),$W31:$CX31),IF(($W$3:$CX$3=DC$3)*($W$2:$CX$2=DC$2),$W$36:$CX$36))/SUM(IF(($W$3:$CX$3=DC$3)*($W$2:$CX$2=DC$2),$W$36:$CX$36))</f>
        <v>3.0574386904252924</v>
      </c>
      <c r="DD31" s="462">
        <f t="array" ref="DD31">SUMPRODUCT(IF(($W$3:$CX$3=DD$3)*($W$2:$CX$2=DD$2),$W31:$CX31),IF(($W$3:$CX$3=DD$3)*($W$2:$CX$2=DD$2),$W$36:$CX$36))/SUM(IF(($W$3:$CX$3=DD$3)*($W$2:$CX$2=DD$2),$W$36:$CX$36))</f>
        <v>3.5257692771295117</v>
      </c>
      <c r="DE31" s="462">
        <f t="array" ref="DE31">SUMPRODUCT(IF(($W$3:$CX$3=DE$3)*($W$2:$CX$2=DE$2),$W31:$CX31),IF(($W$3:$CX$3=DE$3)*($W$2:$CX$2=DE$2),$W$36:$CX$36))/SUM(IF(($W$3:$CX$3=DE$3)*($W$2:$CX$2=DE$2),$W$36:$CX$36))</f>
        <v>2.5881770759813896</v>
      </c>
      <c r="DF31" s="462">
        <f t="array" ref="DF31">SUMPRODUCT(IF(($W$3:$CX$3=DF$3)*($W$2:$CX$2=DF$2),$W31:$CX31),IF(($W$3:$CX$3=DF$3)*($W$2:$CX$2=DF$2),$W$36:$CX$36))/SUM(IF(($W$3:$CX$3=DF$3)*($W$2:$CX$2=DF$2),$W$36:$CX$36))</f>
        <v>3.3546063659436576</v>
      </c>
      <c r="DG31" s="462">
        <f t="array" ref="DG31">SUMPRODUCT(IF(($W$3:$CX$3=DG$3)*($W$2:$CX$2=DG$2),$W31:$CX31),IF(($W$3:$CX$3=DG$3)*($W$2:$CX$2=DG$2),$W$36:$CX$36))/SUM(IF(($W$3:$CX$3=DG$3)*($W$2:$CX$2=DG$2),$W$36:$CX$36))</f>
        <v>2.2658544520399788</v>
      </c>
      <c r="DH31" s="462">
        <f t="array" ref="DH31">SUMPRODUCT(IF(($W$3:$CX$3=DH$3)*($W$2:$CX$2=DH$2),$W31:$CX31),IF(($W$3:$CX$3=DH$3)*($W$2:$CX$2=DH$2),$W$36:$CX$36))/SUM(IF(($W$3:$CX$3=DH$3)*($W$2:$CX$2=DH$2),$W$36:$CX$36))</f>
        <v>2.9713433417538644</v>
      </c>
      <c r="DI31" s="462">
        <f t="array" ref="DI31">SUMPRODUCT(IF(($W$3:$CX$3=DI$3)*($W$2:$CX$2=DI$2),$W31:$CX31),IF(($W$3:$CX$3=DI$3)*($W$2:$CX$2=DI$2),$W$36:$CX$36))/SUM(IF(($W$3:$CX$3=DI$3)*($W$2:$CX$2=DI$2),$W$36:$CX$36))</f>
        <v>2.3905542495479075</v>
      </c>
      <c r="DJ31" s="462">
        <f t="array" ref="DJ31">SUMPRODUCT(IF(($W$3:$CX$3=DJ$3)*($W$2:$CX$2=DJ$2),$W31:$CX31),IF(($W$3:$CX$3=DJ$3)*($W$2:$CX$2=DJ$2),$W$36:$CX$36))/SUM(IF(($W$3:$CX$3=DJ$3)*($W$2:$CX$2=DJ$2),$W$36:$CX$36))</f>
        <v>2.6349781632785425</v>
      </c>
      <c r="DK31" s="462">
        <f t="array" ref="DK31">SUMPRODUCT(IF(($W$3:$CX$3=DK$3)*1,$W31:$CX31),IF(($W$3:$CX$3=DK$3)*1,$W$36:$CX$36))/SUM(IF(($W$3:$CX$3=DK$3)*1,$W$36:$CX$36))</f>
        <v>2.9097508525431945</v>
      </c>
      <c r="DL31" s="462">
        <f t="array" ref="DL31">SUMPRODUCT(IF(($W$3:$CX$3=DL$3)*1,$W31:$CX31),IF(($W$3:$CX$3=DL$3)*1,$W$36:$CX$36))/SUM(IF(($W$3:$CX$3=DL$3)*1,$W$36:$CX$36))</f>
        <v>3.0176124342047279</v>
      </c>
      <c r="DM31" s="462">
        <f t="array" ref="DM31">SUMPRODUCT(IF(($W$3:$CX$3=DM$3)*1,$W31:$CX31),IF(($W$3:$CX$3=DM$3)*1,$W$36:$CX$36))/SUM(IF(($W$3:$CX$3=DM$3)*1,$W$36:$CX$36))</f>
        <v>3.1621346938889117</v>
      </c>
      <c r="DN31" s="462">
        <f t="array" ref="DN31">SUMPRODUCT(IF(1*($W$2:$CX$2=DN$2),$W31:$CX31),IF(1*($W$2:$CX$2=DN$2),$W$36:$CX$36))/SUM(IF(1*($W$2:$CX$2=DN$2),$W$36:$CX$36))</f>
        <v>3.4458556169087502</v>
      </c>
      <c r="DO31" s="462">
        <f t="array" ref="DO31">SUMPRODUCT(IF(1*($W$2:$CX$2=DO$2),$W31:$CX31),IF(1*($W$2:$CX$2=DO$2),$W$36:$CX$36))/SUM(IF(1*($W$2:$CX$2=DO$2),$W$36:$CX$36))</f>
        <v>2.5567330513156805</v>
      </c>
      <c r="DP31" s="462">
        <f t="array" ref="DP31">SUMPRODUCT(IF(1*1,$W31:$CX31),IF(1*1,$W$36:$CX$36))/SUM(IF(1*1,$W$36:$CX$36))</f>
        <v>3.1056637029469099</v>
      </c>
    </row>
    <row r="32" spans="1:120" s="428" customFormat="1" ht="15.75" customHeight="1" thickBot="1" x14ac:dyDescent="0.3">
      <c r="A32" s="630">
        <f>'MD-ratings-year'!A32</f>
        <v>0.2</v>
      </c>
      <c r="B32" s="633" t="str">
        <f>'MD-ratings-year'!B32</f>
        <v>Activity</v>
      </c>
      <c r="C32" s="435">
        <f>'MD-ratings-year'!C32</f>
        <v>0.1</v>
      </c>
      <c r="D32" s="436" t="str">
        <f>'MD-ratings-year'!D32</f>
        <v>Working capital turnover ratio</v>
      </c>
      <c r="E32" s="438" t="str">
        <f>'MD-ratings-year'!E32</f>
        <v>Net Sales ÷ ((Beginning Working Capital + Ending Working Capital) / 2) Note: Working Capital = Current Assets Minus Current Liabilities)</v>
      </c>
      <c r="F32" s="440" t="s">
        <v>400</v>
      </c>
      <c r="G32" s="653"/>
      <c r="I32" s="580">
        <f>'SK-ratios'!U35</f>
        <v>37.290126246691131</v>
      </c>
      <c r="K32" s="258">
        <f>'MD-ratings-year'!P32</f>
        <v>0</v>
      </c>
      <c r="L32" s="568">
        <f>'MD-ratings-year'!Q32</f>
        <v>1.3738708781648035</v>
      </c>
      <c r="M32" s="568">
        <f>'MD-ratings-year'!R32</f>
        <v>2.8478021159290718</v>
      </c>
      <c r="N32" s="568">
        <f>'MD-ratings-year'!S32</f>
        <v>5.9030124448982324</v>
      </c>
      <c r="O32" s="258">
        <f>'MD-ratings-year'!T32</f>
        <v>21.74155194030655</v>
      </c>
      <c r="P32" s="258"/>
      <c r="Q32" s="258"/>
      <c r="R32" s="258"/>
      <c r="S32" s="243"/>
      <c r="T32" s="243"/>
      <c r="U32" s="243"/>
      <c r="V32" s="252"/>
      <c r="W32" s="455">
        <f>IF(ABS('SK-ratios'!AF35)&lt;0,0,IF(ABS('SK-ratios'!AF35)&gt;'SK-ratios'!$AC35,10,10*LOG(1+('SK-ratios'!$U35-1)*(ABS('SK-ratios'!AF35)-'SK-ratios'!$Y35)/('SK-ratios'!$AC35-'SK-ratios'!$Y35))/LOG('SK-ratios'!$U35)))</f>
        <v>2.7918801865724538</v>
      </c>
      <c r="X32" s="455">
        <f>IF(ABS('SK-ratios'!AG35)&lt;0,0,IF(ABS('SK-ratios'!AG35)&gt;'SK-ratios'!$AC35,10,10*LOG(1+('SK-ratios'!$U35-1)*(ABS('SK-ratios'!AG35)-'SK-ratios'!$Y35)/('SK-ratios'!$AC35-'SK-ratios'!$Y35))/LOG('SK-ratios'!$U35)))</f>
        <v>3.65570074914524</v>
      </c>
      <c r="Y32" s="455">
        <f>IF(ABS('SK-ratios'!AH35)&lt;0,0,IF(ABS('SK-ratios'!AH35)&gt;'SK-ratios'!$AC35,10,10*LOG(1+('SK-ratios'!$U35-1)*(ABS('SK-ratios'!AH35)-'SK-ratios'!$Y35)/('SK-ratios'!$AC35-'SK-ratios'!$Y35))/LOG('SK-ratios'!$U35)))</f>
        <v>7.76078353153392</v>
      </c>
      <c r="Z32" s="455">
        <f>IF(ABS('SK-ratios'!AI35)&lt;0,0,IF(ABS('SK-ratios'!AI35)&gt;'SK-ratios'!$AC35,10,10*LOG(1+('SK-ratios'!$U35-1)*(ABS('SK-ratios'!AI35)-'SK-ratios'!$Y35)/('SK-ratios'!$AC35-'SK-ratios'!$Y35))/LOG('SK-ratios'!$U35)))</f>
        <v>10</v>
      </c>
      <c r="AA32" s="455">
        <f>IF(ABS('SK-ratios'!AJ35)&lt;0,0,IF(ABS('SK-ratios'!AJ35)&gt;'SK-ratios'!$AC35,10,10*LOG(1+('SK-ratios'!$U35-1)*(ABS('SK-ratios'!AJ35)-'SK-ratios'!$Y35)/('SK-ratios'!$AC35-'SK-ratios'!$Y35))/LOG('SK-ratios'!$U35)))</f>
        <v>6.4839859689508836</v>
      </c>
      <c r="AB32" s="455">
        <f>IF(ABS('SK-ratios'!AK35)&lt;0,0,IF(ABS('SK-ratios'!AK35)&gt;'SK-ratios'!$AC35,10,10*LOG(1+('SK-ratios'!$U35-1)*(ABS('SK-ratios'!AK35)-'SK-ratios'!$Y35)/('SK-ratios'!$AC35-'SK-ratios'!$Y35))/LOG('SK-ratios'!$U35)))</f>
        <v>7.2417510089970349</v>
      </c>
      <c r="AC32" s="455">
        <f>IF(ABS('SK-ratios'!AL35)&lt;0,0,IF(ABS('SK-ratios'!AL35)&gt;'SK-ratios'!$AC35,10,10*LOG(1+('SK-ratios'!$U35-1)*(ABS('SK-ratios'!AL35)-'SK-ratios'!$Y35)/('SK-ratios'!$AC35-'SK-ratios'!$Y35))/LOG('SK-ratios'!$U35)))</f>
        <v>6.2573076694377532</v>
      </c>
      <c r="AD32" s="455">
        <f>IF(ABS('SK-ratios'!AM35)&lt;0,0,IF(ABS('SK-ratios'!AM35)&gt;'SK-ratios'!$AC35,10,10*LOG(1+('SK-ratios'!$U35-1)*(ABS('SK-ratios'!AM35)-'SK-ratios'!$Y35)/('SK-ratios'!$AC35-'SK-ratios'!$Y35))/LOG('SK-ratios'!$U35)))</f>
        <v>7.3126732904937448</v>
      </c>
      <c r="AE32" s="455">
        <f>IF(ABS('SK-ratios'!AN35)&lt;0,0,IF(ABS('SK-ratios'!AN35)&gt;'SK-ratios'!$AC35,10,10*LOG(1+('SK-ratios'!$U35-1)*(ABS('SK-ratios'!AN35)-'SK-ratios'!$Y35)/('SK-ratios'!$AC35-'SK-ratios'!$Y35))/LOG('SK-ratios'!$U35)))</f>
        <v>7.9732534163040283</v>
      </c>
      <c r="AF32" s="455">
        <f>IF(ABS('SK-ratios'!AO35)&lt;0,0,IF(ABS('SK-ratios'!AO35)&gt;'SK-ratios'!$AC35,10,10*LOG(1+('SK-ratios'!$U35-1)*(ABS('SK-ratios'!AO35)-'SK-ratios'!$Y35)/('SK-ratios'!$AC35-'SK-ratios'!$Y35))/LOG('SK-ratios'!$U35)))</f>
        <v>10</v>
      </c>
      <c r="AG32" s="455">
        <f>IF(ABS('SK-ratios'!AP35)&lt;0,0,IF(ABS('SK-ratios'!AP35)&gt;'SK-ratios'!$AC35,10,10*LOG(1+('SK-ratios'!$U35-1)*(ABS('SK-ratios'!AP35)-'SK-ratios'!$Y35)/('SK-ratios'!$AC35-'SK-ratios'!$Y35))/LOG('SK-ratios'!$U35)))</f>
        <v>5.6089904368585932</v>
      </c>
      <c r="AH32" s="455">
        <f>IF(ABS('SK-ratios'!AQ35)&lt;0,0,IF(ABS('SK-ratios'!AQ35)&gt;'SK-ratios'!$AC35,10,10*LOG(1+('SK-ratios'!$U35-1)*(ABS('SK-ratios'!AQ35)-'SK-ratios'!$Y35)/('SK-ratios'!$AC35-'SK-ratios'!$Y35))/LOG('SK-ratios'!$U35)))</f>
        <v>1.7964232748964357</v>
      </c>
      <c r="AI32" s="455">
        <f>IF(ABS('SK-ratios'!AR35)&lt;0,0,IF(ABS('SK-ratios'!AR35)&gt;'SK-ratios'!$AC35,10,10*LOG(1+('SK-ratios'!$U35-1)*(ABS('SK-ratios'!AR35)-'SK-ratios'!$Y35)/('SK-ratios'!$AC35-'SK-ratios'!$Y35))/LOG('SK-ratios'!$U35)))</f>
        <v>10</v>
      </c>
      <c r="AJ32" s="455">
        <f>IF(ABS('SK-ratios'!AS35)&lt;0,0,IF(ABS('SK-ratios'!AS35)&gt;'SK-ratios'!$AC35,10,10*LOG(1+('SK-ratios'!$U35-1)*(ABS('SK-ratios'!AS35)-'SK-ratios'!$Y35)/('SK-ratios'!$AC35-'SK-ratios'!$Y35))/LOG('SK-ratios'!$U35)))</f>
        <v>10</v>
      </c>
      <c r="AK32" s="455">
        <f>IF(ABS('SK-ratios'!AT35)&lt;0,0,IF(ABS('SK-ratios'!AT35)&gt;'SK-ratios'!$AC35,10,10*LOG(1+('SK-ratios'!$U35-1)*(ABS('SK-ratios'!AT35)-'SK-ratios'!$Y35)/('SK-ratios'!$AC35-'SK-ratios'!$Y35))/LOG('SK-ratios'!$U35)))</f>
        <v>6.5689911225037383</v>
      </c>
      <c r="AL32" s="455">
        <f>IF(ABS('SK-ratios'!AU35)&lt;0,0,IF(ABS('SK-ratios'!AU35)&gt;'SK-ratios'!$AC35,10,10*LOG(1+('SK-ratios'!$U35-1)*(ABS('SK-ratios'!AU35)-'SK-ratios'!$Y35)/('SK-ratios'!$AC35-'SK-ratios'!$Y35))/LOG('SK-ratios'!$U35)))</f>
        <v>3.3779708267124087</v>
      </c>
      <c r="AM32" s="455">
        <f>IF(ABS('SK-ratios'!AV35)&lt;0,0,IF(ABS('SK-ratios'!AV35)&gt;'SK-ratios'!$AC35,10,10*LOG(1+('SK-ratios'!$U35-1)*(ABS('SK-ratios'!AV35)-'SK-ratios'!$Y35)/('SK-ratios'!$AC35-'SK-ratios'!$Y35))/LOG('SK-ratios'!$U35)))</f>
        <v>5.8880725203589899</v>
      </c>
      <c r="AN32" s="455">
        <f>IF(ABS('SK-ratios'!AW35)&lt;0,0,IF(ABS('SK-ratios'!AW35)&gt;'SK-ratios'!$AC35,10,10*LOG(1+('SK-ratios'!$U35-1)*(ABS('SK-ratios'!AW35)-'SK-ratios'!$Y35)/('SK-ratios'!$AC35-'SK-ratios'!$Y35))/LOG('SK-ratios'!$U35)))</f>
        <v>10</v>
      </c>
      <c r="AO32" s="455">
        <f>IF(ABS('SK-ratios'!AX35)&lt;0,0,IF(ABS('SK-ratios'!AX35)&gt;'SK-ratios'!$AC35,10,10*LOG(1+('SK-ratios'!$U35-1)*(ABS('SK-ratios'!AX35)-'SK-ratios'!$Y35)/('SK-ratios'!$AC35-'SK-ratios'!$Y35))/LOG('SK-ratios'!$U35)))</f>
        <v>7.1816198353247671</v>
      </c>
      <c r="AP32" s="455">
        <f>IF(ABS('SK-ratios'!AY35)&lt;0,0,IF(ABS('SK-ratios'!AY35)&gt;'SK-ratios'!$AC35,10,10*LOG(1+('SK-ratios'!$U35-1)*(ABS('SK-ratios'!AY35)-'SK-ratios'!$Y35)/('SK-ratios'!$AC35-'SK-ratios'!$Y35))/LOG('SK-ratios'!$U35)))</f>
        <v>10</v>
      </c>
      <c r="AQ32" s="455">
        <f>IF(ABS('SK-ratios'!AZ35)&lt;0,0,IF(ABS('SK-ratios'!AZ35)&gt;'SK-ratios'!$AC35,10,10*LOG(1+('SK-ratios'!$U35-1)*(ABS('SK-ratios'!AZ35)-'SK-ratios'!$Y35)/('SK-ratios'!$AC35-'SK-ratios'!$Y35))/LOG('SK-ratios'!$U35)))</f>
        <v>0.12194523302696084</v>
      </c>
      <c r="AR32" s="455">
        <f>IF(ABS('SK-ratios'!BA35)&lt;0,0,IF(ABS('SK-ratios'!BA35)&gt;'SK-ratios'!$AC35,10,10*LOG(1+('SK-ratios'!$U35-1)*(ABS('SK-ratios'!BA35)-'SK-ratios'!$Y35)/('SK-ratios'!$AC35-'SK-ratios'!$Y35))/LOG('SK-ratios'!$U35)))</f>
        <v>4.7974428938589053</v>
      </c>
      <c r="AS32" s="455">
        <f>IF(ABS('SK-ratios'!BB35)&lt;0,0,IF(ABS('SK-ratios'!BB35)&gt;'SK-ratios'!$AC35,10,10*LOG(1+('SK-ratios'!$U35-1)*(ABS('SK-ratios'!BB35)-'SK-ratios'!$Y35)/('SK-ratios'!$AC35-'SK-ratios'!$Y35))/LOG('SK-ratios'!$U35)))</f>
        <v>5.2750545117797829</v>
      </c>
      <c r="AT32" s="455">
        <f>IF(ABS('SK-ratios'!BC35)&lt;0,0,IF(ABS('SK-ratios'!BC35)&gt;'SK-ratios'!$AC35,10,10*LOG(1+('SK-ratios'!$U35-1)*(ABS('SK-ratios'!BC35)-'SK-ratios'!$Y35)/('SK-ratios'!$AC35-'SK-ratios'!$Y35))/LOG('SK-ratios'!$U35)))</f>
        <v>10</v>
      </c>
      <c r="AU32" s="455">
        <f>IF(ABS('SK-ratios'!BD35)&lt;0,0,IF(ABS('SK-ratios'!BD35)&gt;'SK-ratios'!$AC35,10,10*LOG(1+('SK-ratios'!$U35-1)*(ABS('SK-ratios'!BD35)-'SK-ratios'!$Y35)/('SK-ratios'!$AC35-'SK-ratios'!$Y35))/LOG('SK-ratios'!$U35)))</f>
        <v>9.707185568142064</v>
      </c>
      <c r="AV32" s="455">
        <f>IF(ABS('SK-ratios'!BE35)&lt;0,0,IF(ABS('SK-ratios'!BE35)&gt;'SK-ratios'!$AC35,10,10*LOG(1+('SK-ratios'!$U35-1)*(ABS('SK-ratios'!BE35)-'SK-ratios'!$Y35)/('SK-ratios'!$AC35-'SK-ratios'!$Y35))/LOG('SK-ratios'!$U35)))</f>
        <v>1.6864844056957411</v>
      </c>
      <c r="AW32" s="455">
        <f>IF(ABS('SK-ratios'!BF35)&lt;0,0,IF(ABS('SK-ratios'!BF35)&gt;'SK-ratios'!$AC35,10,10*LOG(1+('SK-ratios'!$U35-1)*(ABS('SK-ratios'!BF35)-'SK-ratios'!$Y35)/('SK-ratios'!$AC35-'SK-ratios'!$Y35))/LOG('SK-ratios'!$U35)))</f>
        <v>5.8482281566733452</v>
      </c>
      <c r="AX32" s="455">
        <f>IF(ABS('SK-ratios'!BG35)&lt;0,0,IF(ABS('SK-ratios'!BG35)&gt;'SK-ratios'!$AC35,10,10*LOG(1+('SK-ratios'!$U35-1)*(ABS('SK-ratios'!BG35)-'SK-ratios'!$Y35)/('SK-ratios'!$AC35-'SK-ratios'!$Y35))/LOG('SK-ratios'!$U35)))</f>
        <v>1.6663008109603079</v>
      </c>
      <c r="AY32" s="455">
        <f>IF(ABS('SK-ratios'!BH35)&lt;0,0,IF(ABS('SK-ratios'!BH35)&gt;'SK-ratios'!$AC35,10,10*LOG(1+('SK-ratios'!$U35-1)*(ABS('SK-ratios'!BH35)-'SK-ratios'!$Y35)/('SK-ratios'!$AC35-'SK-ratios'!$Y35))/LOG('SK-ratios'!$U35)))</f>
        <v>5.1489541269849113</v>
      </c>
      <c r="AZ32" s="455">
        <f>IF(ABS('SK-ratios'!BI35)&lt;0,0,IF(ABS('SK-ratios'!BI35)&gt;'SK-ratios'!$AC35,10,10*LOG(1+('SK-ratios'!$U35-1)*(ABS('SK-ratios'!BI35)-'SK-ratios'!$Y35)/('SK-ratios'!$AC35-'SK-ratios'!$Y35))/LOG('SK-ratios'!$U35)))</f>
        <v>4.7111690679195917</v>
      </c>
      <c r="BA32" s="455">
        <f>IF(ABS('SK-ratios'!BJ35)&lt;0,0,IF(ABS('SK-ratios'!BJ35)&gt;'SK-ratios'!$AC35,10,10*LOG(1+('SK-ratios'!$U35-1)*(ABS('SK-ratios'!BJ35)-'SK-ratios'!$Y35)/('SK-ratios'!$AC35-'SK-ratios'!$Y35))/LOG('SK-ratios'!$U35)))</f>
        <v>4.8425564564077304</v>
      </c>
      <c r="BB32" s="455">
        <f>IF(ABS('SK-ratios'!BK35)&lt;0,0,IF(ABS('SK-ratios'!BK35)&gt;'SK-ratios'!$AC35,10,10*LOG(1+('SK-ratios'!$U35-1)*(ABS('SK-ratios'!BK35)-'SK-ratios'!$Y35)/('SK-ratios'!$AC35-'SK-ratios'!$Y35))/LOG('SK-ratios'!$U35)))</f>
        <v>3.7761766274857473</v>
      </c>
      <c r="BC32" s="455">
        <f>IF(ABS('SK-ratios'!BL35)&lt;0,0,IF(ABS('SK-ratios'!BL35)&gt;'SK-ratios'!$AC35,10,10*LOG(1+('SK-ratios'!$U35-1)*(ABS('SK-ratios'!BL35)-'SK-ratios'!$Y35)/('SK-ratios'!$AC35-'SK-ratios'!$Y35))/LOG('SK-ratios'!$U35)))</f>
        <v>9.2080420180419758</v>
      </c>
      <c r="BD32" s="455">
        <f>IF(ABS('SK-ratios'!BM35)&lt;0,0,IF(ABS('SK-ratios'!BM35)&gt;'SK-ratios'!$AC35,10,10*LOG(1+('SK-ratios'!$U35-1)*(ABS('SK-ratios'!BM35)-'SK-ratios'!$Y35)/('SK-ratios'!$AC35-'SK-ratios'!$Y35))/LOG('SK-ratios'!$U35)))</f>
        <v>3.5416697537720894</v>
      </c>
      <c r="BE32" s="455">
        <f>IF(ABS('SK-ratios'!BN35)&lt;0,0,IF(ABS('SK-ratios'!BN35)&gt;'SK-ratios'!$AC35,10,10*LOG(1+('SK-ratios'!$U35-1)*(ABS('SK-ratios'!BN35)-'SK-ratios'!$Y35)/('SK-ratios'!$AC35-'SK-ratios'!$Y35))/LOG('SK-ratios'!$U35)))</f>
        <v>2.909678095387835</v>
      </c>
      <c r="BF32" s="455">
        <f>IF(ABS('SK-ratios'!BO35)&lt;0,0,IF(ABS('SK-ratios'!BO35)&gt;'SK-ratios'!$AC35,10,10*LOG(1+('SK-ratios'!$U35-1)*(ABS('SK-ratios'!BO35)-'SK-ratios'!$Y35)/('SK-ratios'!$AC35-'SK-ratios'!$Y35))/LOG('SK-ratios'!$U35)))</f>
        <v>3.6441782873968611</v>
      </c>
      <c r="BG32" s="455">
        <f>IF(ABS('SK-ratios'!BP35)&lt;0,0,IF(ABS('SK-ratios'!BP35)&gt;'SK-ratios'!$AC35,10,10*LOG(1+('SK-ratios'!$U35-1)*(ABS('SK-ratios'!BP35)-'SK-ratios'!$Y35)/('SK-ratios'!$AC35-'SK-ratios'!$Y35))/LOG('SK-ratios'!$U35)))</f>
        <v>6.760350503948704</v>
      </c>
      <c r="BH32" s="455">
        <f>IF(ABS('SK-ratios'!BQ35)&lt;0,0,IF(ABS('SK-ratios'!BQ35)&gt;'SK-ratios'!$AC35,10,10*LOG(1+('SK-ratios'!$U35-1)*(ABS('SK-ratios'!BQ35)-'SK-ratios'!$Y35)/('SK-ratios'!$AC35-'SK-ratios'!$Y35))/LOG('SK-ratios'!$U35)))</f>
        <v>7.6926208700945944</v>
      </c>
      <c r="BI32" s="455">
        <f>IF(ABS('SK-ratios'!BR35)&lt;0,0,IF(ABS('SK-ratios'!BR35)&gt;'SK-ratios'!$AC35,10,10*LOG(1+('SK-ratios'!$U35-1)*(ABS('SK-ratios'!BR35)-'SK-ratios'!$Y35)/('SK-ratios'!$AC35-'SK-ratios'!$Y35))/LOG('SK-ratios'!$U35)))</f>
        <v>9.1811415951959408</v>
      </c>
      <c r="BJ32" s="455">
        <f>IF(ABS('SK-ratios'!BS35)&lt;0,0,IF(ABS('SK-ratios'!BS35)&gt;'SK-ratios'!$AC35,10,10*LOG(1+('SK-ratios'!$U35-1)*(ABS('SK-ratios'!BS35)-'SK-ratios'!$Y35)/('SK-ratios'!$AC35-'SK-ratios'!$Y35))/LOG('SK-ratios'!$U35)))</f>
        <v>9.3226105060745219</v>
      </c>
      <c r="BK32" s="455">
        <f>IF(ABS('SK-ratios'!BT35)&lt;0,0,IF(ABS('SK-ratios'!BT35)&gt;'SK-ratios'!$AC35,10,10*LOG(1+('SK-ratios'!$U35-1)*(ABS('SK-ratios'!BT35)-'SK-ratios'!$Y35)/('SK-ratios'!$AC35-'SK-ratios'!$Y35))/LOG('SK-ratios'!$U35)))</f>
        <v>8.4389234592818081</v>
      </c>
      <c r="BL32" s="455">
        <f>IF(ABS('SK-ratios'!BU35)&lt;0,0,IF(ABS('SK-ratios'!BU35)&gt;'SK-ratios'!$AC35,10,10*LOG(1+('SK-ratios'!$U35-1)*(ABS('SK-ratios'!BU35)-'SK-ratios'!$Y35)/('SK-ratios'!$AC35-'SK-ratios'!$Y35))/LOG('SK-ratios'!$U35)))</f>
        <v>10</v>
      </c>
      <c r="BM32" s="455">
        <f>IF(ABS('SK-ratios'!BV35)&lt;0,0,IF(ABS('SK-ratios'!BV35)&gt;'SK-ratios'!$AC35,10,10*LOG(1+('SK-ratios'!$U35-1)*(ABS('SK-ratios'!BV35)-'SK-ratios'!$Y35)/('SK-ratios'!$AC35-'SK-ratios'!$Y35))/LOG('SK-ratios'!$U35)))</f>
        <v>7.2805645935405003</v>
      </c>
      <c r="BN32" s="455">
        <f>IF(ABS('SK-ratios'!BW35)&lt;0,0,IF(ABS('SK-ratios'!BW35)&gt;'SK-ratios'!$AC35,10,10*LOG(1+('SK-ratios'!$U35-1)*(ABS('SK-ratios'!BW35)-'SK-ratios'!$Y35)/('SK-ratios'!$AC35-'SK-ratios'!$Y35))/LOG('SK-ratios'!$U35)))</f>
        <v>7.5637486985492943</v>
      </c>
      <c r="BO32" s="455">
        <f>IF(ABS('SK-ratios'!BX35)&lt;0,0,IF(ABS('SK-ratios'!BX35)&gt;'SK-ratios'!$AC35,10,10*LOG(1+('SK-ratios'!$U35-1)*(ABS('SK-ratios'!BX35)-'SK-ratios'!$Y35)/('SK-ratios'!$AC35-'SK-ratios'!$Y35))/LOG('SK-ratios'!$U35)))</f>
        <v>7.5423547586843283</v>
      </c>
      <c r="BP32" s="455">
        <f>IF(ABS('SK-ratios'!BY35)&lt;0,0,IF(ABS('SK-ratios'!BY35)&gt;'SK-ratios'!$AC35,10,10*LOG(1+('SK-ratios'!$U35-1)*(ABS('SK-ratios'!BY35)-'SK-ratios'!$Y35)/('SK-ratios'!$AC35-'SK-ratios'!$Y35))/LOG('SK-ratios'!$U35)))</f>
        <v>7.6473914198272706</v>
      </c>
      <c r="BQ32" s="455">
        <f>IF(ABS('SK-ratios'!BZ35)&lt;0,0,IF(ABS('SK-ratios'!BZ35)&gt;'SK-ratios'!$AC35,10,10*LOG(1+('SK-ratios'!$U35-1)*(ABS('SK-ratios'!BZ35)-'SK-ratios'!$Y35)/('SK-ratios'!$AC35-'SK-ratios'!$Y35))/LOG('SK-ratios'!$U35)))</f>
        <v>2.9271828222806482</v>
      </c>
      <c r="BR32" s="455">
        <f>IF(ABS('SK-ratios'!CA35)&lt;0,0,IF(ABS('SK-ratios'!CA35)&gt;'SK-ratios'!$AC35,10,10*LOG(1+('SK-ratios'!$U35-1)*(ABS('SK-ratios'!CA35)-'SK-ratios'!$Y35)/('SK-ratios'!$AC35-'SK-ratios'!$Y35))/LOG('SK-ratios'!$U35)))</f>
        <v>2.4271904335785028</v>
      </c>
      <c r="BS32" s="455">
        <f>IF(ABS('SK-ratios'!CB35)&lt;0,0,IF(ABS('SK-ratios'!CB35)&gt;'SK-ratios'!$AC35,10,10*LOG(1+('SK-ratios'!$U35-1)*(ABS('SK-ratios'!CB35)-'SK-ratios'!$Y35)/('SK-ratios'!$AC35-'SK-ratios'!$Y35))/LOG('SK-ratios'!$U35)))</f>
        <v>10</v>
      </c>
      <c r="BT32" s="455">
        <f>IF(ABS('SK-ratios'!CC35)&lt;0,0,IF(ABS('SK-ratios'!CC35)&gt;'SK-ratios'!$AC35,10,10*LOG(1+('SK-ratios'!$U35-1)*(ABS('SK-ratios'!CC35)-'SK-ratios'!$Y35)/('SK-ratios'!$AC35-'SK-ratios'!$Y35))/LOG('SK-ratios'!$U35)))</f>
        <v>5.2203365822200611</v>
      </c>
      <c r="BU32" s="455">
        <f>IF(ABS('SK-ratios'!CD35)&lt;0,0,IF(ABS('SK-ratios'!CD35)&gt;'SK-ratios'!$AC35,10,10*LOG(1+('SK-ratios'!$U35-1)*(ABS('SK-ratios'!CD35)-'SK-ratios'!$Y35)/('SK-ratios'!$AC35-'SK-ratios'!$Y35))/LOG('SK-ratios'!$U35)))</f>
        <v>8.7887392168531733</v>
      </c>
      <c r="BV32" s="455">
        <f>IF(ABS('SK-ratios'!CE35)&lt;0,0,IF(ABS('SK-ratios'!CE35)&gt;'SK-ratios'!$AC35,10,10*LOG(1+('SK-ratios'!$U35-1)*(ABS('SK-ratios'!CE35)-'SK-ratios'!$Y35)/('SK-ratios'!$AC35-'SK-ratios'!$Y35))/LOG('SK-ratios'!$U35)))</f>
        <v>0.85276837680315254</v>
      </c>
      <c r="BW32" s="455">
        <f>IF(ABS('SK-ratios'!CF35)&lt;0,0,IF(ABS('SK-ratios'!CF35)&gt;'SK-ratios'!$AC35,10,10*LOG(1+('SK-ratios'!$U35-1)*(ABS('SK-ratios'!CF35)-'SK-ratios'!$Y35)/('SK-ratios'!$AC35-'SK-ratios'!$Y35))/LOG('SK-ratios'!$U35)))</f>
        <v>8.0889192035039059</v>
      </c>
      <c r="BX32" s="455">
        <f>IF(ABS('SK-ratios'!CG35)&lt;0,0,IF(ABS('SK-ratios'!CG35)&gt;'SK-ratios'!$AC35,10,10*LOG(1+('SK-ratios'!$U35-1)*(ABS('SK-ratios'!CG35)-'SK-ratios'!$Y35)/('SK-ratios'!$AC35-'SK-ratios'!$Y35))/LOG('SK-ratios'!$U35)))</f>
        <v>3.7122734492453948</v>
      </c>
      <c r="BY32" s="455">
        <f>IF(ABS('SK-ratios'!CH35)&lt;0,0,IF(ABS('SK-ratios'!CH35)&gt;'SK-ratios'!$AC35,10,10*LOG(1+('SK-ratios'!$U35-1)*(ABS('SK-ratios'!CH35)-'SK-ratios'!$Y35)/('SK-ratios'!$AC35-'SK-ratios'!$Y35))/LOG('SK-ratios'!$U35)))</f>
        <v>3.8289992581706627</v>
      </c>
      <c r="BZ32" s="455">
        <f>IF(ABS('SK-ratios'!CI35)&lt;0,0,IF(ABS('SK-ratios'!CI35)&gt;'SK-ratios'!$AC35,10,10*LOG(1+('SK-ratios'!$U35-1)*(ABS('SK-ratios'!CI35)-'SK-ratios'!$Y35)/('SK-ratios'!$AC35-'SK-ratios'!$Y35))/LOG('SK-ratios'!$U35)))</f>
        <v>4.4441418897453087</v>
      </c>
      <c r="CA32" s="455">
        <f>IF(ABS('SK-ratios'!CJ35)&lt;0,0,IF(ABS('SK-ratios'!CJ35)&gt;'SK-ratios'!$AC35,10,10*LOG(1+('SK-ratios'!$U35-1)*(ABS('SK-ratios'!CJ35)-'SK-ratios'!$Y35)/('SK-ratios'!$AC35-'SK-ratios'!$Y35))/LOG('SK-ratios'!$U35)))</f>
        <v>8.5227037170321491</v>
      </c>
      <c r="CB32" s="455">
        <f>IF(ABS('SK-ratios'!CK35)&lt;0,0,IF(ABS('SK-ratios'!CK35)&gt;'SK-ratios'!$AC35,10,10*LOG(1+('SK-ratios'!$U35-1)*(ABS('SK-ratios'!CK35)-'SK-ratios'!$Y35)/('SK-ratios'!$AC35-'SK-ratios'!$Y35))/LOG('SK-ratios'!$U35)))</f>
        <v>3.4715058147683764</v>
      </c>
      <c r="CC32" s="455">
        <f>IF(ABS('SK-ratios'!CL35)&lt;0,0,IF(ABS('SK-ratios'!CL35)&gt;'SK-ratios'!$AC35,10,10*LOG(1+('SK-ratios'!$U35-1)*(ABS('SK-ratios'!CL35)-'SK-ratios'!$Y35)/('SK-ratios'!$AC35-'SK-ratios'!$Y35))/LOG('SK-ratios'!$U35)))</f>
        <v>2.5792463510873849</v>
      </c>
      <c r="CD32" s="455">
        <f>IF(ABS('SK-ratios'!CM35)&lt;0,0,IF(ABS('SK-ratios'!CM35)&gt;'SK-ratios'!$AC35,10,10*LOG(1+('SK-ratios'!$U35-1)*(ABS('SK-ratios'!CM35)-'SK-ratios'!$Y35)/('SK-ratios'!$AC35-'SK-ratios'!$Y35))/LOG('SK-ratios'!$U35)))</f>
        <v>10</v>
      </c>
      <c r="CE32" s="455">
        <f>IF(ABS('SK-ratios'!CN35)&lt;0,0,IF(ABS('SK-ratios'!CN35)&gt;'SK-ratios'!$AC35,10,10*LOG(1+('SK-ratios'!$U35-1)*(ABS('SK-ratios'!CN35)-'SK-ratios'!$Y35)/('SK-ratios'!$AC35-'SK-ratios'!$Y35))/LOG('SK-ratios'!$U35)))</f>
        <v>6.4243012859742938</v>
      </c>
      <c r="CF32" s="455">
        <f>IF(ABS('SK-ratios'!CO35)&lt;0,0,IF(ABS('SK-ratios'!CO35)&gt;'SK-ratios'!$AC35,10,10*LOG(1+('SK-ratios'!$U35-1)*(ABS('SK-ratios'!CO35)-'SK-ratios'!$Y35)/('SK-ratios'!$AC35-'SK-ratios'!$Y35))/LOG('SK-ratios'!$U35)))</f>
        <v>3.2468804149403887</v>
      </c>
      <c r="CG32" s="455">
        <f>IF(ABS('SK-ratios'!CP35)&lt;0,0,IF(ABS('SK-ratios'!CP35)&gt;'SK-ratios'!$AC35,10,10*LOG(1+('SK-ratios'!$U35-1)*(ABS('SK-ratios'!CP35)-'SK-ratios'!$Y35)/('SK-ratios'!$AC35-'SK-ratios'!$Y35))/LOG('SK-ratios'!$U35)))</f>
        <v>4.267160324038918</v>
      </c>
      <c r="CH32" s="455">
        <f>IF(ABS('SK-ratios'!CQ35)&lt;0,0,IF(ABS('SK-ratios'!CQ35)&gt;'SK-ratios'!$AC35,10,10*LOG(1+('SK-ratios'!$U35-1)*(ABS('SK-ratios'!CQ35)-'SK-ratios'!$Y35)/('SK-ratios'!$AC35-'SK-ratios'!$Y35))/LOG('SK-ratios'!$U35)))</f>
        <v>4.4517087023016959</v>
      </c>
      <c r="CI32" s="455">
        <f>IF(ABS('SK-ratios'!CR35)&lt;0,0,IF(ABS('SK-ratios'!CR35)&gt;'SK-ratios'!$AC35,10,10*LOG(1+('SK-ratios'!$U35-1)*(ABS('SK-ratios'!CR35)-'SK-ratios'!$Y35)/('SK-ratios'!$AC35-'SK-ratios'!$Y35))/LOG('SK-ratios'!$U35)))</f>
        <v>4.4391152643092147</v>
      </c>
      <c r="CJ32" s="455">
        <f>IF(ABS('SK-ratios'!CS35)&lt;0,0,IF(ABS('SK-ratios'!CS35)&gt;'SK-ratios'!$AC35,10,10*LOG(1+('SK-ratios'!$U35-1)*(ABS('SK-ratios'!CS35)-'SK-ratios'!$Y35)/('SK-ratios'!$AC35-'SK-ratios'!$Y35))/LOG('SK-ratios'!$U35)))</f>
        <v>8.0717301006257571</v>
      </c>
      <c r="CK32" s="455">
        <f>IF(ABS('SK-ratios'!CT35)&lt;0,0,IF(ABS('SK-ratios'!CT35)&gt;'SK-ratios'!$AC35,10,10*LOG(1+('SK-ratios'!$U35-1)*(ABS('SK-ratios'!CT35)-'SK-ratios'!$Y35)/('SK-ratios'!$AC35-'SK-ratios'!$Y35))/LOG('SK-ratios'!$U35)))</f>
        <v>4.2763873393850664</v>
      </c>
      <c r="CL32" s="455">
        <f>IF(ABS('SK-ratios'!CU35)&lt;0,0,IF(ABS('SK-ratios'!CU35)&gt;'SK-ratios'!$AC35,10,10*LOG(1+('SK-ratios'!$U35-1)*(ABS('SK-ratios'!CU35)-'SK-ratios'!$Y35)/('SK-ratios'!$AC35-'SK-ratios'!$Y35))/LOG('SK-ratios'!$U35)))</f>
        <v>9.659237221449132</v>
      </c>
      <c r="CM32" s="455">
        <f>IF(ABS('SK-ratios'!CV35)&lt;0,0,IF(ABS('SK-ratios'!CV35)&gt;'SK-ratios'!$AC35,10,10*LOG(1+('SK-ratios'!$U35-1)*(ABS('SK-ratios'!CV35)-'SK-ratios'!$Y35)/('SK-ratios'!$AC35-'SK-ratios'!$Y35))/LOG('SK-ratios'!$U35)))</f>
        <v>2.8347803923862522</v>
      </c>
      <c r="CN32" s="455">
        <f>IF(ABS('SK-ratios'!CW35)&lt;0,0,IF(ABS('SK-ratios'!CW35)&gt;'SK-ratios'!$AC35,10,10*LOG(1+('SK-ratios'!$U35-1)*(ABS('SK-ratios'!CW35)-'SK-ratios'!$Y35)/('SK-ratios'!$AC35-'SK-ratios'!$Y35))/LOG('SK-ratios'!$U35)))</f>
        <v>1.8178169966207436</v>
      </c>
      <c r="CO32" s="455">
        <f>IF(ABS('SK-ratios'!CX35)&lt;0,0,IF(ABS('SK-ratios'!CX35)&gt;'SK-ratios'!$AC35,10,10*LOG(1+('SK-ratios'!$U35-1)*(ABS('SK-ratios'!CX35)-'SK-ratios'!$Y35)/('SK-ratios'!$AC35-'SK-ratios'!$Y35))/LOG('SK-ratios'!$U35)))</f>
        <v>10</v>
      </c>
      <c r="CP32" s="455">
        <f>IF(ABS('SK-ratios'!CY35)&lt;0,0,IF(ABS('SK-ratios'!CY35)&gt;'SK-ratios'!$AC35,10,10*LOG(1+('SK-ratios'!$U35-1)*(ABS('SK-ratios'!CY35)-'SK-ratios'!$Y35)/('SK-ratios'!$AC35-'SK-ratios'!$Y35))/LOG('SK-ratios'!$U35)))</f>
        <v>10</v>
      </c>
      <c r="CQ32" s="455">
        <f>IF(ABS('SK-ratios'!CZ35)&lt;0,0,IF(ABS('SK-ratios'!CZ35)&gt;'SK-ratios'!$AC35,10,10*LOG(1+('SK-ratios'!$U35-1)*(ABS('SK-ratios'!CZ35)-'SK-ratios'!$Y35)/('SK-ratios'!$AC35-'SK-ratios'!$Y35))/LOG('SK-ratios'!$U35)))</f>
        <v>0.97094670645610459</v>
      </c>
      <c r="CR32" s="455">
        <f>IF(ABS('SK-ratios'!DA35)&lt;0,0,IF(ABS('SK-ratios'!DA35)&gt;'SK-ratios'!$AC35,10,10*LOG(1+('SK-ratios'!$U35-1)*(ABS('SK-ratios'!DA35)-'SK-ratios'!$Y35)/('SK-ratios'!$AC35-'SK-ratios'!$Y35))/LOG('SK-ratios'!$U35)))</f>
        <v>4.630334709295</v>
      </c>
      <c r="CS32" s="455">
        <f>IF(ABS('SK-ratios'!DB35)&lt;0,0,IF(ABS('SK-ratios'!DB35)&gt;'SK-ratios'!$AC35,10,10*LOG(1+('SK-ratios'!$U35-1)*(ABS('SK-ratios'!DB35)-'SK-ratios'!$Y35)/('SK-ratios'!$AC35-'SK-ratios'!$Y35))/LOG('SK-ratios'!$U35)))</f>
        <v>5.481436252158244</v>
      </c>
      <c r="CT32" s="455">
        <f>IF(ABS('SK-ratios'!DC35)&lt;0,0,IF(ABS('SK-ratios'!DC35)&gt;'SK-ratios'!$AC35,10,10*LOG(1+('SK-ratios'!$U35-1)*(ABS('SK-ratios'!DC35)-'SK-ratios'!$Y35)/('SK-ratios'!$AC35-'SK-ratios'!$Y35))/LOG('SK-ratios'!$U35)))</f>
        <v>8.4318209903502268</v>
      </c>
      <c r="CU32" s="455">
        <f>IF(ABS('SK-ratios'!DD35)&lt;0,0,IF(ABS('SK-ratios'!DD35)&gt;'SK-ratios'!$AC35,10,10*LOG(1+('SK-ratios'!$U35-1)*(ABS('SK-ratios'!DD35)-'SK-ratios'!$Y35)/('SK-ratios'!$AC35-'SK-ratios'!$Y35))/LOG('SK-ratios'!$U35)))</f>
        <v>5.3535888261708653</v>
      </c>
      <c r="CV32" s="455">
        <f>IF(ABS('SK-ratios'!DE35)&lt;0,0,IF(ABS('SK-ratios'!DE35)&gt;'SK-ratios'!$AC35,10,10*LOG(1+('SK-ratios'!$U35-1)*(ABS('SK-ratios'!DE35)-'SK-ratios'!$Y35)/('SK-ratios'!$AC35-'SK-ratios'!$Y35))/LOG('SK-ratios'!$U35)))</f>
        <v>3.9667611204729978</v>
      </c>
      <c r="CW32" s="455">
        <f>IF(ABS('SK-ratios'!DF35)&lt;0,0,IF(ABS('SK-ratios'!DF35)&gt;'SK-ratios'!$AC35,10,10*LOG(1+('SK-ratios'!$U35-1)*(ABS('SK-ratios'!DF35)-'SK-ratios'!$Y35)/('SK-ratios'!$AC35-'SK-ratios'!$Y35))/LOG('SK-ratios'!$U35)))</f>
        <v>8.8681064639738114</v>
      </c>
      <c r="CX32" s="455">
        <f>IF(ABS('SK-ratios'!DG35)&lt;0,0,IF(ABS('SK-ratios'!DG35)&gt;'SK-ratios'!$AC35,10,10*LOG(1+('SK-ratios'!$U35-1)*(ABS('SK-ratios'!DG35)-'SK-ratios'!$Y35)/('SK-ratios'!$AC35-'SK-ratios'!$Y35))/LOG('SK-ratios'!$U35)))</f>
        <v>8.1167136025763522</v>
      </c>
      <c r="CZ32" s="546"/>
      <c r="DA32" s="455">
        <f t="array" ref="DA32">SUMPRODUCT(IF(($W$3:$CX$3=DA$3)*($W$2:$CX$2=DA$2),$W32:$CX32),IF(($W$3:$CX$3=DA$3)*($W$2:$CX$2=DA$2),$W$36:$CX$36))/SUM(IF(($W$3:$CX$3=DA$3)*($W$2:$CX$2=DA$2),$W$36:$CX$36))</f>
        <v>6.5754950910069416</v>
      </c>
      <c r="DB32" s="455">
        <f t="array" ref="DB32">SUMPRODUCT(IF(($W$3:$CX$3=DB$3)*($W$2:$CX$2=DB$2),$W32:$CX32),IF(($W$3:$CX$3=DB$3)*($W$2:$CX$2=DB$2),$W$36:$CX$36))/SUM(IF(($W$3:$CX$3=DB$3)*($W$2:$CX$2=DB$2),$W$36:$CX$36))</f>
        <v>5.7091123395849941</v>
      </c>
      <c r="DC32" s="455">
        <f t="array" ref="DC32">SUMPRODUCT(IF(($W$3:$CX$3=DC$3)*($W$2:$CX$2=DC$2),$W32:$CX32),IF(($W$3:$CX$3=DC$3)*($W$2:$CX$2=DC$2),$W$36:$CX$36))/SUM(IF(($W$3:$CX$3=DC$3)*($W$2:$CX$2=DC$2),$W$36:$CX$36))</f>
        <v>5.6847631126805158</v>
      </c>
      <c r="DD32" s="455">
        <f t="array" ref="DD32">SUMPRODUCT(IF(($W$3:$CX$3=DD$3)*($W$2:$CX$2=DD$2),$W32:$CX32),IF(($W$3:$CX$3=DD$3)*($W$2:$CX$2=DD$2),$W$36:$CX$36))/SUM(IF(($W$3:$CX$3=DD$3)*($W$2:$CX$2=DD$2),$W$36:$CX$36))</f>
        <v>6.1355587768273354</v>
      </c>
      <c r="DE32" s="455">
        <f t="array" ref="DE32">SUMPRODUCT(IF(($W$3:$CX$3=DE$3)*($W$2:$CX$2=DE$2),$W32:$CX32),IF(($W$3:$CX$3=DE$3)*($W$2:$CX$2=DE$2),$W$36:$CX$36))/SUM(IF(($W$3:$CX$3=DE$3)*($W$2:$CX$2=DE$2),$W$36:$CX$36))</f>
        <v>4.9821193240690276</v>
      </c>
      <c r="DF32" s="455">
        <f t="array" ref="DF32">SUMPRODUCT(IF(($W$3:$CX$3=DF$3)*($W$2:$CX$2=DF$2),$W32:$CX32),IF(($W$3:$CX$3=DF$3)*($W$2:$CX$2=DF$2),$W$36:$CX$36))/SUM(IF(($W$3:$CX$3=DF$3)*($W$2:$CX$2=DF$2),$W$36:$CX$36))</f>
        <v>4.9617261907981289</v>
      </c>
      <c r="DG32" s="455">
        <f t="array" ref="DG32">SUMPRODUCT(IF(($W$3:$CX$3=DG$3)*($W$2:$CX$2=DG$2),$W32:$CX32),IF(($W$3:$CX$3=DG$3)*($W$2:$CX$2=DG$2),$W$36:$CX$36))/SUM(IF(($W$3:$CX$3=DG$3)*($W$2:$CX$2=DG$2),$W$36:$CX$36))</f>
        <v>7.6459288176568174</v>
      </c>
      <c r="DH32" s="455">
        <f t="array" ref="DH32">SUMPRODUCT(IF(($W$3:$CX$3=DH$3)*($W$2:$CX$2=DH$2),$W32:$CX32),IF(($W$3:$CX$3=DH$3)*($W$2:$CX$2=DH$2),$W$36:$CX$36))/SUM(IF(($W$3:$CX$3=DH$3)*($W$2:$CX$2=DH$2),$W$36:$CX$36))</f>
        <v>6.9589747370434907</v>
      </c>
      <c r="DI32" s="455">
        <f t="array" ref="DI32">SUMPRODUCT(IF(($W$3:$CX$3=DI$3)*($W$2:$CX$2=DI$2),$W32:$CX32),IF(($W$3:$CX$3=DI$3)*($W$2:$CX$2=DI$2),$W$36:$CX$36))/SUM(IF(($W$3:$CX$3=DI$3)*($W$2:$CX$2=DI$2),$W$36:$CX$36))</f>
        <v>8.9360514892753962</v>
      </c>
      <c r="DJ32" s="455">
        <f t="array" ref="DJ32">SUMPRODUCT(IF(($W$3:$CX$3=DJ$3)*($W$2:$CX$2=DJ$2),$W32:$CX32),IF(($W$3:$CX$3=DJ$3)*($W$2:$CX$2=DJ$2),$W$36:$CX$36))/SUM(IF(($W$3:$CX$3=DJ$3)*($W$2:$CX$2=DJ$2),$W$36:$CX$36))</f>
        <v>8.3187276540210231</v>
      </c>
      <c r="DK32" s="455">
        <f t="array" ref="DK32">SUMPRODUCT(IF(($W$3:$CX$3=DK$3)*1,$W32:$CX32),IF(($W$3:$CX$3=DK$3)*1,$W$36:$CX$36))/SUM(IF(($W$3:$CX$3=DK$3)*1,$W$36:$CX$36))</f>
        <v>6.7749457153677275</v>
      </c>
      <c r="DL32" s="455">
        <f t="array" ref="DL32">SUMPRODUCT(IF(($W$3:$CX$3=DL$3)*1,$W32:$CX32),IF(($W$3:$CX$3=DL$3)*1,$W$36:$CX$36))/SUM(IF(($W$3:$CX$3=DL$3)*1,$W$36:$CX$36))</f>
        <v>6.2741919193953901</v>
      </c>
      <c r="DM32" s="455">
        <f t="array" ref="DM32">SUMPRODUCT(IF(($W$3:$CX$3=DM$3)*1,$W32:$CX32),IF(($W$3:$CX$3=DM$3)*1,$W$36:$CX$36))/SUM(IF(($W$3:$CX$3=DM$3)*1,$W$36:$CX$36))</f>
        <v>7.032618783625197</v>
      </c>
      <c r="DN32" s="455">
        <f t="array" ref="DN32">SUMPRODUCT(IF(1*($W$2:$CX$2=DN$2),$W32:$CX32),IF(1*($W$2:$CX$2=DN$2),$W$36:$CX$36))/SUM(IF(1*($W$2:$CX$2=DN$2),$W$36:$CX$36))</f>
        <v>5.6472048128049028</v>
      </c>
      <c r="DO32" s="455">
        <f t="array" ref="DO32">SUMPRODUCT(IF(1*($W$2:$CX$2=DO$2),$W32:$CX32),IF(1*($W$2:$CX$2=DO$2),$W$36:$CX$36))/SUM(IF(1*($W$2:$CX$2=DO$2),$W$36:$CX$36))</f>
        <v>7.5929534250070505</v>
      </c>
      <c r="DP32" s="455">
        <f t="array" ref="DP32">SUMPRODUCT(IF(1*1,$W32:$CX32),IF(1*1,$W$36:$CX$36))/SUM(IF(1*1,$W$36:$CX$36))</f>
        <v>6.3916780385318006</v>
      </c>
    </row>
    <row r="33" spans="1:120" ht="15.75" customHeight="1" thickBot="1" x14ac:dyDescent="0.3">
      <c r="A33" s="631"/>
      <c r="B33" s="634"/>
      <c r="C33" s="235">
        <f>'MD-ratings-year'!C33</f>
        <v>0.1</v>
      </c>
      <c r="D33" s="434" t="str">
        <f>'MD-ratings-year'!D33</f>
        <v>Accounts receivable turnover ratio</v>
      </c>
      <c r="E33" s="437" t="str">
        <f>'MD-ratings-year'!E33</f>
        <v>Net Sales ÷ ((Beginning Accounts Receivable + Ending Accounts Receivable) / 2)</v>
      </c>
      <c r="F33" s="440" t="s">
        <v>400</v>
      </c>
      <c r="G33" s="653"/>
      <c r="I33" s="531">
        <f>'SK-ratios'!U36</f>
        <v>27.608325847341447</v>
      </c>
      <c r="K33" s="226">
        <f>'MD-ratings-year'!P33</f>
        <v>0</v>
      </c>
      <c r="L33" s="566">
        <f>'MD-ratings-year'!Q33</f>
        <v>8.1013956036067523</v>
      </c>
      <c r="M33" s="566">
        <f>'MD-ratings-year'!R33</f>
        <v>15.379473905148243</v>
      </c>
      <c r="N33" s="566">
        <f>'MD-ratings-year'!S33</f>
        <v>29.195984145476498</v>
      </c>
      <c r="O33" s="226">
        <f>'MD-ratings-year'!T33</f>
        <v>98.091960842394769</v>
      </c>
      <c r="P33" s="226"/>
      <c r="Q33" s="226"/>
      <c r="R33" s="226"/>
      <c r="W33" s="455">
        <f t="array" ref="W33">IF('SK-ratios'!AF36&lt;0,0,IF('SK-ratios'!AF36&gt;'SK-ratios'!$AC36,10,10*LOG(1+('SK-ratios'!$U36-1)*('SK-ratios'!AF36-'SK-ratios'!$Y36)/('SK-ratios'!$AC36-'SK-ratios'!$Y36))/LOG('SK-ratios'!$U36)))</f>
        <v>4.3014703914265366</v>
      </c>
      <c r="X33" s="455">
        <f t="array" ref="X33">IF('SK-ratios'!AG36&lt;0,0,IF('SK-ratios'!AG36&gt;'SK-ratios'!$AC36,10,10*LOG(1+('SK-ratios'!$U36-1)*('SK-ratios'!AG36-'SK-ratios'!$Y36)/('SK-ratios'!$AC36-'SK-ratios'!$Y36))/LOG('SK-ratios'!$U36)))</f>
        <v>3.7829110749339647</v>
      </c>
      <c r="Y33" s="455">
        <f t="array" ref="Y33">IF('SK-ratios'!AH36&lt;0,0,IF('SK-ratios'!AH36&gt;'SK-ratios'!$AC36,10,10*LOG(1+('SK-ratios'!$U36-1)*('SK-ratios'!AH36-'SK-ratios'!$Y36)/('SK-ratios'!$AC36-'SK-ratios'!$Y36))/LOG('SK-ratios'!$U36)))</f>
        <v>3.794442205524915</v>
      </c>
      <c r="Z33" s="455">
        <f t="array" ref="Z33">IF('SK-ratios'!AI36&lt;0,0,IF('SK-ratios'!AI36&gt;'SK-ratios'!$AC36,10,10*LOG(1+('SK-ratios'!$U36-1)*('SK-ratios'!AI36-'SK-ratios'!$Y36)/('SK-ratios'!$AC36-'SK-ratios'!$Y36))/LOG('SK-ratios'!$U36)))</f>
        <v>7.6002271135321875</v>
      </c>
      <c r="AA33" s="455">
        <f t="array" ref="AA33">IF('SK-ratios'!AJ36&lt;0,0,IF('SK-ratios'!AJ36&gt;'SK-ratios'!$AC36,10,10*LOG(1+('SK-ratios'!$U36-1)*('SK-ratios'!AJ36-'SK-ratios'!$Y36)/('SK-ratios'!$AC36-'SK-ratios'!$Y36))/LOG('SK-ratios'!$U36)))</f>
        <v>2.5077067206329198</v>
      </c>
      <c r="AB33" s="455">
        <f t="array" ref="AB33">IF('SK-ratios'!AK36&lt;0,0,IF('SK-ratios'!AK36&gt;'SK-ratios'!$AC36,10,10*LOG(1+('SK-ratios'!$U36-1)*('SK-ratios'!AK36-'SK-ratios'!$Y36)/('SK-ratios'!$AC36-'SK-ratios'!$Y36))/LOG('SK-ratios'!$U36)))</f>
        <v>8.1189872215488439</v>
      </c>
      <c r="AC33" s="455">
        <f t="array" ref="AC33">IF('SK-ratios'!AL36&lt;0,0,IF('SK-ratios'!AL36&gt;'SK-ratios'!$AC36,10,10*LOG(1+('SK-ratios'!$U36-1)*('SK-ratios'!AL36-'SK-ratios'!$Y36)/('SK-ratios'!$AC36-'SK-ratios'!$Y36))/LOG('SK-ratios'!$U36)))</f>
        <v>3.4233729469317424</v>
      </c>
      <c r="AD33" s="455">
        <f t="array" ref="AD33">IF('SK-ratios'!AM36&lt;0,0,IF('SK-ratios'!AM36&gt;'SK-ratios'!$AC36,10,10*LOG(1+('SK-ratios'!$U36-1)*('SK-ratios'!AM36-'SK-ratios'!$Y36)/('SK-ratios'!$AC36-'SK-ratios'!$Y36))/LOG('SK-ratios'!$U36)))</f>
        <v>2.1717336976856476</v>
      </c>
      <c r="AE33" s="455">
        <f t="array" ref="AE33">IF('SK-ratios'!AN36&lt;0,0,IF('SK-ratios'!AN36&gt;'SK-ratios'!$AC36,10,10*LOG(1+('SK-ratios'!$U36-1)*('SK-ratios'!AN36-'SK-ratios'!$Y36)/('SK-ratios'!$AC36-'SK-ratios'!$Y36))/LOG('SK-ratios'!$U36)))</f>
        <v>2.5394691928393343</v>
      </c>
      <c r="AF33" s="455">
        <f t="array" ref="AF33">IF('SK-ratios'!AO36&lt;0,0,IF('SK-ratios'!AO36&gt;'SK-ratios'!$AC36,10,10*LOG(1+('SK-ratios'!$U36-1)*('SK-ratios'!AO36-'SK-ratios'!$Y36)/('SK-ratios'!$AC36-'SK-ratios'!$Y36))/LOG('SK-ratios'!$U36)))</f>
        <v>3.8660624236402081</v>
      </c>
      <c r="AG33" s="455">
        <f t="array" ref="AG33">IF('SK-ratios'!AP36&lt;0,0,IF('SK-ratios'!AP36&gt;'SK-ratios'!$AC36,10,10*LOG(1+('SK-ratios'!$U36-1)*('SK-ratios'!AP36-'SK-ratios'!$Y36)/('SK-ratios'!$AC36-'SK-ratios'!$Y36))/LOG('SK-ratios'!$U36)))</f>
        <v>2.2112303089410115</v>
      </c>
      <c r="AH33" s="455">
        <f t="array" ref="AH33">IF('SK-ratios'!AQ36&lt;0,0,IF('SK-ratios'!AQ36&gt;'SK-ratios'!$AC36,10,10*LOG(1+('SK-ratios'!$U36-1)*('SK-ratios'!AQ36-'SK-ratios'!$Y36)/('SK-ratios'!$AC36-'SK-ratios'!$Y36))/LOG('SK-ratios'!$U36)))</f>
        <v>1.8010601545553306</v>
      </c>
      <c r="AI33" s="455">
        <f t="array" ref="AI33">IF('SK-ratios'!AR36&lt;0,0,IF('SK-ratios'!AR36&gt;'SK-ratios'!$AC36,10,10*LOG(1+('SK-ratios'!$U36-1)*('SK-ratios'!AR36-'SK-ratios'!$Y36)/('SK-ratios'!$AC36-'SK-ratios'!$Y36))/LOG('SK-ratios'!$U36)))</f>
        <v>2.0912870974821609</v>
      </c>
      <c r="AJ33" s="455">
        <f t="array" ref="AJ33">IF('SK-ratios'!AS36&lt;0,0,IF('SK-ratios'!AS36&gt;'SK-ratios'!$AC36,10,10*LOG(1+('SK-ratios'!$U36-1)*('SK-ratios'!AS36-'SK-ratios'!$Y36)/('SK-ratios'!$AC36-'SK-ratios'!$Y36))/LOG('SK-ratios'!$U36)))</f>
        <v>2.9050999078698583</v>
      </c>
      <c r="AK33" s="455">
        <f t="array" ref="AK33">IF('SK-ratios'!AT36&lt;0,0,IF('SK-ratios'!AT36&gt;'SK-ratios'!$AC36,10,10*LOG(1+('SK-ratios'!$U36-1)*('SK-ratios'!AT36-'SK-ratios'!$Y36)/('SK-ratios'!$AC36-'SK-ratios'!$Y36))/LOG('SK-ratios'!$U36)))</f>
        <v>2.1996706328069173</v>
      </c>
      <c r="AL33" s="455">
        <f t="array" ref="AL33">IF('SK-ratios'!AU36&lt;0,0,IF('SK-ratios'!AU36&gt;'SK-ratios'!$AC36,10,10*LOG(1+('SK-ratios'!$U36-1)*('SK-ratios'!AU36-'SK-ratios'!$Y36)/('SK-ratios'!$AC36-'SK-ratios'!$Y36))/LOG('SK-ratios'!$U36)))</f>
        <v>1.1157764529703478</v>
      </c>
      <c r="AM33" s="455">
        <f t="array" ref="AM33">IF('SK-ratios'!AV36&lt;0,0,IF('SK-ratios'!AV36&gt;'SK-ratios'!$AC36,10,10*LOG(1+('SK-ratios'!$U36-1)*('SK-ratios'!AV36-'SK-ratios'!$Y36)/('SK-ratios'!$AC36-'SK-ratios'!$Y36))/LOG('SK-ratios'!$U36)))</f>
        <v>3.1694698271740727</v>
      </c>
      <c r="AN33" s="455">
        <f t="array" ref="AN33">IF('SK-ratios'!AW36&lt;0,0,IF('SK-ratios'!AW36&gt;'SK-ratios'!$AC36,10,10*LOG(1+('SK-ratios'!$U36-1)*('SK-ratios'!AW36-'SK-ratios'!$Y36)/('SK-ratios'!$AC36-'SK-ratios'!$Y36))/LOG('SK-ratios'!$U36)))</f>
        <v>5.6400164801499049</v>
      </c>
      <c r="AO33" s="455">
        <f t="array" ref="AO33">IF('SK-ratios'!AX36&lt;0,0,IF('SK-ratios'!AX36&gt;'SK-ratios'!$AC36,10,10*LOG(1+('SK-ratios'!$U36-1)*('SK-ratios'!AX36-'SK-ratios'!$Y36)/('SK-ratios'!$AC36-'SK-ratios'!$Y36))/LOG('SK-ratios'!$U36)))</f>
        <v>3.6294205871989962</v>
      </c>
      <c r="AP33" s="455">
        <f t="array" ref="AP33">IF('SK-ratios'!AY36&lt;0,0,IF('SK-ratios'!AY36&gt;'SK-ratios'!$AC36,10,10*LOG(1+('SK-ratios'!$U36-1)*('SK-ratios'!AY36-'SK-ratios'!$Y36)/('SK-ratios'!$AC36-'SK-ratios'!$Y36))/LOG('SK-ratios'!$U36)))</f>
        <v>2.7909479274104618</v>
      </c>
      <c r="AQ33" s="455">
        <f t="array" ref="AQ33">IF('SK-ratios'!AZ36&lt;0,0,IF('SK-ratios'!AZ36&gt;'SK-ratios'!$AC36,10,10*LOG(1+('SK-ratios'!$U36-1)*('SK-ratios'!AZ36-'SK-ratios'!$Y36)/('SK-ratios'!$AC36-'SK-ratios'!$Y36))/LOG('SK-ratios'!$U36)))</f>
        <v>2.6173523109095344E-2</v>
      </c>
      <c r="AR33" s="455">
        <f t="array" ref="AR33">IF('SK-ratios'!BA36&lt;0,0,IF('SK-ratios'!BA36&gt;'SK-ratios'!$AC36,10,10*LOG(1+('SK-ratios'!$U36-1)*('SK-ratios'!BA36-'SK-ratios'!$Y36)/('SK-ratios'!$AC36-'SK-ratios'!$Y36))/LOG('SK-ratios'!$U36)))</f>
        <v>2.6353633689621945</v>
      </c>
      <c r="AS33" s="455">
        <f t="array" ref="AS33">IF('SK-ratios'!BB36&lt;0,0,IF('SK-ratios'!BB36&gt;'SK-ratios'!$AC36,10,10*LOG(1+('SK-ratios'!$U36-1)*('SK-ratios'!BB36-'SK-ratios'!$Y36)/('SK-ratios'!$AC36-'SK-ratios'!$Y36))/LOG('SK-ratios'!$U36)))</f>
        <v>2.1902048335529742</v>
      </c>
      <c r="AT33" s="455">
        <f t="array" ref="AT33">IF('SK-ratios'!BC36&lt;0,0,IF('SK-ratios'!BC36&gt;'SK-ratios'!$AC36,10,10*LOG(1+('SK-ratios'!$U36-1)*('SK-ratios'!BC36-'SK-ratios'!$Y36)/('SK-ratios'!$AC36-'SK-ratios'!$Y36))/LOG('SK-ratios'!$U36)))</f>
        <v>3.4379893232311969</v>
      </c>
      <c r="AU33" s="455">
        <f t="array" ref="AU33">IF('SK-ratios'!BD36&lt;0,0,IF('SK-ratios'!BD36&gt;'SK-ratios'!$AC36,10,10*LOG(1+('SK-ratios'!$U36-1)*('SK-ratios'!BD36-'SK-ratios'!$Y36)/('SK-ratios'!$AC36-'SK-ratios'!$Y36))/LOG('SK-ratios'!$U36)))</f>
        <v>5.2588896961627984</v>
      </c>
      <c r="AV33" s="455">
        <f t="array" ref="AV33">IF('SK-ratios'!BE36&lt;0,0,IF('SK-ratios'!BE36&gt;'SK-ratios'!$AC36,10,10*LOG(1+('SK-ratios'!$U36-1)*('SK-ratios'!BE36-'SK-ratios'!$Y36)/('SK-ratios'!$AC36-'SK-ratios'!$Y36))/LOG('SK-ratios'!$U36)))</f>
        <v>3.2738690932136651</v>
      </c>
      <c r="AW33" s="455">
        <f t="array" ref="AW33">IF('SK-ratios'!BF36&lt;0,0,IF('SK-ratios'!BF36&gt;'SK-ratios'!$AC36,10,10*LOG(1+('SK-ratios'!$U36-1)*('SK-ratios'!BF36-'SK-ratios'!$Y36)/('SK-ratios'!$AC36-'SK-ratios'!$Y36))/LOG('SK-ratios'!$U36)))</f>
        <v>3.4774667494593392</v>
      </c>
      <c r="AX33" s="455">
        <f t="array" ref="AX33">IF('SK-ratios'!BG36&lt;0,0,IF('SK-ratios'!BG36&gt;'SK-ratios'!$AC36,10,10*LOG(1+('SK-ratios'!$U36-1)*('SK-ratios'!BG36-'SK-ratios'!$Y36)/('SK-ratios'!$AC36-'SK-ratios'!$Y36))/LOG('SK-ratios'!$U36)))</f>
        <v>2.7301985670047784</v>
      </c>
      <c r="AY33" s="455">
        <f t="array" ref="AY33">IF('SK-ratios'!BH36&lt;0,0,IF('SK-ratios'!BH36&gt;'SK-ratios'!$AC36,10,10*LOG(1+('SK-ratios'!$U36-1)*('SK-ratios'!BH36-'SK-ratios'!$Y36)/('SK-ratios'!$AC36-'SK-ratios'!$Y36))/LOG('SK-ratios'!$U36)))</f>
        <v>2.2033353186685991</v>
      </c>
      <c r="AZ33" s="455">
        <f t="array" ref="AZ33">IF('SK-ratios'!BI36&lt;0,0,IF('SK-ratios'!BI36&gt;'SK-ratios'!$AC36,10,10*LOG(1+('SK-ratios'!$U36-1)*('SK-ratios'!BI36-'SK-ratios'!$Y36)/('SK-ratios'!$AC36-'SK-ratios'!$Y36))/LOG('SK-ratios'!$U36)))</f>
        <v>4.0793202182745896</v>
      </c>
      <c r="BA33" s="455">
        <f t="array" ref="BA33">IF('SK-ratios'!BJ36&lt;0,0,IF('SK-ratios'!BJ36&gt;'SK-ratios'!$AC36,10,10*LOG(1+('SK-ratios'!$U36-1)*('SK-ratios'!BJ36-'SK-ratios'!$Y36)/('SK-ratios'!$AC36-'SK-ratios'!$Y36))/LOG('SK-ratios'!$U36)))</f>
        <v>9.9478154007614616</v>
      </c>
      <c r="BB33" s="455">
        <f t="array" ref="BB33">IF('SK-ratios'!BK36&lt;0,0,IF('SK-ratios'!BK36&gt;'SK-ratios'!$AC36,10,10*LOG(1+('SK-ratios'!$U36-1)*('SK-ratios'!BK36-'SK-ratios'!$Y36)/('SK-ratios'!$AC36-'SK-ratios'!$Y36))/LOG('SK-ratios'!$U36)))</f>
        <v>2.0245625029849044</v>
      </c>
      <c r="BC33" s="455">
        <f t="array" ref="BC33">IF('SK-ratios'!BL36&lt;0,0,IF('SK-ratios'!BL36&gt;'SK-ratios'!$AC36,10,10*LOG(1+('SK-ratios'!$U36-1)*('SK-ratios'!BL36-'SK-ratios'!$Y36)/('SK-ratios'!$AC36-'SK-ratios'!$Y36))/LOG('SK-ratios'!$U36)))</f>
        <v>3.3892998879898899</v>
      </c>
      <c r="BD33" s="455">
        <f t="array" ref="BD33">IF('SK-ratios'!BM36&lt;0,0,IF('SK-ratios'!BM36&gt;'SK-ratios'!$AC36,10,10*LOG(1+('SK-ratios'!$U36-1)*('SK-ratios'!BM36-'SK-ratios'!$Y36)/('SK-ratios'!$AC36-'SK-ratios'!$Y36))/LOG('SK-ratios'!$U36)))</f>
        <v>3.9934543786252878</v>
      </c>
      <c r="BE33" s="455">
        <f t="array" ref="BE33">IF('SK-ratios'!BN36&lt;0,0,IF('SK-ratios'!BN36&gt;'SK-ratios'!$AC36,10,10*LOG(1+('SK-ratios'!$U36-1)*('SK-ratios'!BN36-'SK-ratios'!$Y36)/('SK-ratios'!$AC36-'SK-ratios'!$Y36))/LOG('SK-ratios'!$U36)))</f>
        <v>0.63562101885295419</v>
      </c>
      <c r="BF33" s="455">
        <f t="array" ref="BF33">IF('SK-ratios'!BO36&lt;0,0,IF('SK-ratios'!BO36&gt;'SK-ratios'!$AC36,10,10*LOG(1+('SK-ratios'!$U36-1)*('SK-ratios'!BO36-'SK-ratios'!$Y36)/('SK-ratios'!$AC36-'SK-ratios'!$Y36))/LOG('SK-ratios'!$U36)))</f>
        <v>2.0429839736342363</v>
      </c>
      <c r="BG33" s="455">
        <f t="array" ref="BG33">IF('SK-ratios'!BP36&lt;0,0,IF('SK-ratios'!BP36&gt;'SK-ratios'!$AC36,10,10*LOG(1+('SK-ratios'!$U36-1)*('SK-ratios'!BP36-'SK-ratios'!$Y36)/('SK-ratios'!$AC36-'SK-ratios'!$Y36))/LOG('SK-ratios'!$U36)))</f>
        <v>2.7757494264941029</v>
      </c>
      <c r="BH33" s="455">
        <f t="array" ref="BH33">IF('SK-ratios'!BQ36&lt;0,0,IF('SK-ratios'!BQ36&gt;'SK-ratios'!$AC36,10,10*LOG(1+('SK-ratios'!$U36-1)*('SK-ratios'!BQ36-'SK-ratios'!$Y36)/('SK-ratios'!$AC36-'SK-ratios'!$Y36))/LOG('SK-ratios'!$U36)))</f>
        <v>3.155238980661772</v>
      </c>
      <c r="BI33" s="455">
        <f t="array" ref="BI33">IF('SK-ratios'!BR36&lt;0,0,IF('SK-ratios'!BR36&gt;'SK-ratios'!$AC36,10,10*LOG(1+('SK-ratios'!$U36-1)*('SK-ratios'!BR36-'SK-ratios'!$Y36)/('SK-ratios'!$AC36-'SK-ratios'!$Y36))/LOG('SK-ratios'!$U36)))</f>
        <v>2.7485808834758405</v>
      </c>
      <c r="BJ33" s="455">
        <f t="array" ref="BJ33">IF('SK-ratios'!BS36&lt;0,0,IF('SK-ratios'!BS36&gt;'SK-ratios'!$AC36,10,10*LOG(1+('SK-ratios'!$U36-1)*('SK-ratios'!BS36-'SK-ratios'!$Y36)/('SK-ratios'!$AC36-'SK-ratios'!$Y36))/LOG('SK-ratios'!$U36)))</f>
        <v>2.6299695649786603</v>
      </c>
      <c r="BK33" s="455">
        <f t="array" ref="BK33">IF('SK-ratios'!BT36&lt;0,0,IF('SK-ratios'!BT36&gt;'SK-ratios'!$AC36,10,10*LOG(1+('SK-ratios'!$U36-1)*('SK-ratios'!BT36-'SK-ratios'!$Y36)/('SK-ratios'!$AC36-'SK-ratios'!$Y36))/LOG('SK-ratios'!$U36)))</f>
        <v>3.1743058389973249</v>
      </c>
      <c r="BL33" s="455">
        <f t="array" ref="BL33">IF('SK-ratios'!BU36&lt;0,0,IF('SK-ratios'!BU36&gt;'SK-ratios'!$AC36,10,10*LOG(1+('SK-ratios'!$U36-1)*('SK-ratios'!BU36-'SK-ratios'!$Y36)/('SK-ratios'!$AC36-'SK-ratios'!$Y36))/LOG('SK-ratios'!$U36)))</f>
        <v>3.1350492707178668</v>
      </c>
      <c r="BM33" s="455">
        <f t="array" ref="BM33">IF('SK-ratios'!BV36&lt;0,0,IF('SK-ratios'!BV36&gt;'SK-ratios'!$AC36,10,10*LOG(1+('SK-ratios'!$U36-1)*('SK-ratios'!BV36-'SK-ratios'!$Y36)/('SK-ratios'!$AC36-'SK-ratios'!$Y36))/LOG('SK-ratios'!$U36)))</f>
        <v>8.4633643174724149</v>
      </c>
      <c r="BN33" s="455">
        <f t="array" ref="BN33">IF('SK-ratios'!BW36&lt;0,0,IF('SK-ratios'!BW36&gt;'SK-ratios'!$AC36,10,10*LOG(1+('SK-ratios'!$U36-1)*('SK-ratios'!BW36-'SK-ratios'!$Y36)/('SK-ratios'!$AC36-'SK-ratios'!$Y36))/LOG('SK-ratios'!$U36)))</f>
        <v>4.8061263013273212</v>
      </c>
      <c r="BO33" s="455">
        <f t="array" ref="BO33">IF('SK-ratios'!BX36&lt;0,0,IF('SK-ratios'!BX36&gt;'SK-ratios'!$AC36,10,10*LOG(1+('SK-ratios'!$U36-1)*('SK-ratios'!BX36-'SK-ratios'!$Y36)/('SK-ratios'!$AC36-'SK-ratios'!$Y36))/LOG('SK-ratios'!$U36)))</f>
        <v>2.8855930070148794</v>
      </c>
      <c r="BP33" s="455">
        <f t="array" ref="BP33">IF('SK-ratios'!BY36&lt;0,0,IF('SK-ratios'!BY36&gt;'SK-ratios'!$AC36,10,10*LOG(1+('SK-ratios'!$U36-1)*('SK-ratios'!BY36-'SK-ratios'!$Y36)/('SK-ratios'!$AC36-'SK-ratios'!$Y36))/LOG('SK-ratios'!$U36)))</f>
        <v>3.1179796752645967</v>
      </c>
      <c r="BQ33" s="455">
        <f t="array" ref="BQ33">IF('SK-ratios'!BZ36&lt;0,0,IF('SK-ratios'!BZ36&gt;'SK-ratios'!$AC36,10,10*LOG(1+('SK-ratios'!$U36-1)*('SK-ratios'!BZ36-'SK-ratios'!$Y36)/('SK-ratios'!$AC36-'SK-ratios'!$Y36))/LOG('SK-ratios'!$U36)))</f>
        <v>7.7958049644369396</v>
      </c>
      <c r="BR33" s="455">
        <f t="array" ref="BR33">IF('SK-ratios'!CA36&lt;0,0,IF('SK-ratios'!CA36&gt;'SK-ratios'!$AC36,10,10*LOG(1+('SK-ratios'!$U36-1)*('SK-ratios'!CA36-'SK-ratios'!$Y36)/('SK-ratios'!$AC36-'SK-ratios'!$Y36))/LOG('SK-ratios'!$U36)))</f>
        <v>0.60772062646745939</v>
      </c>
      <c r="BS33" s="455">
        <f t="array" ref="BS33">IF('SK-ratios'!CB36&lt;0,0,IF('SK-ratios'!CB36&gt;'SK-ratios'!$AC36,10,10*LOG(1+('SK-ratios'!$U36-1)*('SK-ratios'!CB36-'SK-ratios'!$Y36)/('SK-ratios'!$AC36-'SK-ratios'!$Y36))/LOG('SK-ratios'!$U36)))</f>
        <v>3.5728758142484893</v>
      </c>
      <c r="BT33" s="455">
        <f t="array" ref="BT33">IF('SK-ratios'!CC36&lt;0,0,IF('SK-ratios'!CC36&gt;'SK-ratios'!$AC36,10,10*LOG(1+('SK-ratios'!$U36-1)*('SK-ratios'!CC36-'SK-ratios'!$Y36)/('SK-ratios'!$AC36-'SK-ratios'!$Y36))/LOG('SK-ratios'!$U36)))</f>
        <v>2.9050170378963696</v>
      </c>
      <c r="BU33" s="455">
        <f t="array" ref="BU33">IF('SK-ratios'!CD36&lt;0,0,IF('SK-ratios'!CD36&gt;'SK-ratios'!$AC36,10,10*LOG(1+('SK-ratios'!$U36-1)*('SK-ratios'!CD36-'SK-ratios'!$Y36)/('SK-ratios'!$AC36-'SK-ratios'!$Y36))/LOG('SK-ratios'!$U36)))</f>
        <v>4.4142321116841821</v>
      </c>
      <c r="BV33" s="455">
        <f t="array" ref="BV33">IF('SK-ratios'!CE36&lt;0,0,IF('SK-ratios'!CE36&gt;'SK-ratios'!$AC36,10,10*LOG(1+('SK-ratios'!$U36-1)*('SK-ratios'!CE36-'SK-ratios'!$Y36)/('SK-ratios'!$AC36-'SK-ratios'!$Y36))/LOG('SK-ratios'!$U36)))</f>
        <v>7.5094268289339201</v>
      </c>
      <c r="BW33" s="455">
        <f t="array" ref="BW33">IF('SK-ratios'!CF36&lt;0,0,IF('SK-ratios'!CF36&gt;'SK-ratios'!$AC36,10,10*LOG(1+('SK-ratios'!$U36-1)*('SK-ratios'!CF36-'SK-ratios'!$Y36)/('SK-ratios'!$AC36-'SK-ratios'!$Y36))/LOG('SK-ratios'!$U36)))</f>
        <v>2.5490945525346222</v>
      </c>
      <c r="BX33" s="455">
        <f t="array" ref="BX33">IF('SK-ratios'!CG36&lt;0,0,IF('SK-ratios'!CG36&gt;'SK-ratios'!$AC36,10,10*LOG(1+('SK-ratios'!$U36-1)*('SK-ratios'!CG36-'SK-ratios'!$Y36)/('SK-ratios'!$AC36-'SK-ratios'!$Y36))/LOG('SK-ratios'!$U36)))</f>
        <v>2.9934815687550809</v>
      </c>
      <c r="BY33" s="455">
        <f t="array" ref="BY33">IF('SK-ratios'!CH36&lt;0,0,IF('SK-ratios'!CH36&gt;'SK-ratios'!$AC36,10,10*LOG(1+('SK-ratios'!$U36-1)*('SK-ratios'!CH36-'SK-ratios'!$Y36)/('SK-ratios'!$AC36-'SK-ratios'!$Y36))/LOG('SK-ratios'!$U36)))</f>
        <v>1.6649758947535775</v>
      </c>
      <c r="BZ33" s="455">
        <f t="array" ref="BZ33">IF('SK-ratios'!CI36&lt;0,0,IF('SK-ratios'!CI36&gt;'SK-ratios'!$AC36,10,10*LOG(1+('SK-ratios'!$U36-1)*('SK-ratios'!CI36-'SK-ratios'!$Y36)/('SK-ratios'!$AC36-'SK-ratios'!$Y36))/LOG('SK-ratios'!$U36)))</f>
        <v>1.7002933578265753</v>
      </c>
      <c r="CA33" s="455">
        <f t="array" ref="CA33">IF('SK-ratios'!CJ36&lt;0,0,IF('SK-ratios'!CJ36&gt;'SK-ratios'!$AC36,10,10*LOG(1+('SK-ratios'!$U36-1)*('SK-ratios'!CJ36-'SK-ratios'!$Y36)/('SK-ratios'!$AC36-'SK-ratios'!$Y36))/LOG('SK-ratios'!$U36)))</f>
        <v>3.4220107196993235</v>
      </c>
      <c r="CB33" s="455">
        <f t="array" ref="CB33">IF('SK-ratios'!CK36&lt;0,0,IF('SK-ratios'!CK36&gt;'SK-ratios'!$AC36,10,10*LOG(1+('SK-ratios'!$U36-1)*('SK-ratios'!CK36-'SK-ratios'!$Y36)/('SK-ratios'!$AC36-'SK-ratios'!$Y36))/LOG('SK-ratios'!$U36)))</f>
        <v>5.3639854250443832</v>
      </c>
      <c r="CC33" s="455">
        <f t="array" ref="CC33">IF('SK-ratios'!CL36&lt;0,0,IF('SK-ratios'!CL36&gt;'SK-ratios'!$AC36,10,10*LOG(1+('SK-ratios'!$U36-1)*('SK-ratios'!CL36-'SK-ratios'!$Y36)/('SK-ratios'!$AC36-'SK-ratios'!$Y36))/LOG('SK-ratios'!$U36)))</f>
        <v>6.6393817629571412</v>
      </c>
      <c r="CD33" s="455">
        <f t="array" ref="CD33">IF('SK-ratios'!CM36&lt;0,0,IF('SK-ratios'!CM36&gt;'SK-ratios'!$AC36,10,10*LOG(1+('SK-ratios'!$U36-1)*('SK-ratios'!CM36-'SK-ratios'!$Y36)/('SK-ratios'!$AC36-'SK-ratios'!$Y36))/LOG('SK-ratios'!$U36)))</f>
        <v>3.379596390211506</v>
      </c>
      <c r="CE33" s="455">
        <f t="array" ref="CE33">IF('SK-ratios'!CN36&lt;0,0,IF('SK-ratios'!CN36&gt;'SK-ratios'!$AC36,10,10*LOG(1+('SK-ratios'!$U36-1)*('SK-ratios'!CN36-'SK-ratios'!$Y36)/('SK-ratios'!$AC36-'SK-ratios'!$Y36))/LOG('SK-ratios'!$U36)))</f>
        <v>3.1952361514913017</v>
      </c>
      <c r="CF33" s="455">
        <f t="array" ref="CF33">IF('SK-ratios'!CO36&lt;0,0,IF('SK-ratios'!CO36&gt;'SK-ratios'!$AC36,10,10*LOG(1+('SK-ratios'!$U36-1)*('SK-ratios'!CO36-'SK-ratios'!$Y36)/('SK-ratios'!$AC36-'SK-ratios'!$Y36))/LOG('SK-ratios'!$U36)))</f>
        <v>4.3639117412684083</v>
      </c>
      <c r="CG33" s="455">
        <f t="array" ref="CG33">IF('SK-ratios'!CP36&lt;0,0,IF('SK-ratios'!CP36&gt;'SK-ratios'!$AC36,10,10*LOG(1+('SK-ratios'!$U36-1)*('SK-ratios'!CP36-'SK-ratios'!$Y36)/('SK-ratios'!$AC36-'SK-ratios'!$Y36))/LOG('SK-ratios'!$U36)))</f>
        <v>3.0892323906379366</v>
      </c>
      <c r="CH33" s="455">
        <f t="array" ref="CH33">IF('SK-ratios'!CQ36&lt;0,0,IF('SK-ratios'!CQ36&gt;'SK-ratios'!$AC36,10,10*LOG(1+('SK-ratios'!$U36-1)*('SK-ratios'!CQ36-'SK-ratios'!$Y36)/('SK-ratios'!$AC36-'SK-ratios'!$Y36))/LOG('SK-ratios'!$U36)))</f>
        <v>1.8901770829083486</v>
      </c>
      <c r="CI33" s="455">
        <f t="array" ref="CI33">IF('SK-ratios'!CR36&lt;0,0,IF('SK-ratios'!CR36&gt;'SK-ratios'!$AC36,10,10*LOG(1+('SK-ratios'!$U36-1)*('SK-ratios'!CR36-'SK-ratios'!$Y36)/('SK-ratios'!$AC36-'SK-ratios'!$Y36))/LOG('SK-ratios'!$U36)))</f>
        <v>4.7886108833913328</v>
      </c>
      <c r="CJ33" s="455">
        <f t="array" ref="CJ33">IF('SK-ratios'!CS36&lt;0,0,IF('SK-ratios'!CS36&gt;'SK-ratios'!$AC36,10,10*LOG(1+('SK-ratios'!$U36-1)*('SK-ratios'!CS36-'SK-ratios'!$Y36)/('SK-ratios'!$AC36-'SK-ratios'!$Y36))/LOG('SK-ratios'!$U36)))</f>
        <v>9.8830157208125939</v>
      </c>
      <c r="CK33" s="455">
        <f t="array" ref="CK33">IF('SK-ratios'!CT36&lt;0,0,IF('SK-ratios'!CT36&gt;'SK-ratios'!$AC36,10,10*LOG(1+('SK-ratios'!$U36-1)*('SK-ratios'!CT36-'SK-ratios'!$Y36)/('SK-ratios'!$AC36-'SK-ratios'!$Y36))/LOG('SK-ratios'!$U36)))</f>
        <v>2.7329959980785783</v>
      </c>
      <c r="CL33" s="455">
        <f t="array" ref="CL33">IF('SK-ratios'!CU36&lt;0,0,IF('SK-ratios'!CU36&gt;'SK-ratios'!$AC36,10,10*LOG(1+('SK-ratios'!$U36-1)*('SK-ratios'!CU36-'SK-ratios'!$Y36)/('SK-ratios'!$AC36-'SK-ratios'!$Y36))/LOG('SK-ratios'!$U36)))</f>
        <v>2.6992731677407531</v>
      </c>
      <c r="CM33" s="455">
        <f t="array" ref="CM33">IF('SK-ratios'!CV36&lt;0,0,IF('SK-ratios'!CV36&gt;'SK-ratios'!$AC36,10,10*LOG(1+('SK-ratios'!$U36-1)*('SK-ratios'!CV36-'SK-ratios'!$Y36)/('SK-ratios'!$AC36-'SK-ratios'!$Y36))/LOG('SK-ratios'!$U36)))</f>
        <v>3.2693916323975878</v>
      </c>
      <c r="CN33" s="455">
        <f t="array" ref="CN33">IF('SK-ratios'!CW36&lt;0,0,IF('SK-ratios'!CW36&gt;'SK-ratios'!$AC36,10,10*LOG(1+('SK-ratios'!$U36-1)*('SK-ratios'!CW36-'SK-ratios'!$Y36)/('SK-ratios'!$AC36-'SK-ratios'!$Y36))/LOG('SK-ratios'!$U36)))</f>
        <v>0.59752166121882322</v>
      </c>
      <c r="CO33" s="455">
        <f t="array" ref="CO33">IF('SK-ratios'!CX36&lt;0,0,IF('SK-ratios'!CX36&gt;'SK-ratios'!$AC36,10,10*LOG(1+('SK-ratios'!$U36-1)*('SK-ratios'!CX36-'SK-ratios'!$Y36)/('SK-ratios'!$AC36-'SK-ratios'!$Y36))/LOG('SK-ratios'!$U36)))</f>
        <v>3.8524449765110722</v>
      </c>
      <c r="CP33" s="455">
        <f t="array" ref="CP33">IF('SK-ratios'!CY36&lt;0,0,IF('SK-ratios'!CY36&gt;'SK-ratios'!$AC36,10,10*LOG(1+('SK-ratios'!$U36-1)*('SK-ratios'!CY36-'SK-ratios'!$Y36)/('SK-ratios'!$AC36-'SK-ratios'!$Y36))/LOG('SK-ratios'!$U36)))</f>
        <v>2.7746388570216434</v>
      </c>
      <c r="CQ33" s="455">
        <f t="array" ref="CQ33">IF('SK-ratios'!CZ36&lt;0,0,IF('SK-ratios'!CZ36&gt;'SK-ratios'!$AC36,10,10*LOG(1+('SK-ratios'!$U36-1)*('SK-ratios'!CZ36-'SK-ratios'!$Y36)/('SK-ratios'!$AC36-'SK-ratios'!$Y36))/LOG('SK-ratios'!$U36)))</f>
        <v>5.109756235730142</v>
      </c>
      <c r="CR33" s="455">
        <f t="array" ref="CR33">IF('SK-ratios'!DA36&lt;0,0,IF('SK-ratios'!DA36&gt;'SK-ratios'!$AC36,10,10*LOG(1+('SK-ratios'!$U36-1)*('SK-ratios'!DA36-'SK-ratios'!$Y36)/('SK-ratios'!$AC36-'SK-ratios'!$Y36))/LOG('SK-ratios'!$U36)))</f>
        <v>3.0727724869201265</v>
      </c>
      <c r="CS33" s="455">
        <f t="array" ref="CS33">IF('SK-ratios'!DB36&lt;0,0,IF('SK-ratios'!DB36&gt;'SK-ratios'!$AC36,10,10*LOG(1+('SK-ratios'!$U36-1)*('SK-ratios'!DB36-'SK-ratios'!$Y36)/('SK-ratios'!$AC36-'SK-ratios'!$Y36))/LOG('SK-ratios'!$U36)))</f>
        <v>3.175579560580744</v>
      </c>
      <c r="CT33" s="455">
        <f t="array" ref="CT33">IF('SK-ratios'!DC36&lt;0,0,IF('SK-ratios'!DC36&gt;'SK-ratios'!$AC36,10,10*LOG(1+('SK-ratios'!$U36-1)*('SK-ratios'!DC36-'SK-ratios'!$Y36)/('SK-ratios'!$AC36-'SK-ratios'!$Y36))/LOG('SK-ratios'!$U36)))</f>
        <v>1.9723726745146464</v>
      </c>
      <c r="CU33" s="455">
        <f t="array" ref="CU33">IF('SK-ratios'!DD36&lt;0,0,IF('SK-ratios'!DD36&gt;'SK-ratios'!$AC36,10,10*LOG(1+('SK-ratios'!$U36-1)*('SK-ratios'!DD36-'SK-ratios'!$Y36)/('SK-ratios'!$AC36-'SK-ratios'!$Y36))/LOG('SK-ratios'!$U36)))</f>
        <v>5.2966318568339794</v>
      </c>
      <c r="CV33" s="455">
        <f t="array" ref="CV33">IF('SK-ratios'!DE36&lt;0,0,IF('SK-ratios'!DE36&gt;'SK-ratios'!$AC36,10,10*LOG(1+('SK-ratios'!$U36-1)*('SK-ratios'!DE36-'SK-ratios'!$Y36)/('SK-ratios'!$AC36-'SK-ratios'!$Y36))/LOG('SK-ratios'!$U36)))</f>
        <v>2.0614848477768204</v>
      </c>
      <c r="CW33" s="455">
        <f t="array" ref="CW33">IF('SK-ratios'!DF36&lt;0,0,IF('SK-ratios'!DF36&gt;'SK-ratios'!$AC36,10,10*LOG(1+('SK-ratios'!$U36-1)*('SK-ratios'!DF36-'SK-ratios'!$Y36)/('SK-ratios'!$AC36-'SK-ratios'!$Y36))/LOG('SK-ratios'!$U36)))</f>
        <v>2.7733365954560418</v>
      </c>
      <c r="CX33" s="455">
        <f t="array" ref="CX33">IF('SK-ratios'!DG36&lt;0,0,IF('SK-ratios'!DG36&gt;'SK-ratios'!$AC36,10,10*LOG(1+('SK-ratios'!$U36-1)*('SK-ratios'!DG36-'SK-ratios'!$Y36)/('SK-ratios'!$AC36-'SK-ratios'!$Y36))/LOG('SK-ratios'!$U36)))</f>
        <v>0.9093235103533992</v>
      </c>
      <c r="DA33" s="456">
        <f t="array" ref="DA33">SUMPRODUCT(IF(($W$3:$CX$3=DA$3)*($W$2:$CX$2=DA$2),$W33:$CX33),IF(($W$3:$CX$3=DA$3)*($W$2:$CX$2=DA$2),$W$36:$CX$36))/SUM(IF(($W$3:$CX$3=DA$3)*($W$2:$CX$2=DA$2),$W$36:$CX$36))</f>
        <v>4.0260485940877855</v>
      </c>
      <c r="DB33" s="456">
        <f t="array" ref="DB33">SUMPRODUCT(IF(($W$3:$CX$3=DB$3)*($W$2:$CX$2=DB$2),$W33:$CX33),IF(($W$3:$CX$3=DB$3)*($W$2:$CX$2=DB$2),$W$36:$CX$36))/SUM(IF(($W$3:$CX$3=DB$3)*($W$2:$CX$2=DB$2),$W$36:$CX$36))</f>
        <v>2.2785508571535629</v>
      </c>
      <c r="DC33" s="456">
        <f t="array" ref="DC33">SUMPRODUCT(IF(($W$3:$CX$3=DC$3)*($W$2:$CX$2=DC$2),$W33:$CX33),IF(($W$3:$CX$3=DC$3)*($W$2:$CX$2=DC$2),$W$36:$CX$36))/SUM(IF(($W$3:$CX$3=DC$3)*($W$2:$CX$2=DC$2),$W$36:$CX$36))</f>
        <v>2.2890819719666573</v>
      </c>
      <c r="DD33" s="456">
        <f t="array" ref="DD33">SUMPRODUCT(IF(($W$3:$CX$3=DD$3)*($W$2:$CX$2=DD$2),$W33:$CX33),IF(($W$3:$CX$3=DD$3)*($W$2:$CX$2=DD$2),$W$36:$CX$36))/SUM(IF(($W$3:$CX$3=DD$3)*($W$2:$CX$2=DD$2),$W$36:$CX$36))</f>
        <v>3.3490747354419499</v>
      </c>
      <c r="DE33" s="456">
        <f t="array" ref="DE33">SUMPRODUCT(IF(($W$3:$CX$3=DE$3)*($W$2:$CX$2=DE$2),$W33:$CX33),IF(($W$3:$CX$3=DE$3)*($W$2:$CX$2=DE$2),$W$36:$CX$36))/SUM(IF(($W$3:$CX$3=DE$3)*($W$2:$CX$2=DE$2),$W$36:$CX$36))</f>
        <v>3.5687321282887385</v>
      </c>
      <c r="DF33" s="456">
        <f t="array" ref="DF33">SUMPRODUCT(IF(($W$3:$CX$3=DF$3)*($W$2:$CX$2=DF$2),$W33:$CX33),IF(($W$3:$CX$3=DF$3)*($W$2:$CX$2=DF$2),$W$36:$CX$36))/SUM(IF(($W$3:$CX$3=DF$3)*($W$2:$CX$2=DF$2),$W$36:$CX$36))</f>
        <v>5.4024029781224252</v>
      </c>
      <c r="DG33" s="456">
        <f t="array" ref="DG33">SUMPRODUCT(IF(($W$3:$CX$3=DG$3)*($W$2:$CX$2=DG$2),$W33:$CX33),IF(($W$3:$CX$3=DG$3)*($W$2:$CX$2=DG$2),$W$36:$CX$36))/SUM(IF(($W$3:$CX$3=DG$3)*($W$2:$CX$2=DG$2),$W$36:$CX$36))</f>
        <v>2.9321640661802642</v>
      </c>
      <c r="DH33" s="456">
        <f t="array" ref="DH33">SUMPRODUCT(IF(($W$3:$CX$3=DH$3)*($W$2:$CX$2=DH$2),$W33:$CX33),IF(($W$3:$CX$3=DH$3)*($W$2:$CX$2=DH$2),$W$36:$CX$36))/SUM(IF(($W$3:$CX$3=DH$3)*($W$2:$CX$2=DH$2),$W$36:$CX$36))</f>
        <v>3.1744248312905547</v>
      </c>
      <c r="DI33" s="456">
        <f t="array" ref="DI33">SUMPRODUCT(IF(($W$3:$CX$3=DI$3)*($W$2:$CX$2=DI$2),$W33:$CX33),IF(($W$3:$CX$3=DI$3)*($W$2:$CX$2=DI$2),$W$36:$CX$36))/SUM(IF(($W$3:$CX$3=DI$3)*($W$2:$CX$2=DI$2),$W$36:$CX$36))</f>
        <v>2.8103167808248215</v>
      </c>
      <c r="DJ33" s="456">
        <f t="array" ref="DJ33">SUMPRODUCT(IF(($W$3:$CX$3=DJ$3)*($W$2:$CX$2=DJ$2),$W33:$CX33),IF(($W$3:$CX$3=DJ$3)*($W$2:$CX$2=DJ$2),$W$36:$CX$36))/SUM(IF(($W$3:$CX$3=DJ$3)*($W$2:$CX$2=DJ$2),$W$36:$CX$36))</f>
        <v>2.2904088275275494</v>
      </c>
      <c r="DK33" s="456">
        <f t="array" ref="DK33">SUMPRODUCT(IF(($W$3:$CX$3=DK$3)*1,$W33:$CX33),IF(($W$3:$CX$3=DK$3)*1,$W$36:$CX$36))/SUM(IF(($W$3:$CX$3=DK$3)*1,$W$36:$CX$36))</f>
        <v>2.6382353088919377</v>
      </c>
      <c r="DL33" s="456">
        <f t="array" ref="DL33">SUMPRODUCT(IF(($W$3:$CX$3=DL$3)*1,$W33:$CX33),IF(($W$3:$CX$3=DL$3)*1,$W$36:$CX$36))/SUM(IF(($W$3:$CX$3=DL$3)*1,$W$36:$CX$36))</f>
        <v>2.6986266465929862</v>
      </c>
      <c r="DM33" s="456">
        <f t="array" ref="DM33">SUMPRODUCT(IF(($W$3:$CX$3=DM$3)*1,$W33:$CX33),IF(($W$3:$CX$3=DM$3)*1,$W$36:$CX$36))/SUM(IF(($W$3:$CX$3=DM$3)*1,$W$36:$CX$36))</f>
        <v>3.1764985982918672</v>
      </c>
      <c r="DN33" s="456">
        <f t="array" ref="DN33">SUMPRODUCT(IF(1*($W$2:$CX$2=DN$2),$W33:$CX33),IF(1*($W$2:$CX$2=DN$2),$W$36:$CX$36))/SUM(IF(1*($W$2:$CX$2=DN$2),$W$36:$CX$36))</f>
        <v>3.3026759191916102</v>
      </c>
      <c r="DO33" s="456">
        <f t="array" ref="DO33">SUMPRODUCT(IF(1*($W$2:$CX$2=DO$2),$W33:$CX33),IF(1*($W$2:$CX$2=DO$2),$W$36:$CX$36))/SUM(IF(1*($W$2:$CX$2=DO$2),$W$36:$CX$36))</f>
        <v>2.9721418448326418</v>
      </c>
      <c r="DP33" s="456">
        <f t="array" ref="DP33">SUMPRODUCT(IF(1*1,$W33:$CX33),IF(1*1,$W$36:$CX$36))/SUM(IF(1*1,$W$36:$CX$36))</f>
        <v>3.1762085189285454</v>
      </c>
    </row>
    <row r="34" spans="1:120" s="463" customFormat="1" ht="15.75" customHeight="1" thickBot="1" x14ac:dyDescent="0.3">
      <c r="A34" s="632"/>
      <c r="B34" s="635"/>
      <c r="C34" s="677" t="str">
        <f>'MD-ratings-year'!C34:E34</f>
        <v>Activity total</v>
      </c>
      <c r="D34" s="678"/>
      <c r="E34" s="682"/>
      <c r="F34" s="424" t="s">
        <v>400</v>
      </c>
      <c r="G34" s="653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  <c r="V34" s="254"/>
      <c r="W34" s="464">
        <f>SUMPRODUCT(W32:W33,$C32:$C33)/SUM($C32:$C33)</f>
        <v>3.5466752889994955</v>
      </c>
      <c r="X34" s="464">
        <f t="shared" ref="X34:CI34" si="16">SUMPRODUCT(X32:X33,$C32:$C33)/SUM($C32:$C33)</f>
        <v>3.7193059120396024</v>
      </c>
      <c r="Y34" s="464">
        <f t="shared" si="16"/>
        <v>5.7776128685294177</v>
      </c>
      <c r="Z34" s="464">
        <f t="shared" si="16"/>
        <v>8.8001135567660924</v>
      </c>
      <c r="AA34" s="464">
        <f t="shared" si="16"/>
        <v>4.495846344791901</v>
      </c>
      <c r="AB34" s="464">
        <f t="shared" si="16"/>
        <v>7.6803691152729403</v>
      </c>
      <c r="AC34" s="464">
        <f t="shared" si="16"/>
        <v>4.8403403081847483</v>
      </c>
      <c r="AD34" s="464">
        <f t="shared" si="16"/>
        <v>4.7422034940896962</v>
      </c>
      <c r="AE34" s="464">
        <f t="shared" si="16"/>
        <v>5.2563613045716817</v>
      </c>
      <c r="AF34" s="464">
        <f t="shared" si="16"/>
        <v>6.9330312118201043</v>
      </c>
      <c r="AG34" s="464">
        <f t="shared" si="16"/>
        <v>3.9101103728998021</v>
      </c>
      <c r="AH34" s="464">
        <f t="shared" si="16"/>
        <v>1.7987417147258833</v>
      </c>
      <c r="AI34" s="464">
        <f t="shared" si="16"/>
        <v>6.0456435487410802</v>
      </c>
      <c r="AJ34" s="464">
        <f t="shared" si="16"/>
        <v>6.4525499539349296</v>
      </c>
      <c r="AK34" s="464">
        <f t="shared" si="16"/>
        <v>4.3843308776553274</v>
      </c>
      <c r="AL34" s="464">
        <f t="shared" si="16"/>
        <v>2.246873639841378</v>
      </c>
      <c r="AM34" s="464">
        <f t="shared" si="16"/>
        <v>4.5287711737665308</v>
      </c>
      <c r="AN34" s="464">
        <f t="shared" si="16"/>
        <v>7.8200082400749524</v>
      </c>
      <c r="AO34" s="464">
        <f t="shared" si="16"/>
        <v>5.405520211261881</v>
      </c>
      <c r="AP34" s="464">
        <f t="shared" si="16"/>
        <v>6.3954739637052311</v>
      </c>
      <c r="AQ34" s="464">
        <f t="shared" si="16"/>
        <v>7.4059378068028092E-2</v>
      </c>
      <c r="AR34" s="464">
        <f t="shared" si="16"/>
        <v>3.7164031314105497</v>
      </c>
      <c r="AS34" s="464">
        <f t="shared" si="16"/>
        <v>3.7326296726663788</v>
      </c>
      <c r="AT34" s="464">
        <f t="shared" si="16"/>
        <v>6.7189946616155982</v>
      </c>
      <c r="AU34" s="464">
        <f t="shared" si="16"/>
        <v>7.4830376321524312</v>
      </c>
      <c r="AV34" s="464">
        <f t="shared" si="16"/>
        <v>2.4801767494547033</v>
      </c>
      <c r="AW34" s="464">
        <f t="shared" si="16"/>
        <v>4.662847453066342</v>
      </c>
      <c r="AX34" s="464">
        <f t="shared" si="16"/>
        <v>2.1982496889825431</v>
      </c>
      <c r="AY34" s="464">
        <f t="shared" si="16"/>
        <v>3.6761447228267552</v>
      </c>
      <c r="AZ34" s="464">
        <f t="shared" si="16"/>
        <v>4.3952446430970902</v>
      </c>
      <c r="BA34" s="464">
        <f t="shared" si="16"/>
        <v>7.3951859285845956</v>
      </c>
      <c r="BB34" s="464">
        <f t="shared" si="16"/>
        <v>2.9003695652353261</v>
      </c>
      <c r="BC34" s="464">
        <f t="shared" si="16"/>
        <v>6.2986709530159333</v>
      </c>
      <c r="BD34" s="464">
        <f t="shared" si="16"/>
        <v>3.7675620661986886</v>
      </c>
      <c r="BE34" s="464">
        <f t="shared" si="16"/>
        <v>1.7726495571203944</v>
      </c>
      <c r="BF34" s="464">
        <f t="shared" si="16"/>
        <v>2.8435811305155489</v>
      </c>
      <c r="BG34" s="464">
        <f t="shared" si="16"/>
        <v>4.7680499652214037</v>
      </c>
      <c r="BH34" s="464">
        <f t="shared" si="16"/>
        <v>5.4239299253781832</v>
      </c>
      <c r="BI34" s="464">
        <f t="shared" si="16"/>
        <v>5.9648612393358897</v>
      </c>
      <c r="BJ34" s="464">
        <f t="shared" si="16"/>
        <v>5.9762900355265911</v>
      </c>
      <c r="BK34" s="464">
        <f t="shared" si="16"/>
        <v>5.8066146491395658</v>
      </c>
      <c r="BL34" s="464">
        <f t="shared" si="16"/>
        <v>6.5675246353589332</v>
      </c>
      <c r="BM34" s="464">
        <f t="shared" si="16"/>
        <v>7.8719644555064567</v>
      </c>
      <c r="BN34" s="464">
        <f t="shared" si="16"/>
        <v>6.1849374999383073</v>
      </c>
      <c r="BO34" s="464">
        <f t="shared" si="16"/>
        <v>5.2139738828496034</v>
      </c>
      <c r="BP34" s="464">
        <f t="shared" si="16"/>
        <v>5.3826855475459334</v>
      </c>
      <c r="BQ34" s="464">
        <f t="shared" si="16"/>
        <v>5.3614938933587934</v>
      </c>
      <c r="BR34" s="464">
        <f t="shared" si="16"/>
        <v>1.5174555300229811</v>
      </c>
      <c r="BS34" s="464">
        <f t="shared" si="16"/>
        <v>6.7864379071242453</v>
      </c>
      <c r="BT34" s="464">
        <f t="shared" si="16"/>
        <v>4.0626768100582149</v>
      </c>
      <c r="BU34" s="464">
        <f t="shared" si="16"/>
        <v>6.6014856642686777</v>
      </c>
      <c r="BV34" s="464">
        <f t="shared" si="16"/>
        <v>4.1810976028685358</v>
      </c>
      <c r="BW34" s="464">
        <f t="shared" si="16"/>
        <v>5.3190068780192643</v>
      </c>
      <c r="BX34" s="464">
        <f t="shared" si="16"/>
        <v>3.3528775090002383</v>
      </c>
      <c r="BY34" s="464">
        <f t="shared" si="16"/>
        <v>2.7469875764621197</v>
      </c>
      <c r="BZ34" s="464">
        <f t="shared" si="16"/>
        <v>3.0722176237859422</v>
      </c>
      <c r="CA34" s="464">
        <f t="shared" si="16"/>
        <v>5.9723572183657367</v>
      </c>
      <c r="CB34" s="464">
        <f t="shared" si="16"/>
        <v>4.4177456199063796</v>
      </c>
      <c r="CC34" s="464">
        <f t="shared" si="16"/>
        <v>4.6093140570222628</v>
      </c>
      <c r="CD34" s="464">
        <f t="shared" si="16"/>
        <v>6.6897981951057526</v>
      </c>
      <c r="CE34" s="464">
        <f t="shared" si="16"/>
        <v>4.8097687187327978</v>
      </c>
      <c r="CF34" s="464">
        <f t="shared" si="16"/>
        <v>3.8053960781043985</v>
      </c>
      <c r="CG34" s="464">
        <f t="shared" si="16"/>
        <v>3.678196357338428</v>
      </c>
      <c r="CH34" s="464">
        <f t="shared" si="16"/>
        <v>3.170942892605022</v>
      </c>
      <c r="CI34" s="464">
        <f t="shared" si="16"/>
        <v>4.6138630738502737</v>
      </c>
      <c r="CJ34" s="464">
        <f t="shared" ref="CJ34:CX34" si="17">SUMPRODUCT(CJ32:CJ33,$C32:$C33)/SUM($C32:$C33)</f>
        <v>8.9773729107191755</v>
      </c>
      <c r="CK34" s="464">
        <f t="shared" si="17"/>
        <v>3.5046916687318221</v>
      </c>
      <c r="CL34" s="464">
        <f t="shared" si="17"/>
        <v>6.1792551945949432</v>
      </c>
      <c r="CM34" s="464">
        <f t="shared" si="17"/>
        <v>3.05208601239192</v>
      </c>
      <c r="CN34" s="464">
        <f t="shared" si="17"/>
        <v>1.2076693289197833</v>
      </c>
      <c r="CO34" s="464">
        <f t="shared" si="17"/>
        <v>6.9262224882555357</v>
      </c>
      <c r="CP34" s="464">
        <f t="shared" si="17"/>
        <v>6.3873194285108212</v>
      </c>
      <c r="CQ34" s="464">
        <f t="shared" si="17"/>
        <v>3.0403514710931234</v>
      </c>
      <c r="CR34" s="464">
        <f t="shared" si="17"/>
        <v>3.851553598107563</v>
      </c>
      <c r="CS34" s="464">
        <f t="shared" si="17"/>
        <v>4.3285079063694942</v>
      </c>
      <c r="CT34" s="464">
        <f t="shared" si="17"/>
        <v>5.2020968324324368</v>
      </c>
      <c r="CU34" s="464">
        <f t="shared" si="17"/>
        <v>5.3251103415024224</v>
      </c>
      <c r="CV34" s="464">
        <f t="shared" si="17"/>
        <v>3.0141229841249095</v>
      </c>
      <c r="CW34" s="464">
        <f t="shared" si="17"/>
        <v>5.8207215297149268</v>
      </c>
      <c r="CX34" s="464">
        <f t="shared" si="17"/>
        <v>4.5130185564648757</v>
      </c>
      <c r="CZ34" s="584"/>
      <c r="DA34" s="464">
        <f t="array" ref="DA34">SUMPRODUCT(IF(($W$3:$CX$3=DA$3)*($W$2:$CX$2=DA$2),$W34:$CX34),IF(($W$3:$CX$3=DA$3)*($W$2:$CX$2=DA$2),$W$36:$CX$36))/SUM(IF(($W$3:$CX$3=DA$3)*($W$2:$CX$2=DA$2),$W$36:$CX$36))</f>
        <v>5.3007718425473636</v>
      </c>
      <c r="DB34" s="464">
        <f t="array" ref="DB34">SUMPRODUCT(IF(($W$3:$CX$3=DB$3)*($W$2:$CX$2=DB$2),$W34:$CX34),IF(($W$3:$CX$3=DB$3)*($W$2:$CX$2=DB$2),$W$36:$CX$36))/SUM(IF(($W$3:$CX$3=DB$3)*($W$2:$CX$2=DB$2),$W$36:$CX$36))</f>
        <v>3.9938315983692783</v>
      </c>
      <c r="DC34" s="464">
        <f t="array" ref="DC34">SUMPRODUCT(IF(($W$3:$CX$3=DC$3)*($W$2:$CX$2=DC$2),$W34:$CX34),IF(($W$3:$CX$3=DC$3)*($W$2:$CX$2=DC$2),$W$36:$CX$36))/SUM(IF(($W$3:$CX$3=DC$3)*($W$2:$CX$2=DC$2),$W$36:$CX$36))</f>
        <v>3.9869225423235863</v>
      </c>
      <c r="DD34" s="464">
        <f t="array" ref="DD34">SUMPRODUCT(IF(($W$3:$CX$3=DD$3)*($W$2:$CX$2=DD$2),$W34:$CX34),IF(($W$3:$CX$3=DD$3)*($W$2:$CX$2=DD$2),$W$36:$CX$36))/SUM(IF(($W$3:$CX$3=DD$3)*($W$2:$CX$2=DD$2),$W$36:$CX$36))</f>
        <v>4.7423167561346418</v>
      </c>
      <c r="DE34" s="464">
        <f t="array" ref="DE34">SUMPRODUCT(IF(($W$3:$CX$3=DE$3)*($W$2:$CX$2=DE$2),$W34:$CX34),IF(($W$3:$CX$3=DE$3)*($W$2:$CX$2=DE$2),$W$36:$CX$36))/SUM(IF(($W$3:$CX$3=DE$3)*($W$2:$CX$2=DE$2),$W$36:$CX$36))</f>
        <v>4.2754257261788835</v>
      </c>
      <c r="DF34" s="464">
        <f t="array" ref="DF34">SUMPRODUCT(IF(($W$3:$CX$3=DF$3)*($W$2:$CX$2=DF$2),$W34:$CX34),IF(($W$3:$CX$3=DF$3)*($W$2:$CX$2=DF$2),$W$36:$CX$36))/SUM(IF(($W$3:$CX$3=DF$3)*($W$2:$CX$2=DF$2),$W$36:$CX$36))</f>
        <v>5.182064584460278</v>
      </c>
      <c r="DG34" s="464">
        <f t="array" ref="DG34">SUMPRODUCT(IF(($W$3:$CX$3=DG$3)*($W$2:$CX$2=DG$2),$W34:$CX34),IF(($W$3:$CX$3=DG$3)*($W$2:$CX$2=DG$2),$W$36:$CX$36))/SUM(IF(($W$3:$CX$3=DG$3)*($W$2:$CX$2=DG$2),$W$36:$CX$36))</f>
        <v>5.2890464419185408</v>
      </c>
      <c r="DH34" s="464">
        <f t="array" ref="DH34">SUMPRODUCT(IF(($W$3:$CX$3=DH$3)*($W$2:$CX$2=DH$2),$W34:$CX34),IF(($W$3:$CX$3=DH$3)*($W$2:$CX$2=DH$2),$W$36:$CX$36))/SUM(IF(($W$3:$CX$3=DH$3)*($W$2:$CX$2=DH$2),$W$36:$CX$36))</f>
        <v>5.0666997841670245</v>
      </c>
      <c r="DI34" s="464">
        <f t="array" ref="DI34">SUMPRODUCT(IF(($W$3:$CX$3=DI$3)*($W$2:$CX$2=DI$2),$W34:$CX34),IF(($W$3:$CX$3=DI$3)*($W$2:$CX$2=DI$2),$W$36:$CX$36))/SUM(IF(($W$3:$CX$3=DI$3)*($W$2:$CX$2=DI$2),$W$36:$CX$36))</f>
        <v>5.8731841350501073</v>
      </c>
      <c r="DJ34" s="464">
        <f t="array" ref="DJ34">SUMPRODUCT(IF(($W$3:$CX$3=DJ$3)*($W$2:$CX$2=DJ$2),$W34:$CX34),IF(($W$3:$CX$3=DJ$3)*($W$2:$CX$2=DJ$2),$W$36:$CX$36))/SUM(IF(($W$3:$CX$3=DJ$3)*($W$2:$CX$2=DJ$2),$W$36:$CX$36))</f>
        <v>5.3045682407742856</v>
      </c>
      <c r="DK34" s="464">
        <f t="array" ref="DK34">SUMPRODUCT(IF(($W$3:$CX$3=DK$3)*1,$W34:$CX34),IF(($W$3:$CX$3=DK$3)*1,$W$36:$CX$36))/SUM(IF(($W$3:$CX$3=DK$3)*1,$W$36:$CX$36))</f>
        <v>4.706590512129833</v>
      </c>
      <c r="DL34" s="464">
        <f t="array" ref="DL34">SUMPRODUCT(IF(($W$3:$CX$3=DL$3)*1,$W34:$CX34),IF(($W$3:$CX$3=DL$3)*1,$W$36:$CX$36))/SUM(IF(($W$3:$CX$3=DL$3)*1,$W$36:$CX$36))</f>
        <v>4.4864092829941891</v>
      </c>
      <c r="DM34" s="464">
        <f t="array" ref="DM34">SUMPRODUCT(IF(($W$3:$CX$3=DM$3)*1,$W34:$CX34),IF(($W$3:$CX$3=DM$3)*1,$W$36:$CX$36))/SUM(IF(($W$3:$CX$3=DM$3)*1,$W$36:$CX$36))</f>
        <v>5.1045586909585312</v>
      </c>
      <c r="DN34" s="464">
        <f t="array" ref="DN34">SUMPRODUCT(IF(1*($W$2:$CX$2=DN$2),$W34:$CX34),IF(1*($W$2:$CX$2=DN$2),$W$36:$CX$36))/SUM(IF(1*($W$2:$CX$2=DN$2),$W$36:$CX$36))</f>
        <v>4.4749403659982567</v>
      </c>
      <c r="DO34" s="464">
        <f t="array" ref="DO34">SUMPRODUCT(IF(1*($W$2:$CX$2=DO$2),$W34:$CX34),IF(1*($W$2:$CX$2=DO$2),$W$36:$CX$36))/SUM(IF(1*($W$2:$CX$2=DO$2),$W$36:$CX$36))</f>
        <v>5.2825476349198457</v>
      </c>
      <c r="DP34" s="464">
        <f t="array" ref="DP34">SUMPRODUCT(IF(1*1,$W34:$CX34),IF(1*1,$W$36:$CX$36))/SUM(IF(1*1,$W$36:$CX$36))</f>
        <v>4.7839432787301739</v>
      </c>
    </row>
    <row r="35" spans="1:120" s="586" customFormat="1" ht="15.75" thickBot="1" x14ac:dyDescent="0.3">
      <c r="A35" s="431">
        <f>'MD-ratings-year'!A35</f>
        <v>1</v>
      </c>
      <c r="B35" s="442" t="str">
        <f>'MD-ratings-year'!B35:E35</f>
        <v>Total</v>
      </c>
      <c r="C35" s="432"/>
      <c r="D35" s="432"/>
      <c r="E35" s="432"/>
      <c r="F35" s="442"/>
      <c r="G35" s="654"/>
      <c r="K35" s="432"/>
      <c r="L35" s="432"/>
      <c r="M35" s="432"/>
      <c r="N35" s="432"/>
      <c r="O35" s="432"/>
      <c r="P35" s="432"/>
      <c r="Q35" s="432"/>
      <c r="R35" s="432"/>
      <c r="S35" s="432"/>
      <c r="T35" s="432"/>
      <c r="U35" s="432"/>
      <c r="V35" s="445"/>
      <c r="W35" s="466">
        <f>(W24*$A21+W28*$A25+W31*$A29+W34*$A32)/($A21+$A25+$A29+$A32)</f>
        <v>5.987154881767994</v>
      </c>
      <c r="X35" s="466">
        <f t="shared" ref="X35:CI35" si="18">(X24*$A21+X28*$A25+X31*$A29+X34*$A32)/($A21+$A25+$A29+$A32)</f>
        <v>6.5125039469013632</v>
      </c>
      <c r="Y35" s="466">
        <f t="shared" si="18"/>
        <v>4.8947816585794275</v>
      </c>
      <c r="Z35" s="466">
        <f t="shared" si="18"/>
        <v>5.8215436159400111</v>
      </c>
      <c r="AA35" s="466">
        <f t="shared" si="18"/>
        <v>4.1974653172452916</v>
      </c>
      <c r="AB35" s="466">
        <f t="shared" si="18"/>
        <v>4.7391598591539488</v>
      </c>
      <c r="AC35" s="466">
        <f t="shared" si="18"/>
        <v>5.9988652033565675</v>
      </c>
      <c r="AD35" s="466">
        <f t="shared" si="18"/>
        <v>5.0810758103981213</v>
      </c>
      <c r="AE35" s="466">
        <f t="shared" si="18"/>
        <v>4.6608884281296614</v>
      </c>
      <c r="AF35" s="466">
        <f t="shared" si="18"/>
        <v>5.0636062168867664</v>
      </c>
      <c r="AG35" s="466">
        <f t="shared" si="18"/>
        <v>5.5791802181779504</v>
      </c>
      <c r="AH35" s="466">
        <f t="shared" si="18"/>
        <v>5.1647062521338123</v>
      </c>
      <c r="AI35" s="466">
        <f t="shared" si="18"/>
        <v>4.9763506603292953</v>
      </c>
      <c r="AJ35" s="466">
        <f t="shared" si="18"/>
        <v>5.3068107132483338</v>
      </c>
      <c r="AK35" s="466">
        <f t="shared" si="18"/>
        <v>4.4291138548683238</v>
      </c>
      <c r="AL35" s="466">
        <f t="shared" si="18"/>
        <v>5.6906709992011901</v>
      </c>
      <c r="AM35" s="466">
        <f t="shared" si="18"/>
        <v>5.8405660071653891</v>
      </c>
      <c r="AN35" s="466">
        <f t="shared" si="18"/>
        <v>4.3953093562287799</v>
      </c>
      <c r="AO35" s="466">
        <f t="shared" si="18"/>
        <v>3.6363314614169102</v>
      </c>
      <c r="AP35" s="466">
        <f t="shared" si="18"/>
        <v>4.6976010213130976</v>
      </c>
      <c r="AQ35" s="466">
        <f t="shared" si="18"/>
        <v>4.8391571038379526</v>
      </c>
      <c r="AR35" s="466">
        <f t="shared" si="18"/>
        <v>5.9969625236705886</v>
      </c>
      <c r="AS35" s="466">
        <f t="shared" si="18"/>
        <v>4.9960251798148647</v>
      </c>
      <c r="AT35" s="466">
        <f t="shared" si="18"/>
        <v>2.7693755894715197</v>
      </c>
      <c r="AU35" s="466">
        <f t="shared" si="18"/>
        <v>3.9581895678528376</v>
      </c>
      <c r="AV35" s="466">
        <f t="shared" si="18"/>
        <v>7.0823540226774622</v>
      </c>
      <c r="AW35" s="466">
        <f t="shared" si="18"/>
        <v>3.5394871028928705</v>
      </c>
      <c r="AX35" s="466">
        <f t="shared" si="18"/>
        <v>2.018559491392379</v>
      </c>
      <c r="AY35" s="466">
        <f t="shared" si="18"/>
        <v>4.3977272003193342</v>
      </c>
      <c r="AZ35" s="466">
        <f t="shared" si="18"/>
        <v>3.9104091279735371</v>
      </c>
      <c r="BA35" s="466">
        <f t="shared" si="18"/>
        <v>3.3281423326389419</v>
      </c>
      <c r="BB35" s="466">
        <f t="shared" si="18"/>
        <v>5.2433508387874577</v>
      </c>
      <c r="BC35" s="466">
        <f t="shared" si="18"/>
        <v>4.9150777813681961</v>
      </c>
      <c r="BD35" s="466">
        <f t="shared" si="18"/>
        <v>5.5129271751175519</v>
      </c>
      <c r="BE35" s="466">
        <f t="shared" si="18"/>
        <v>4.8637947186666981</v>
      </c>
      <c r="BF35" s="466">
        <f t="shared" si="18"/>
        <v>4.9472279338068832</v>
      </c>
      <c r="BG35" s="466">
        <f t="shared" si="18"/>
        <v>5.6773267002791084</v>
      </c>
      <c r="BH35" s="466">
        <f t="shared" si="18"/>
        <v>4.8467302530595298</v>
      </c>
      <c r="BI35" s="466">
        <f t="shared" si="18"/>
        <v>4.8751216170801932</v>
      </c>
      <c r="BJ35" s="466">
        <f t="shared" si="18"/>
        <v>4.6064302603578797</v>
      </c>
      <c r="BK35" s="466">
        <f t="shared" si="18"/>
        <v>2.8695602911179323</v>
      </c>
      <c r="BL35" s="466">
        <f t="shared" si="18"/>
        <v>3.7617639561309248</v>
      </c>
      <c r="BM35" s="466">
        <f t="shared" si="18"/>
        <v>7.034551851378275</v>
      </c>
      <c r="BN35" s="466">
        <f t="shared" si="18"/>
        <v>5.1020199336126151</v>
      </c>
      <c r="BO35" s="466">
        <f t="shared" si="18"/>
        <v>5.5727180755280097</v>
      </c>
      <c r="BP35" s="466">
        <f t="shared" si="18"/>
        <v>4.605573188779184</v>
      </c>
      <c r="BQ35" s="466">
        <f t="shared" si="18"/>
        <v>5.6438028404961376</v>
      </c>
      <c r="BR35" s="466">
        <f t="shared" si="18"/>
        <v>4.8651187546127757</v>
      </c>
      <c r="BS35" s="466">
        <f t="shared" si="18"/>
        <v>5.0943584626624414</v>
      </c>
      <c r="BT35" s="466">
        <f t="shared" si="18"/>
        <v>3.9347452009972113</v>
      </c>
      <c r="BU35" s="466">
        <f t="shared" si="18"/>
        <v>5.8976739646868381</v>
      </c>
      <c r="BV35" s="466">
        <f t="shared" si="18"/>
        <v>6.1527168791680031</v>
      </c>
      <c r="BW35" s="466">
        <f t="shared" si="18"/>
        <v>3.7507504538759981</v>
      </c>
      <c r="BX35" s="466">
        <f t="shared" si="18"/>
        <v>3.5961059751042859</v>
      </c>
      <c r="BY35" s="466">
        <f t="shared" si="18"/>
        <v>5.8618219714582755</v>
      </c>
      <c r="BZ35" s="466">
        <f t="shared" si="18"/>
        <v>3.6259028535731028</v>
      </c>
      <c r="CA35" s="466">
        <f t="shared" si="18"/>
        <v>5.5992039723571398</v>
      </c>
      <c r="CB35" s="466">
        <f t="shared" si="18"/>
        <v>5.1336926662921387</v>
      </c>
      <c r="CC35" s="466">
        <f t="shared" si="18"/>
        <v>6.6549410412164169</v>
      </c>
      <c r="CD35" s="466">
        <f t="shared" si="18"/>
        <v>5.8574367212390985</v>
      </c>
      <c r="CE35" s="466">
        <f t="shared" si="18"/>
        <v>4.7875717111527827</v>
      </c>
      <c r="CF35" s="466">
        <f t="shared" si="18"/>
        <v>6.8304010802192163</v>
      </c>
      <c r="CG35" s="466">
        <f t="shared" si="18"/>
        <v>5.1720252105131657</v>
      </c>
      <c r="CH35" s="466">
        <f t="shared" si="18"/>
        <v>6.0467929636762889</v>
      </c>
      <c r="CI35" s="466">
        <f t="shared" si="18"/>
        <v>6.1010636791347146</v>
      </c>
      <c r="CJ35" s="466">
        <f t="shared" ref="CJ35:CX35" si="19">(CJ24*$A21+CJ28*$A25+CJ31*$A29+CJ34*$A32)/($A21+$A25+$A29+$A32)</f>
        <v>6.80592012248544</v>
      </c>
      <c r="CK35" s="466">
        <f t="shared" si="19"/>
        <v>6.0462788233674605</v>
      </c>
      <c r="CL35" s="466">
        <f t="shared" si="19"/>
        <v>4.480138565572453</v>
      </c>
      <c r="CM35" s="466">
        <f t="shared" si="19"/>
        <v>5.386371062184077</v>
      </c>
      <c r="CN35" s="466">
        <f t="shared" si="19"/>
        <v>4.5864892564001929</v>
      </c>
      <c r="CO35" s="466">
        <f t="shared" si="19"/>
        <v>4.5499924960496028</v>
      </c>
      <c r="CP35" s="466">
        <f t="shared" si="19"/>
        <v>4.3008635066978069</v>
      </c>
      <c r="CQ35" s="466">
        <f t="shared" si="19"/>
        <v>3.7148276130245335</v>
      </c>
      <c r="CR35" s="466">
        <f t="shared" si="19"/>
        <v>6.1975425619336342</v>
      </c>
      <c r="CS35" s="466">
        <f t="shared" si="19"/>
        <v>5.3603642083643575</v>
      </c>
      <c r="CT35" s="466">
        <f t="shared" si="19"/>
        <v>4.8772337441338252</v>
      </c>
      <c r="CU35" s="466">
        <f t="shared" si="19"/>
        <v>3.2665998324501313</v>
      </c>
      <c r="CV35" s="466">
        <f t="shared" si="19"/>
        <v>4.5866421156547084</v>
      </c>
      <c r="CW35" s="466">
        <f t="shared" si="19"/>
        <v>3.5690830142085717</v>
      </c>
      <c r="CX35" s="466">
        <f t="shared" si="19"/>
        <v>2.2489213709653981</v>
      </c>
      <c r="CZ35" s="587"/>
      <c r="DA35" s="588">
        <f t="array" ref="DA35">SUMPRODUCT(IF(($W$3:$CX$3=DA$3)*($W$2:$CX$2=DA$2),$W35:$CX35),IF(($W$3:$CX$3=DA$3)*($W$2:$CX$2=DA$2),$W$36:$CX$36))/SUM(IF(($W$3:$CX$3=DA$3)*($W$2:$CX$2=DA$2),$W$36:$CX$36))</f>
        <v>5.5200216212051787</v>
      </c>
      <c r="DB35" s="588">
        <f t="array" ref="DB35">SUMPRODUCT(IF(($W$3:$CX$3=DB$3)*($W$2:$CX$2=DB$2),$W35:$CX35),IF(($W$3:$CX$3=DB$3)*($W$2:$CX$2=DB$2),$W$36:$CX$36))/SUM(IF(($W$3:$CX$3=DB$3)*($W$2:$CX$2=DB$2),$W$36:$CX$36))</f>
        <v>5.6863708782811271</v>
      </c>
      <c r="DC35" s="588">
        <f t="array" ref="DC35">SUMPRODUCT(IF(($W$3:$CX$3=DC$3)*($W$2:$CX$2=DC$2),$W35:$CX35),IF(($W$3:$CX$3=DC$3)*($W$2:$CX$2=DC$2),$W$36:$CX$36))/SUM(IF(($W$3:$CX$3=DC$3)*($W$2:$CX$2=DC$2),$W$36:$CX$36))</f>
        <v>4.2225089194565246</v>
      </c>
      <c r="DD35" s="588">
        <f t="array" ref="DD35">SUMPRODUCT(IF(($W$3:$CX$3=DD$3)*($W$2:$CX$2=DD$2),$W35:$CX35),IF(($W$3:$CX$3=DD$3)*($W$2:$CX$2=DD$2),$W$36:$CX$36))/SUM(IF(($W$3:$CX$3=DD$3)*($W$2:$CX$2=DD$2),$W$36:$CX$36))</f>
        <v>4.9212576613172363</v>
      </c>
      <c r="DE35" s="588">
        <f t="array" ref="DE35">SUMPRODUCT(IF(($W$3:$CX$3=DE$3)*($W$2:$CX$2=DE$2),$W35:$CX35),IF(($W$3:$CX$3=DE$3)*($W$2:$CX$2=DE$2),$W$36:$CX$36))/SUM(IF(($W$3:$CX$3=DE$3)*($W$2:$CX$2=DE$2),$W$36:$CX$36))</f>
        <v>4.6619969894387472</v>
      </c>
      <c r="DF35" s="588">
        <f t="array" ref="DF35">SUMPRODUCT(IF(($W$3:$CX$3=DF$3)*($W$2:$CX$2=DF$2),$W35:$CX35),IF(($W$3:$CX$3=DF$3)*($W$2:$CX$2=DF$2),$W$36:$CX$36))/SUM(IF(($W$3:$CX$3=DF$3)*($W$2:$CX$2=DF$2),$W$36:$CX$36))</f>
        <v>5.4390565696515294</v>
      </c>
      <c r="DG35" s="588">
        <f t="array" ref="DG35">SUMPRODUCT(IF(($W$3:$CX$3=DG$3)*($W$2:$CX$2=DG$2),$W35:$CX35),IF(($W$3:$CX$3=DG$3)*($W$2:$CX$2=DG$2),$W$36:$CX$36))/SUM(IF(($W$3:$CX$3=DG$3)*($W$2:$CX$2=DG$2),$W$36:$CX$36))</f>
        <v>4.6378970216065696</v>
      </c>
      <c r="DH35" s="588">
        <f t="array" ref="DH35">SUMPRODUCT(IF(($W$3:$CX$3=DH$3)*($W$2:$CX$2=DH$2),$W35:$CX35),IF(($W$3:$CX$3=DH$3)*($W$2:$CX$2=DH$2),$W$36:$CX$36))/SUM(IF(($W$3:$CX$3=DH$3)*($W$2:$CX$2=DH$2),$W$36:$CX$36))</f>
        <v>5.0735875954660212</v>
      </c>
      <c r="DI35" s="588">
        <f t="array" ref="DI35">SUMPRODUCT(IF(($W$3:$CX$3=DI$3)*($W$2:$CX$2=DI$2),$W35:$CX35),IF(($W$3:$CX$3=DI$3)*($W$2:$CX$2=DI$2),$W$36:$CX$36))/SUM(IF(($W$3:$CX$3=DI$3)*($W$2:$CX$2=DI$2),$W$36:$CX$36))</f>
        <v>4.6938690304789823</v>
      </c>
      <c r="DJ35" s="588">
        <f t="array" ref="DJ35">SUMPRODUCT(IF(($W$3:$CX$3=DJ$3)*($W$2:$CX$2=DJ$2),$W35:$CX35),IF(($W$3:$CX$3=DJ$3)*($W$2:$CX$2=DJ$2),$W$36:$CX$36))/SUM(IF(($W$3:$CX$3=DJ$3)*($W$2:$CX$2=DJ$2),$W$36:$CX$36))</f>
        <v>4.6039066437663854</v>
      </c>
      <c r="DK35" s="588">
        <f t="array" ref="DK35">SUMPRODUCT(IF(($W$3:$CX$3=DK$3)*1,$W35:$CX35),IF(($W$3:$CX$3=DK$3)*1,$W$36:$CX$36))/SUM(IF(($W$3:$CX$3=DK$3)*1,$W$36:$CX$36))</f>
        <v>5.1093939459122417</v>
      </c>
      <c r="DL35" s="588">
        <f t="array" ref="DL35">SUMPRODUCT(IF(($W$3:$CX$3=DL$3)*1,$W35:$CX35),IF(($W$3:$CX$3=DL$3)*1,$W$36:$CX$36))/SUM(IF(($W$3:$CX$3=DL$3)*1,$W$36:$CX$36))</f>
        <v>4.6162035607776213</v>
      </c>
      <c r="DM35" s="588">
        <f t="array" ref="DM35">SUMPRODUCT(IF(($W$3:$CX$3=DM$3)*1,$W35:$CX35),IF(($W$3:$CX$3=DM$3)*1,$W$36:$CX$36))/SUM(IF(($W$3:$CX$3=DM$3)*1,$W$36:$CX$36))</f>
        <v>4.8484200332031433</v>
      </c>
      <c r="DN35" s="588">
        <f t="array" ref="DN35">SUMPRODUCT(IF(1*($W$2:$CX$2=DN$2),$W35:$CX35),IF(1*($W$2:$CX$2=DN$2),$W$36:$CX$36))/SUM(IF(1*($W$2:$CX$2=DN$2),$W$36:$CX$36))</f>
        <v>5.0524835878651544</v>
      </c>
      <c r="DO35" s="588">
        <f t="array" ref="DO35">SUMPRODUCT(IF(1*($W$2:$CX$2=DO$2),$W35:$CX35),IF(1*($W$2:$CX$2=DO$2),$W$36:$CX$36))/SUM(IF(1*($W$2:$CX$2=DO$2),$W$36:$CX$36))</f>
        <v>4.8015311715908275</v>
      </c>
      <c r="DP35" s="588">
        <f t="array" ref="DP35">SUMPRODUCT(IF(1*1,$W35:$CX35),IF(1*1,$W$36:$CX$36))/SUM(IF(1*1,$W$36:$CX$36))</f>
        <v>4.9564653490875061</v>
      </c>
    </row>
    <row r="36" spans="1:120" x14ac:dyDescent="0.25">
      <c r="W36" s="556">
        <f>'SK-ratios'!AF23</f>
        <v>0.1030311211338422</v>
      </c>
      <c r="X36" s="556">
        <f>'SK-ratios'!AG23</f>
        <v>0.17955545504744611</v>
      </c>
      <c r="Y36" s="556">
        <f>'SK-ratios'!AH23</f>
        <v>0.28085665486099287</v>
      </c>
      <c r="Z36" s="556">
        <f>'SK-ratios'!AI23</f>
        <v>0.27350736231329359</v>
      </c>
      <c r="AA36" s="556">
        <f>'SK-ratios'!AJ23</f>
        <v>0.26141895142091892</v>
      </c>
      <c r="AB36" s="556">
        <f>'SK-ratios'!AK23</f>
        <v>0.22822116344951318</v>
      </c>
      <c r="AC36" s="556">
        <f>'SK-ratios'!AL23</f>
        <v>0.1790749207886736</v>
      </c>
      <c r="AD36" s="556">
        <f>'SK-ratios'!AM23</f>
        <v>0.54404143941646732</v>
      </c>
      <c r="AE36" s="556">
        <f>'SK-ratios'!AN23</f>
        <v>0.61503073508566086</v>
      </c>
      <c r="AF36" s="556">
        <f>'SK-ratios'!AO23</f>
        <v>0.46796366437416415</v>
      </c>
      <c r="AG36" s="556">
        <f>'SK-ratios'!AP23</f>
        <v>0.28128415457044614</v>
      </c>
      <c r="AH36" s="556">
        <f>'SK-ratios'!AQ23</f>
        <v>7.7324596406322638E-2</v>
      </c>
      <c r="AI36" s="556">
        <f>'SK-ratios'!AR23</f>
        <v>0.28528170857411039</v>
      </c>
      <c r="AJ36" s="556">
        <f>'SK-ratios'!AS23</f>
        <v>0.61830755062428866</v>
      </c>
      <c r="AK36" s="556">
        <f>'SK-ratios'!AT23</f>
        <v>0.234919233865967</v>
      </c>
      <c r="AL36" s="556">
        <f>'SK-ratios'!AU23</f>
        <v>0.91280999394894036</v>
      </c>
      <c r="AM36" s="556">
        <f>'SK-ratios'!AV23</f>
        <v>0.28131730613091888</v>
      </c>
      <c r="AN36" s="556">
        <f>'SK-ratios'!AW23</f>
        <v>0.17419585525027639</v>
      </c>
      <c r="AO36" s="556">
        <f>'SK-ratios'!AX23</f>
        <v>9.2307086734135485E-2</v>
      </c>
      <c r="AP36" s="556">
        <f>'SK-ratios'!AY23</f>
        <v>0.6595416106328863</v>
      </c>
      <c r="AQ36" s="556">
        <f>'SK-ratios'!AZ23</f>
        <v>0.32138592285956896</v>
      </c>
      <c r="AR36" s="556">
        <f>'SK-ratios'!BA23</f>
        <v>0.18219972189031455</v>
      </c>
      <c r="AS36" s="556">
        <f>'SK-ratios'!BB23</f>
        <v>0.60253978042142065</v>
      </c>
      <c r="AT36" s="556">
        <f>'SK-ratios'!BC23</f>
        <v>0.17021181522581946</v>
      </c>
      <c r="AU36" s="556">
        <f>'SK-ratios'!BD23</f>
        <v>0.24198928563434785</v>
      </c>
      <c r="AV36" s="556">
        <f>'SK-ratios'!BE23</f>
        <v>0.20263625980216912</v>
      </c>
      <c r="AW36" s="556">
        <f>'SK-ratios'!BF23</f>
        <v>0.27554058455008973</v>
      </c>
      <c r="AX36" s="556">
        <f>'SK-ratios'!BG23</f>
        <v>6.4235031832743636E-2</v>
      </c>
      <c r="AY36" s="556">
        <f>'SK-ratios'!BH23</f>
        <v>0.11347942225753076</v>
      </c>
      <c r="AZ36" s="556">
        <f>'SK-ratios'!BI23</f>
        <v>0.11549313255395804</v>
      </c>
      <c r="BA36" s="556">
        <f>'SK-ratios'!BJ23</f>
        <v>8.8824320669861567E-2</v>
      </c>
      <c r="BB36" s="556">
        <f>'SK-ratios'!BK23</f>
        <v>0.40268939394782627</v>
      </c>
      <c r="BC36" s="556">
        <f>'SK-ratios'!BL23</f>
        <v>0.4863901776133443</v>
      </c>
      <c r="BD36" s="556">
        <f>'SK-ratios'!BM23</f>
        <v>0.28366164024983825</v>
      </c>
      <c r="BE36" s="556">
        <f>'SK-ratios'!BN23</f>
        <v>0.69405263174078136</v>
      </c>
      <c r="BF36" s="556">
        <f>'SK-ratios'!BO23</f>
        <v>0.43377135860391741</v>
      </c>
      <c r="BG36" s="556">
        <f>'SK-ratios'!BP23</f>
        <v>0.32333389220794256</v>
      </c>
      <c r="BH36" s="556">
        <f>'SK-ratios'!BQ23</f>
        <v>0.34425043753404072</v>
      </c>
      <c r="BI36" s="556">
        <f>'SK-ratios'!BR23</f>
        <v>0.24697485913768177</v>
      </c>
      <c r="BJ36" s="556">
        <f>'SK-ratios'!BS23</f>
        <v>0.27423073460891634</v>
      </c>
      <c r="BK36" s="556">
        <f>'SK-ratios'!BT23</f>
        <v>0.2514302345901433</v>
      </c>
      <c r="BL36" s="556">
        <f>'SK-ratios'!BU23</f>
        <v>0.26049817701765554</v>
      </c>
      <c r="BM36" s="556">
        <f>'SK-ratios'!BV23</f>
        <v>0.31649414431927531</v>
      </c>
      <c r="BN36" s="556">
        <f>'SK-ratios'!BW23</f>
        <v>0.15981554087882638</v>
      </c>
      <c r="BO36" s="556">
        <f>'SK-ratios'!BX23</f>
        <v>0.50170881356489117</v>
      </c>
      <c r="BP36" s="556">
        <f>'SK-ratios'!BY23</f>
        <v>0.37573504302186977</v>
      </c>
      <c r="BQ36" s="556">
        <f>'SK-ratios'!BZ23</f>
        <v>0.12207105913054041</v>
      </c>
      <c r="BR36" s="556">
        <f>'SK-ratios'!CA23</f>
        <v>0.26403193527536722</v>
      </c>
      <c r="BS36" s="556">
        <f>'SK-ratios'!CB23</f>
        <v>0.32095543729551929</v>
      </c>
      <c r="BT36" s="556">
        <f>'SK-ratios'!CC23</f>
        <v>0.30462476830860002</v>
      </c>
      <c r="BU36" s="556">
        <f>'SK-ratios'!CD23</f>
        <v>0.71658230987744598</v>
      </c>
      <c r="BV36" s="556">
        <f>'SK-ratios'!CE23</f>
        <v>0.21913042226423463</v>
      </c>
      <c r="BW36" s="556">
        <f>'SK-ratios'!CF23</f>
        <v>0.67865281578802705</v>
      </c>
      <c r="BX36" s="556">
        <f>'SK-ratios'!CG23</f>
        <v>1.285844315454999</v>
      </c>
      <c r="BY36" s="556">
        <f>'SK-ratios'!CH23</f>
        <v>1.0857557813503307</v>
      </c>
      <c r="BZ36" s="556">
        <f>'SK-ratios'!CI23</f>
        <v>0.42572072166760955</v>
      </c>
      <c r="CA36" s="556">
        <f>'SK-ratios'!CJ23</f>
        <v>0.34760038236443458</v>
      </c>
      <c r="CB36" s="556">
        <f>'SK-ratios'!CK23</f>
        <v>0.14269535547374335</v>
      </c>
      <c r="CC36" s="556">
        <f>'SK-ratios'!CL23</f>
        <v>0.15817708179708506</v>
      </c>
      <c r="CD36" s="556">
        <f>'SK-ratios'!CM23</f>
        <v>0.86442236892877289</v>
      </c>
      <c r="CE36" s="556">
        <f>'SK-ratios'!CN23</f>
        <v>0.35644610581927033</v>
      </c>
      <c r="CF36" s="556">
        <f>'SK-ratios'!CO23</f>
        <v>0.15614535971714702</v>
      </c>
      <c r="CG36" s="556">
        <f>'SK-ratios'!CP23</f>
        <v>0.17983560512821842</v>
      </c>
      <c r="CH36" s="556">
        <f>'SK-ratios'!CQ23</f>
        <v>0.12229137620822859</v>
      </c>
      <c r="CI36" s="556">
        <f>'SK-ratios'!CR23</f>
        <v>0.14128499124934518</v>
      </c>
      <c r="CJ36" s="556">
        <f>'SK-ratios'!CS23</f>
        <v>0.75563025401145956</v>
      </c>
      <c r="CK36" s="556">
        <f>'SK-ratios'!CT23</f>
        <v>0.37964375672502121</v>
      </c>
      <c r="CL36" s="556">
        <f>'SK-ratios'!CU23</f>
        <v>0.41523992520316477</v>
      </c>
      <c r="CM36" s="556">
        <f>'SK-ratios'!CV23</f>
        <v>0.14000704579337231</v>
      </c>
      <c r="CN36" s="556">
        <f>'SK-ratios'!CW23</f>
        <v>0.44887687660550246</v>
      </c>
      <c r="CO36" s="556">
        <f>'SK-ratios'!CX23</f>
        <v>0.25824971827987214</v>
      </c>
      <c r="CP36" s="556">
        <f>'SK-ratios'!CY23</f>
        <v>0.24416948774401523</v>
      </c>
      <c r="CQ36" s="556">
        <f>'SK-ratios'!CZ23</f>
        <v>0.2877092433872292</v>
      </c>
      <c r="CR36" s="556">
        <f>'SK-ratios'!DA23</f>
        <v>0.2711072378579007</v>
      </c>
      <c r="CS36" s="556">
        <f>'SK-ratios'!DB23</f>
        <v>0.3834954311374591</v>
      </c>
      <c r="CT36" s="556">
        <f>'SK-ratios'!DC23</f>
        <v>0.33519285855667819</v>
      </c>
      <c r="CU36" s="556">
        <f>'SK-ratios'!DD23</f>
        <v>8.8921090431947028E-2</v>
      </c>
      <c r="CV36" s="556">
        <f>'SK-ratios'!DE23</f>
        <v>0.54619513707752709</v>
      </c>
      <c r="CW36" s="556">
        <f>'SK-ratios'!DF23</f>
        <v>0.64262823206537845</v>
      </c>
      <c r="CX36" s="556">
        <f>'SK-ratios'!DG23</f>
        <v>0.44918922216454349</v>
      </c>
    </row>
  </sheetData>
  <mergeCells count="27">
    <mergeCell ref="K2:O2"/>
    <mergeCell ref="G4:G18"/>
    <mergeCell ref="G21:G35"/>
    <mergeCell ref="DA1:DP1"/>
    <mergeCell ref="C7:E7"/>
    <mergeCell ref="C11:E11"/>
    <mergeCell ref="C14:E14"/>
    <mergeCell ref="C17:E17"/>
    <mergeCell ref="C24:E24"/>
    <mergeCell ref="C28:E28"/>
    <mergeCell ref="C34:E34"/>
    <mergeCell ref="A25:A28"/>
    <mergeCell ref="B25:B28"/>
    <mergeCell ref="A29:A31"/>
    <mergeCell ref="B29:B31"/>
    <mergeCell ref="A32:A34"/>
    <mergeCell ref="B32:B34"/>
    <mergeCell ref="A15:A17"/>
    <mergeCell ref="B15:B17"/>
    <mergeCell ref="A21:A24"/>
    <mergeCell ref="B21:B24"/>
    <mergeCell ref="A4:A7"/>
    <mergeCell ref="B4:B7"/>
    <mergeCell ref="A8:A11"/>
    <mergeCell ref="B8:B11"/>
    <mergeCell ref="A12:A14"/>
    <mergeCell ref="B12:B1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6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/>
    </sheetView>
  </sheetViews>
  <sheetFormatPr defaultRowHeight="15" x14ac:dyDescent="0.25"/>
  <cols>
    <col min="1" max="1" width="5.5703125" style="307" bestFit="1" customWidth="1"/>
    <col min="2" max="2" width="11.5703125" style="307" bestFit="1" customWidth="1"/>
    <col min="3" max="3" width="4.5703125" style="307" bestFit="1" customWidth="1"/>
    <col min="4" max="4" width="32.140625" style="307" bestFit="1" customWidth="1"/>
    <col min="5" max="5" width="37.28515625" style="307" bestFit="1" customWidth="1"/>
    <col min="6" max="8" width="3.7109375" style="307" customWidth="1"/>
    <col min="9" max="88" width="8.7109375" style="468" customWidth="1"/>
    <col min="89" max="89" width="3.7109375" style="307" customWidth="1"/>
    <col min="90" max="90" width="3.7109375" style="546" customWidth="1"/>
    <col min="91" max="100" width="9.140625" style="307"/>
    <col min="101" max="103" width="9.140625" style="403"/>
    <col min="104" max="16384" width="9.140625" style="307"/>
  </cols>
  <sheetData>
    <row r="1" spans="1:106" x14ac:dyDescent="0.25">
      <c r="CM1" s="681" t="s">
        <v>1502</v>
      </c>
      <c r="CN1" s="681"/>
      <c r="CO1" s="681"/>
      <c r="CP1" s="681"/>
      <c r="CQ1" s="681"/>
      <c r="CR1" s="681"/>
      <c r="CS1" s="681"/>
      <c r="CT1" s="681"/>
      <c r="CU1" s="681"/>
      <c r="CV1" s="681"/>
      <c r="CW1" s="681"/>
      <c r="CX1" s="681"/>
      <c r="CY1" s="681"/>
      <c r="CZ1" s="681"/>
      <c r="DA1" s="681"/>
      <c r="DB1" s="681"/>
    </row>
    <row r="2" spans="1:106" ht="15.75" customHeight="1" x14ac:dyDescent="0.25">
      <c r="I2" s="475" t="s">
        <v>516</v>
      </c>
      <c r="J2" s="475" t="s">
        <v>517</v>
      </c>
      <c r="K2" s="475" t="s">
        <v>578</v>
      </c>
      <c r="L2" s="475" t="s">
        <v>579</v>
      </c>
      <c r="M2" s="475" t="s">
        <v>586</v>
      </c>
      <c r="N2" s="475" t="s">
        <v>518</v>
      </c>
      <c r="O2" s="475" t="s">
        <v>590</v>
      </c>
      <c r="P2" s="475" t="s">
        <v>575</v>
      </c>
      <c r="Q2" s="475" t="s">
        <v>567</v>
      </c>
      <c r="R2" s="475" t="s">
        <v>582</v>
      </c>
      <c r="S2" s="475" t="s">
        <v>585</v>
      </c>
      <c r="T2" s="475" t="s">
        <v>519</v>
      </c>
      <c r="U2" s="475" t="s">
        <v>587</v>
      </c>
      <c r="V2" s="475" t="s">
        <v>566</v>
      </c>
      <c r="W2" s="475" t="s">
        <v>581</v>
      </c>
      <c r="X2" s="475" t="s">
        <v>1465</v>
      </c>
      <c r="Y2" s="475" t="s">
        <v>583</v>
      </c>
      <c r="Z2" s="475" t="s">
        <v>520</v>
      </c>
      <c r="AA2" s="475" t="s">
        <v>521</v>
      </c>
      <c r="AB2" s="475" t="s">
        <v>564</v>
      </c>
      <c r="AC2" s="475" t="s">
        <v>522</v>
      </c>
      <c r="AD2" s="475" t="s">
        <v>523</v>
      </c>
      <c r="AE2" s="475" t="s">
        <v>524</v>
      </c>
      <c r="AF2" s="475" t="s">
        <v>525</v>
      </c>
      <c r="AG2" s="475" t="s">
        <v>526</v>
      </c>
      <c r="AH2" s="475" t="s">
        <v>1477</v>
      </c>
      <c r="AI2" s="475" t="s">
        <v>527</v>
      </c>
      <c r="AJ2" s="475" t="s">
        <v>1478</v>
      </c>
      <c r="AK2" s="475" t="s">
        <v>528</v>
      </c>
      <c r="AL2" s="475" t="s">
        <v>529</v>
      </c>
      <c r="AM2" s="475" t="s">
        <v>530</v>
      </c>
      <c r="AN2" s="475" t="s">
        <v>531</v>
      </c>
      <c r="AO2" s="475" t="s">
        <v>569</v>
      </c>
      <c r="AP2" s="475" t="s">
        <v>532</v>
      </c>
      <c r="AQ2" s="475" t="s">
        <v>533</v>
      </c>
      <c r="AR2" s="475" t="s">
        <v>534</v>
      </c>
      <c r="AS2" s="475" t="s">
        <v>1466</v>
      </c>
      <c r="AT2" s="475" t="s">
        <v>535</v>
      </c>
      <c r="AU2" s="475" t="s">
        <v>573</v>
      </c>
      <c r="AV2" s="475" t="s">
        <v>571</v>
      </c>
      <c r="AW2" s="475" t="s">
        <v>536</v>
      </c>
      <c r="AX2" s="475" t="s">
        <v>572</v>
      </c>
      <c r="AY2" s="475" t="s">
        <v>537</v>
      </c>
      <c r="AZ2" s="475" t="s">
        <v>538</v>
      </c>
      <c r="BA2" s="475" t="s">
        <v>568</v>
      </c>
      <c r="BB2" s="475" t="s">
        <v>576</v>
      </c>
      <c r="BC2" s="475" t="s">
        <v>539</v>
      </c>
      <c r="BD2" s="475" t="s">
        <v>577</v>
      </c>
      <c r="BE2" s="475" t="s">
        <v>584</v>
      </c>
      <c r="BF2" s="475" t="s">
        <v>580</v>
      </c>
      <c r="BG2" s="475" t="s">
        <v>540</v>
      </c>
      <c r="BH2" s="475" t="s">
        <v>541</v>
      </c>
      <c r="BI2" s="475" t="s">
        <v>542</v>
      </c>
      <c r="BJ2" s="475" t="s">
        <v>1475</v>
      </c>
      <c r="BK2" s="475" t="s">
        <v>543</v>
      </c>
      <c r="BL2" s="475" t="s">
        <v>544</v>
      </c>
      <c r="BM2" s="475" t="s">
        <v>570</v>
      </c>
      <c r="BN2" s="475" t="s">
        <v>545</v>
      </c>
      <c r="BO2" s="475" t="s">
        <v>546</v>
      </c>
      <c r="BP2" s="475" t="s">
        <v>547</v>
      </c>
      <c r="BQ2" s="475" t="s">
        <v>548</v>
      </c>
      <c r="BR2" s="475" t="s">
        <v>549</v>
      </c>
      <c r="BS2" s="475" t="s">
        <v>550</v>
      </c>
      <c r="BT2" s="475" t="s">
        <v>1501</v>
      </c>
      <c r="BU2" s="475" t="s">
        <v>551</v>
      </c>
      <c r="BV2" s="475" t="s">
        <v>552</v>
      </c>
      <c r="BW2" s="475" t="s">
        <v>1467</v>
      </c>
      <c r="BX2" s="475" t="s">
        <v>565</v>
      </c>
      <c r="BY2" s="475" t="s">
        <v>554</v>
      </c>
      <c r="BZ2" s="475" t="s">
        <v>555</v>
      </c>
      <c r="CA2" s="475" t="s">
        <v>556</v>
      </c>
      <c r="CB2" s="475" t="s">
        <v>574</v>
      </c>
      <c r="CC2" s="475" t="s">
        <v>557</v>
      </c>
      <c r="CD2" s="475" t="s">
        <v>558</v>
      </c>
      <c r="CE2" s="475" t="s">
        <v>559</v>
      </c>
      <c r="CF2" s="475" t="s">
        <v>560</v>
      </c>
      <c r="CG2" s="475" t="s">
        <v>561</v>
      </c>
      <c r="CH2" s="475" t="s">
        <v>1500</v>
      </c>
      <c r="CI2" s="475" t="s">
        <v>562</v>
      </c>
      <c r="CJ2" s="475" t="s">
        <v>563</v>
      </c>
      <c r="CK2" s="323" t="s">
        <v>400</v>
      </c>
      <c r="CL2" s="583" t="s">
        <v>400</v>
      </c>
      <c r="CM2" s="284" t="s">
        <v>1483</v>
      </c>
      <c r="CN2" s="284" t="s">
        <v>1483</v>
      </c>
      <c r="CO2" s="284" t="s">
        <v>1483</v>
      </c>
      <c r="CP2" s="284" t="s">
        <v>1483</v>
      </c>
      <c r="CQ2" s="284" t="s">
        <v>1483</v>
      </c>
      <c r="CR2" s="284" t="s">
        <v>1483</v>
      </c>
      <c r="CS2" s="284" t="s">
        <v>1485</v>
      </c>
      <c r="CT2" s="284" t="s">
        <v>1485</v>
      </c>
      <c r="CU2" s="284" t="s">
        <v>1485</v>
      </c>
      <c r="CV2" s="284" t="s">
        <v>1485</v>
      </c>
      <c r="CW2" s="284" t="s">
        <v>1497</v>
      </c>
      <c r="CX2" s="284" t="s">
        <v>1497</v>
      </c>
      <c r="CY2" s="284" t="s">
        <v>1497</v>
      </c>
      <c r="CZ2" s="284" t="s">
        <v>1483</v>
      </c>
      <c r="DA2" s="284" t="s">
        <v>1485</v>
      </c>
      <c r="DB2" s="284" t="s">
        <v>1497</v>
      </c>
    </row>
    <row r="3" spans="1:106" ht="15.75" customHeight="1" thickBot="1" x14ac:dyDescent="0.3">
      <c r="I3" s="468" t="str">
        <f>'SK-ratios'!AF2</f>
        <v>state</v>
      </c>
      <c r="J3" s="468" t="str">
        <f>'SK-ratios'!AG2</f>
        <v>state</v>
      </c>
      <c r="K3" s="468" t="str">
        <f>'SK-ratios'!AH2</f>
        <v>private</v>
      </c>
      <c r="L3" s="468" t="str">
        <f>'SK-ratios'!AI2</f>
        <v>private</v>
      </c>
      <c r="M3" s="468" t="str">
        <f>'SK-ratios'!AJ2</f>
        <v>private</v>
      </c>
      <c r="N3" s="468" t="str">
        <f>'SK-ratios'!AK2</f>
        <v>state</v>
      </c>
      <c r="O3" s="468" t="str">
        <f>'SK-ratios'!AL2</f>
        <v>state</v>
      </c>
      <c r="P3" s="468" t="str">
        <f>'SK-ratios'!AM2</f>
        <v>private</v>
      </c>
      <c r="Q3" s="468" t="str">
        <f>'SK-ratios'!AN2</f>
        <v>private</v>
      </c>
      <c r="R3" s="468" t="str">
        <f>'SK-ratios'!AO2</f>
        <v>private</v>
      </c>
      <c r="S3" s="468" t="str">
        <f>'SK-ratios'!AP2</f>
        <v>private</v>
      </c>
      <c r="T3" s="468" t="str">
        <f>'SK-ratios'!AQ2</f>
        <v>state</v>
      </c>
      <c r="U3" s="468" t="str">
        <f>'SK-ratios'!AR2</f>
        <v>private</v>
      </c>
      <c r="V3" s="468" t="str">
        <f>'SK-ratios'!AS2</f>
        <v>private</v>
      </c>
      <c r="W3" s="468" t="str">
        <f>'SK-ratios'!AT2</f>
        <v>private</v>
      </c>
      <c r="X3" s="468" t="str">
        <f>'SK-ratios'!AU2</f>
        <v>state</v>
      </c>
      <c r="Y3" s="468" t="str">
        <f>'SK-ratios'!AV2</f>
        <v>private</v>
      </c>
      <c r="Z3" s="468" t="str">
        <f>'SK-ratios'!AW2</f>
        <v>state</v>
      </c>
      <c r="AA3" s="468" t="str">
        <f>'SK-ratios'!AX2</f>
        <v>state</v>
      </c>
      <c r="AB3" s="468" t="str">
        <f>'SK-ratios'!AY2</f>
        <v>private</v>
      </c>
      <c r="AC3" s="468" t="str">
        <f>'SK-ratios'!AZ2</f>
        <v>state</v>
      </c>
      <c r="AD3" s="468" t="str">
        <f>'SK-ratios'!BA2</f>
        <v>state</v>
      </c>
      <c r="AE3" s="468" t="str">
        <f>'SK-ratios'!BB2</f>
        <v>state</v>
      </c>
      <c r="AF3" s="468" t="str">
        <f>'SK-ratios'!BC2</f>
        <v>state</v>
      </c>
      <c r="AG3" s="468" t="str">
        <f>'SK-ratios'!BD2</f>
        <v>state</v>
      </c>
      <c r="AH3" s="468" t="str">
        <f>'SK-ratios'!BE2</f>
        <v>private</v>
      </c>
      <c r="AI3" s="468" t="str">
        <f>'SK-ratios'!BF2</f>
        <v>state</v>
      </c>
      <c r="AJ3" s="468" t="str">
        <f>'SK-ratios'!BG2</f>
        <v>private</v>
      </c>
      <c r="AK3" s="468" t="str">
        <f>'SK-ratios'!BH2</f>
        <v>state</v>
      </c>
      <c r="AL3" s="468" t="str">
        <f>'SK-ratios'!BI2</f>
        <v>state</v>
      </c>
      <c r="AM3" s="468" t="str">
        <f>'SK-ratios'!BJ2</f>
        <v>state</v>
      </c>
      <c r="AN3" s="468" t="str">
        <f>'SK-ratios'!BK2</f>
        <v>state</v>
      </c>
      <c r="AO3" s="468" t="str">
        <f>'SK-ratios'!BL2</f>
        <v>private</v>
      </c>
      <c r="AP3" s="468" t="str">
        <f>'SK-ratios'!BM2</f>
        <v>state</v>
      </c>
      <c r="AQ3" s="468" t="str">
        <f>'SK-ratios'!BN2</f>
        <v>state</v>
      </c>
      <c r="AR3" s="468" t="str">
        <f>'SK-ratios'!BO2</f>
        <v>state</v>
      </c>
      <c r="AS3" s="468" t="str">
        <f>'SK-ratios'!BP2</f>
        <v>private</v>
      </c>
      <c r="AT3" s="468" t="str">
        <f>'SK-ratios'!BQ2</f>
        <v>state</v>
      </c>
      <c r="AU3" s="468" t="str">
        <f>'SK-ratios'!BR2</f>
        <v>private</v>
      </c>
      <c r="AV3" s="468" t="str">
        <f>'SK-ratios'!BS2</f>
        <v>private</v>
      </c>
      <c r="AW3" s="468" t="str">
        <f>'SK-ratios'!BT2</f>
        <v>state</v>
      </c>
      <c r="AX3" s="468" t="str">
        <f>'SK-ratios'!BU2</f>
        <v>private</v>
      </c>
      <c r="AY3" s="468" t="str">
        <f>'SK-ratios'!BV2</f>
        <v>state</v>
      </c>
      <c r="AZ3" s="468" t="str">
        <f>'SK-ratios'!BW2</f>
        <v>state</v>
      </c>
      <c r="BA3" s="468" t="str">
        <f>'SK-ratios'!BX2</f>
        <v>private</v>
      </c>
      <c r="BB3" s="468" t="str">
        <f>'SK-ratios'!BY2</f>
        <v>private</v>
      </c>
      <c r="BC3" s="468" t="str">
        <f>'SK-ratios'!BZ2</f>
        <v>state</v>
      </c>
      <c r="BD3" s="468" t="str">
        <f>'SK-ratios'!CA2</f>
        <v>private</v>
      </c>
      <c r="BE3" s="468" t="str">
        <f>'SK-ratios'!CB2</f>
        <v>private</v>
      </c>
      <c r="BF3" s="468" t="str">
        <f>'SK-ratios'!CC2</f>
        <v>private</v>
      </c>
      <c r="BG3" s="468" t="str">
        <f>'SK-ratios'!CD2</f>
        <v>state</v>
      </c>
      <c r="BH3" s="468" t="str">
        <f>'SK-ratios'!CE2</f>
        <v>state</v>
      </c>
      <c r="BI3" s="468" t="str">
        <f>'SK-ratios'!CF2</f>
        <v>state</v>
      </c>
      <c r="BJ3" s="468" t="str">
        <f>'SK-ratios'!CG2</f>
        <v>private</v>
      </c>
      <c r="BK3" s="468" t="str">
        <f>'SK-ratios'!CH2</f>
        <v>state</v>
      </c>
      <c r="BL3" s="468" t="str">
        <f>'SK-ratios'!CI2</f>
        <v>state</v>
      </c>
      <c r="BM3" s="468" t="str">
        <f>'SK-ratios'!CJ2</f>
        <v>private</v>
      </c>
      <c r="BN3" s="468" t="str">
        <f>'SK-ratios'!CK2</f>
        <v>state</v>
      </c>
      <c r="BO3" s="468" t="str">
        <f>'SK-ratios'!CL2</f>
        <v>state</v>
      </c>
      <c r="BP3" s="468" t="str">
        <f>'SK-ratios'!CM2</f>
        <v>state</v>
      </c>
      <c r="BQ3" s="468" t="str">
        <f>'SK-ratios'!CN2</f>
        <v>state</v>
      </c>
      <c r="BR3" s="468" t="str">
        <f>'SK-ratios'!CO2</f>
        <v>state</v>
      </c>
      <c r="BS3" s="468" t="str">
        <f>'SK-ratios'!CP2</f>
        <v>state</v>
      </c>
      <c r="BT3" s="468" t="str">
        <f>'SK-ratios'!CQ2</f>
        <v>state</v>
      </c>
      <c r="BU3" s="468" t="str">
        <f>'SK-ratios'!CR2</f>
        <v>state</v>
      </c>
      <c r="BV3" s="468" t="str">
        <f>'SK-ratios'!CS2</f>
        <v>state</v>
      </c>
      <c r="BW3" s="468" t="str">
        <f>'SK-ratios'!CT2</f>
        <v>state</v>
      </c>
      <c r="BX3" s="468" t="str">
        <f>'SK-ratios'!CU2</f>
        <v>private</v>
      </c>
      <c r="BY3" s="468" t="str">
        <f>'SK-ratios'!CV2</f>
        <v>state</v>
      </c>
      <c r="BZ3" s="468" t="str">
        <f>'SK-ratios'!CW2</f>
        <v>state</v>
      </c>
      <c r="CA3" s="468" t="str">
        <f>'SK-ratios'!CX2</f>
        <v>state</v>
      </c>
      <c r="CB3" s="468" t="str">
        <f>'SK-ratios'!CY2</f>
        <v>private</v>
      </c>
      <c r="CC3" s="468" t="str">
        <f>'SK-ratios'!CZ2</f>
        <v>state</v>
      </c>
      <c r="CD3" s="468" t="str">
        <f>'SK-ratios'!DA2</f>
        <v>state</v>
      </c>
      <c r="CE3" s="468" t="str">
        <f>'SK-ratios'!DB2</f>
        <v>state</v>
      </c>
      <c r="CF3" s="468" t="str">
        <f>'SK-ratios'!DC2</f>
        <v>state</v>
      </c>
      <c r="CG3" s="468" t="str">
        <f>'SK-ratios'!DD2</f>
        <v>state</v>
      </c>
      <c r="CH3" s="468" t="str">
        <f>'SK-ratios'!DE2</f>
        <v>state</v>
      </c>
      <c r="CI3" s="468" t="str">
        <f>'SK-ratios'!DF2</f>
        <v>state</v>
      </c>
      <c r="CJ3" s="468" t="str">
        <f>'SK-ratios'!DG2</f>
        <v>state</v>
      </c>
      <c r="CM3" s="284" t="s">
        <v>428</v>
      </c>
      <c r="CN3" s="284" t="s">
        <v>419</v>
      </c>
      <c r="CO3" s="284" t="s">
        <v>414</v>
      </c>
      <c r="CP3" s="284" t="s">
        <v>415</v>
      </c>
      <c r="CQ3" s="284" t="s">
        <v>432</v>
      </c>
      <c r="CR3" s="284" t="s">
        <v>1484</v>
      </c>
      <c r="CS3" s="284" t="s">
        <v>419</v>
      </c>
      <c r="CT3" s="284" t="s">
        <v>414</v>
      </c>
      <c r="CU3" s="284" t="s">
        <v>415</v>
      </c>
      <c r="CV3" s="284" t="s">
        <v>1484</v>
      </c>
      <c r="CW3" s="284" t="s">
        <v>419</v>
      </c>
      <c r="CX3" s="284" t="s">
        <v>414</v>
      </c>
      <c r="CY3" s="284" t="s">
        <v>415</v>
      </c>
      <c r="CZ3" s="284" t="s">
        <v>1497</v>
      </c>
      <c r="DA3" s="284" t="s">
        <v>1497</v>
      </c>
      <c r="DB3" s="284"/>
    </row>
    <row r="4" spans="1:106" s="429" customFormat="1" ht="15.75" customHeight="1" thickBot="1" x14ac:dyDescent="0.3">
      <c r="A4" s="639">
        <f>'MD-ratings-year'!A4</f>
        <v>0.25</v>
      </c>
      <c r="B4" s="668" t="str">
        <f>'MD-ratings-year'!B4</f>
        <v>Liquidity</v>
      </c>
      <c r="C4" s="418">
        <f>'MD-ratings-year'!C4</f>
        <v>8.3333333333333329E-2</v>
      </c>
      <c r="D4" s="419" t="str">
        <f>'MD-ratings-year'!D4</f>
        <v>Current Ratio</v>
      </c>
      <c r="E4" s="420" t="str">
        <f>'MD-ratings-year'!E4</f>
        <v>Current Assets ÷ Current Liabilities</v>
      </c>
      <c r="F4" s="421" t="s">
        <v>400</v>
      </c>
      <c r="G4" s="653">
        <v>2015</v>
      </c>
      <c r="H4" s="259"/>
      <c r="I4" s="469">
        <f>'SK-ratings-year'!W4</f>
        <v>9.5579334361456674</v>
      </c>
      <c r="J4" s="469">
        <f>'SK-ratings-year'!X4</f>
        <v>9.8093301569211349</v>
      </c>
      <c r="K4" s="469">
        <f>'SK-ratings-year'!Y4</f>
        <v>3.7827403774826656</v>
      </c>
      <c r="L4" s="469">
        <f>'SK-ratings-year'!Z4</f>
        <v>2.9309354065722664</v>
      </c>
      <c r="M4" s="469">
        <f>'SK-ratings-year'!AA4</f>
        <v>3.1686082102845159</v>
      </c>
      <c r="N4" s="469">
        <f>'SK-ratings-year'!AB4</f>
        <v>5.668655342973099</v>
      </c>
      <c r="O4" s="469">
        <f>'SK-ratings-year'!AC4</f>
        <v>5.7149977105717369</v>
      </c>
      <c r="P4" s="469">
        <f>'SK-ratings-year'!AD4</f>
        <v>6.1388382781430124</v>
      </c>
      <c r="Q4" s="469">
        <f>'SK-ratings-year'!AE4</f>
        <v>5.0797751870175913</v>
      </c>
      <c r="R4" s="469">
        <f>'SK-ratings-year'!AF4</f>
        <v>4.5930252118378361</v>
      </c>
      <c r="S4" s="469">
        <f>'SK-ratings-year'!AG4</f>
        <v>6.0687036341501805</v>
      </c>
      <c r="T4" s="469">
        <f>'SK-ratings-year'!AH4</f>
        <v>9.5024502914596845</v>
      </c>
      <c r="U4" s="469">
        <f>'SK-ratings-year'!AI4</f>
        <v>4.7242296814015452</v>
      </c>
      <c r="V4" s="469">
        <f>'SK-ratings-year'!AJ4</f>
        <v>4.5114948755183759</v>
      </c>
      <c r="W4" s="469">
        <f>'SK-ratings-year'!AK4</f>
        <v>5.1220845112769382</v>
      </c>
      <c r="X4" s="469">
        <f>'SK-ratings-year'!AL4</f>
        <v>8.6107460024058966</v>
      </c>
      <c r="Y4" s="469">
        <f>'SK-ratings-year'!AM4</f>
        <v>5.9984037013416218</v>
      </c>
      <c r="Z4" s="469">
        <f>'SK-ratings-year'!AN4</f>
        <v>5.7430921875802357</v>
      </c>
      <c r="AA4" s="469">
        <f>'SK-ratings-year'!AO4</f>
        <v>6.7988912732232469</v>
      </c>
      <c r="AB4" s="469">
        <f>'SK-ratings-year'!AP4</f>
        <v>4.484174485454985</v>
      </c>
      <c r="AC4" s="469">
        <f>'SK-ratings-year'!AQ4</f>
        <v>10</v>
      </c>
      <c r="AD4" s="469">
        <f>'SK-ratings-year'!AR4</f>
        <v>7.9878059219276372</v>
      </c>
      <c r="AE4" s="469">
        <f>'SK-ratings-year'!AS4</f>
        <v>6.7766091412784517</v>
      </c>
      <c r="AF4" s="469">
        <f>'SK-ratings-year'!AT4</f>
        <v>4.5487626097248937</v>
      </c>
      <c r="AG4" s="469">
        <f>'SK-ratings-year'!AU4</f>
        <v>3.9513375039120522</v>
      </c>
      <c r="AH4" s="469">
        <f>'SK-ratings-year'!AV4</f>
        <v>10</v>
      </c>
      <c r="AI4" s="469">
        <f>'SK-ratings-year'!AW4</f>
        <v>6.9158177192303247</v>
      </c>
      <c r="AJ4" s="469">
        <f>'SK-ratings-year'!AX4</f>
        <v>3.5739234845879086</v>
      </c>
      <c r="AK4" s="469">
        <f>'SK-ratings-year'!AY4</f>
        <v>8.980093522436432</v>
      </c>
      <c r="AL4" s="469">
        <f>'SK-ratings-year'!AZ4</f>
        <v>6.8677301843826095</v>
      </c>
      <c r="AM4" s="469">
        <f>'SK-ratings-year'!BA4</f>
        <v>1.6687303177437516</v>
      </c>
      <c r="AN4" s="469">
        <f>'SK-ratings-year'!BB4</f>
        <v>7.5319888279645664</v>
      </c>
      <c r="AO4" s="469">
        <f>'SK-ratings-year'!BC4</f>
        <v>5.2687135687782298</v>
      </c>
      <c r="AP4" s="469">
        <f>'SK-ratings-year'!BD4</f>
        <v>7.4302903191706502</v>
      </c>
      <c r="AQ4" s="469">
        <f>'SK-ratings-year'!BE4</f>
        <v>2.7563040261550169</v>
      </c>
      <c r="AR4" s="469">
        <f>'SK-ratings-year'!BF4</f>
        <v>7.8342305143056929</v>
      </c>
      <c r="AS4" s="469">
        <f>'SK-ratings-year'!BG4</f>
        <v>6.0799720065919658</v>
      </c>
      <c r="AT4" s="469">
        <f>'SK-ratings-year'!BH4</f>
        <v>5.3719941923560608</v>
      </c>
      <c r="AU4" s="469">
        <f>'SK-ratings-year'!BI4</f>
        <v>4.0226113747573455</v>
      </c>
      <c r="AV4" s="469">
        <f>'SK-ratings-year'!BJ4</f>
        <v>4.8443801824409229</v>
      </c>
      <c r="AW4" s="469">
        <f>'SK-ratings-year'!BK4</f>
        <v>5.7594671979908449</v>
      </c>
      <c r="AX4" s="469">
        <f>'SK-ratings-year'!BL4</f>
        <v>3.4181771057220405</v>
      </c>
      <c r="AY4" s="469">
        <f>'SK-ratings-year'!BM4</f>
        <v>8.4272885282487557</v>
      </c>
      <c r="AZ4" s="469">
        <f>'SK-ratings-year'!BN4</f>
        <v>6.6030300089175844</v>
      </c>
      <c r="BA4" s="469">
        <f>'SK-ratings-year'!BO4</f>
        <v>5.0751058166194358</v>
      </c>
      <c r="BB4" s="469">
        <f>'SK-ratings-year'!BP4</f>
        <v>4.3319127685276451</v>
      </c>
      <c r="BC4" s="469">
        <f>'SK-ratings-year'!BQ4</f>
        <v>8.9998953704061879</v>
      </c>
      <c r="BD4" s="469">
        <f>'SK-ratings-year'!BR4</f>
        <v>4.7447758170813268</v>
      </c>
      <c r="BE4" s="469">
        <f>'SK-ratings-year'!BS4</f>
        <v>5.0476219288868212</v>
      </c>
      <c r="BF4" s="469">
        <f>'SK-ratings-year'!BT4</f>
        <v>2.9962493914445996</v>
      </c>
      <c r="BG4" s="469">
        <f>'SK-ratings-year'!BU4</f>
        <v>5.3613022029427677</v>
      </c>
      <c r="BH4" s="469">
        <f>'SK-ratings-year'!BV4</f>
        <v>10</v>
      </c>
      <c r="BI4" s="469">
        <f>'SK-ratings-year'!BW4</f>
        <v>4.6049494353480522</v>
      </c>
      <c r="BJ4" s="469">
        <f>'SK-ratings-year'!BX4</f>
        <v>4.5765280520483502</v>
      </c>
      <c r="BK4" s="469">
        <f>'SK-ratings-year'!BY4</f>
        <v>6.7965223320774957</v>
      </c>
      <c r="BL4" s="469">
        <f>'SK-ratings-year'!BZ4</f>
        <v>6.2220094320994717</v>
      </c>
      <c r="BM4" s="469">
        <f>'SK-ratings-year'!CA4</f>
        <v>4.2401874963179633</v>
      </c>
      <c r="BN4" s="469">
        <f>'SK-ratings-year'!CB4</f>
        <v>10</v>
      </c>
      <c r="BO4" s="469">
        <f>'SK-ratings-year'!CC4</f>
        <v>8.6385784467761901</v>
      </c>
      <c r="BP4" s="469">
        <f>'SK-ratings-year'!CD4</f>
        <v>4.2391948394182855</v>
      </c>
      <c r="BQ4" s="469">
        <f>'SK-ratings-year'!CE4</f>
        <v>6.0369781677142376</v>
      </c>
      <c r="BR4" s="469">
        <f>'SK-ratings-year'!CF4</f>
        <v>8.9870389964683532</v>
      </c>
      <c r="BS4" s="469">
        <f>'SK-ratings-year'!CG4</f>
        <v>7.3480085033983844</v>
      </c>
      <c r="BT4" s="469">
        <f>'SK-ratings-year'!CH4</f>
        <v>5.7116133168682399</v>
      </c>
      <c r="BU4" s="469">
        <f>'SK-ratings-year'!CI4</f>
        <v>6.5669352443159621</v>
      </c>
      <c r="BV4" s="469">
        <f>'SK-ratings-year'!CJ4</f>
        <v>7.092214157682025</v>
      </c>
      <c r="BW4" s="469">
        <f>'SK-ratings-year'!CK4</f>
        <v>5.7769443548060808</v>
      </c>
      <c r="BX4" s="469">
        <f>'SK-ratings-year'!CL4</f>
        <v>5.3807522507181336</v>
      </c>
      <c r="BY4" s="469">
        <f>'SK-ratings-year'!CM4</f>
        <v>9.5820423847773828</v>
      </c>
      <c r="BZ4" s="469">
        <f>'SK-ratings-year'!CN4</f>
        <v>5.0448593555747356</v>
      </c>
      <c r="CA4" s="469">
        <f>'SK-ratings-year'!CO4</f>
        <v>4.6933086499971584</v>
      </c>
      <c r="CB4" s="469">
        <f>'SK-ratings-year'!CP4</f>
        <v>4.4453851958736887</v>
      </c>
      <c r="CC4" s="469">
        <f>'SK-ratings-year'!CQ4</f>
        <v>0.73996904291598375</v>
      </c>
      <c r="CD4" s="469">
        <f>'SK-ratings-year'!CR4</f>
        <v>8.6624346183680867</v>
      </c>
      <c r="CE4" s="469">
        <f>'SK-ratings-year'!CS4</f>
        <v>6.1012220141565896</v>
      </c>
      <c r="CF4" s="469">
        <f>'SK-ratings-year'!CT4</f>
        <v>4.5639129448872797</v>
      </c>
      <c r="CG4" s="469">
        <f>'SK-ratings-year'!CU4</f>
        <v>5.1248139037981257</v>
      </c>
      <c r="CH4" s="469">
        <f>'SK-ratings-year'!CV4</f>
        <v>4.4833346308455733</v>
      </c>
      <c r="CI4" s="469">
        <f>'SK-ratings-year'!CW4</f>
        <v>3.6093239495975382</v>
      </c>
      <c r="CJ4" s="469">
        <f>'SK-ratings-year'!CX4</f>
        <v>3.876942769564081</v>
      </c>
      <c r="CL4" s="558"/>
      <c r="CM4" s="454">
        <f>'SK-ratings-year'!DA4</f>
        <v>6.8725876926095264</v>
      </c>
      <c r="CN4" s="454">
        <f>'SK-ratings-year'!DB4</f>
        <v>6.2047636673925268</v>
      </c>
      <c r="CO4" s="454">
        <f>'SK-ratings-year'!DC4</f>
        <v>4.8088038458712763</v>
      </c>
      <c r="CP4" s="454">
        <f>'SK-ratings-year'!DD4</f>
        <v>6.6981269126098066</v>
      </c>
      <c r="CQ4" s="454">
        <f>'SK-ratings-year'!DE4</f>
        <v>4.4376433548295617</v>
      </c>
      <c r="CR4" s="454">
        <f>'SK-ratings-year'!DF4</f>
        <v>7.4859357399048401</v>
      </c>
      <c r="CS4" s="454">
        <f>'SK-ratings-year'!DG4</f>
        <v>4.7724651058136152</v>
      </c>
      <c r="CT4" s="454">
        <f>'SK-ratings-year'!DH4</f>
        <v>5.0299534940717141</v>
      </c>
      <c r="CU4" s="454">
        <f>'SK-ratings-year'!DI4</f>
        <v>4.6428980937802455</v>
      </c>
      <c r="CV4" s="454">
        <f>'SK-ratings-year'!DJ4</f>
        <v>4.1329584824268704</v>
      </c>
      <c r="CW4" s="454">
        <f>'SK-ratings-year'!DK4</f>
        <v>5.424253753783602</v>
      </c>
      <c r="CX4" s="454">
        <f>'SK-ratings-year'!DL4</f>
        <v>4.9076979108385972</v>
      </c>
      <c r="CY4" s="454">
        <f>'SK-ratings-year'!DM4</f>
        <v>6.0474050048544896</v>
      </c>
      <c r="CZ4" s="454">
        <f>'SK-ratings-year'!DN4</f>
        <v>6.1066868815573851</v>
      </c>
      <c r="DA4" s="454">
        <f>'SK-ratings-year'!DO4</f>
        <v>4.8166566024929827</v>
      </c>
      <c r="DB4" s="454">
        <f>'SK-ratings-year'!DP4</f>
        <v>5.6210037500789909</v>
      </c>
    </row>
    <row r="5" spans="1:106" s="428" customFormat="1" ht="15.75" customHeight="1" thickBot="1" x14ac:dyDescent="0.3">
      <c r="A5" s="640"/>
      <c r="B5" s="669"/>
      <c r="C5" s="418">
        <f>'MD-ratings-year'!C5</f>
        <v>8.3333333333333329E-2</v>
      </c>
      <c r="D5" s="419" t="str">
        <f>'MD-ratings-year'!D5</f>
        <v>Quick Asset Ratio</v>
      </c>
      <c r="E5" s="420" t="str">
        <f>'MD-ratings-year'!E5</f>
        <v>Cash + Marketable Securities + Accounts Receivable) ÷ Current Liabilities</v>
      </c>
      <c r="F5" s="422" t="s">
        <v>400</v>
      </c>
      <c r="G5" s="653"/>
      <c r="H5" s="243"/>
      <c r="I5" s="470">
        <f>'SK-ratings-year'!W5</f>
        <v>10</v>
      </c>
      <c r="J5" s="470">
        <f>'SK-ratings-year'!X5</f>
        <v>10</v>
      </c>
      <c r="K5" s="470">
        <f>'SK-ratings-year'!Y5</f>
        <v>4.127445577229528</v>
      </c>
      <c r="L5" s="470">
        <f>'SK-ratings-year'!Z5</f>
        <v>3.1417284046092488</v>
      </c>
      <c r="M5" s="470">
        <f>'SK-ratings-year'!AA5</f>
        <v>3.3768633670860311</v>
      </c>
      <c r="N5" s="470">
        <f>'SK-ratings-year'!AB5</f>
        <v>5.6276001944578633</v>
      </c>
      <c r="O5" s="470">
        <f>'SK-ratings-year'!AC5</f>
        <v>6.0998692843761786</v>
      </c>
      <c r="P5" s="470">
        <f>'SK-ratings-year'!AD5</f>
        <v>6.6759761675393836</v>
      </c>
      <c r="Q5" s="470">
        <f>'SK-ratings-year'!AE5</f>
        <v>5.4592684928875386</v>
      </c>
      <c r="R5" s="470">
        <f>'SK-ratings-year'!AF5</f>
        <v>5.0336262954984488</v>
      </c>
      <c r="S5" s="470">
        <f>'SK-ratings-year'!AG5</f>
        <v>6.6143680012515196</v>
      </c>
      <c r="T5" s="470">
        <f>'SK-ratings-year'!AH5</f>
        <v>10</v>
      </c>
      <c r="U5" s="470">
        <f>'SK-ratings-year'!AI5</f>
        <v>5.1376247151856909</v>
      </c>
      <c r="V5" s="470">
        <f>'SK-ratings-year'!AJ5</f>
        <v>4.8676271873917631</v>
      </c>
      <c r="W5" s="470">
        <f>'SK-ratings-year'!AK5</f>
        <v>5.570975386400943</v>
      </c>
      <c r="X5" s="470">
        <f>'SK-ratings-year'!AL5</f>
        <v>9.3497467430755545</v>
      </c>
      <c r="Y5" s="470">
        <f>'SK-ratings-year'!AM5</f>
        <v>6.5802011199105905</v>
      </c>
      <c r="Z5" s="470">
        <f>'SK-ratings-year'!AN5</f>
        <v>6.1381997542901878</v>
      </c>
      <c r="AA5" s="470">
        <f>'SK-ratings-year'!AO5</f>
        <v>7.433959848968489</v>
      </c>
      <c r="AB5" s="470">
        <f>'SK-ratings-year'!AP5</f>
        <v>4.9114835422393019</v>
      </c>
      <c r="AC5" s="470">
        <f>'SK-ratings-year'!AQ5</f>
        <v>10</v>
      </c>
      <c r="AD5" s="470">
        <f>'SK-ratings-year'!AR5</f>
        <v>7.9084744116665799</v>
      </c>
      <c r="AE5" s="470">
        <f>'SK-ratings-year'!AS5</f>
        <v>6.7409544593152866</v>
      </c>
      <c r="AF5" s="470">
        <f>'SK-ratings-year'!AT5</f>
        <v>4.9054071851812155</v>
      </c>
      <c r="AG5" s="470">
        <f>'SK-ratings-year'!AU5</f>
        <v>1.7909936063144176</v>
      </c>
      <c r="AH5" s="470">
        <f>'SK-ratings-year'!AV5</f>
        <v>10</v>
      </c>
      <c r="AI5" s="470">
        <f>'SK-ratings-year'!AW5</f>
        <v>7.5225438731483854</v>
      </c>
      <c r="AJ5" s="470">
        <f>'SK-ratings-year'!AX5</f>
        <v>3.6404999746152842</v>
      </c>
      <c r="AK5" s="470">
        <f>'SK-ratings-year'!AY5</f>
        <v>9.6418580498918089</v>
      </c>
      <c r="AL5" s="470">
        <f>'SK-ratings-year'!AZ5</f>
        <v>7.4627107795270398</v>
      </c>
      <c r="AM5" s="470">
        <f>'SK-ratings-year'!BA5</f>
        <v>1.6842090079077787</v>
      </c>
      <c r="AN5" s="470">
        <f>'SK-ratings-year'!BB5</f>
        <v>8.1270917810371905</v>
      </c>
      <c r="AO5" s="470">
        <f>'SK-ratings-year'!BC5</f>
        <v>5.7765706419184788</v>
      </c>
      <c r="AP5" s="470">
        <f>'SK-ratings-year'!BD5</f>
        <v>6.5854131735975656</v>
      </c>
      <c r="AQ5" s="470">
        <f>'SK-ratings-year'!BE5</f>
        <v>2.9141356998311534</v>
      </c>
      <c r="AR5" s="470">
        <f>'SK-ratings-year'!BF5</f>
        <v>8.2346863907038159</v>
      </c>
      <c r="AS5" s="470">
        <f>'SK-ratings-year'!BG5</f>
        <v>6.5897637131125935</v>
      </c>
      <c r="AT5" s="470">
        <f>'SK-ratings-year'!BH5</f>
        <v>5.4447040720215378</v>
      </c>
      <c r="AU5" s="470">
        <f>'SK-ratings-year'!BI5</f>
        <v>4.0246665447752692</v>
      </c>
      <c r="AV5" s="470">
        <f>'SK-ratings-year'!BJ5</f>
        <v>5.0868363195270447</v>
      </c>
      <c r="AW5" s="470">
        <f>'SK-ratings-year'!BK5</f>
        <v>6.1055052903725242</v>
      </c>
      <c r="AX5" s="470">
        <f>'SK-ratings-year'!BL5</f>
        <v>3.4850130548117795</v>
      </c>
      <c r="AY5" s="470">
        <f>'SK-ratings-year'!BM5</f>
        <v>9.1512589362672507</v>
      </c>
      <c r="AZ5" s="470">
        <f>'SK-ratings-year'!BN5</f>
        <v>6.5013243180300462</v>
      </c>
      <c r="BA5" s="470">
        <f>'SK-ratings-year'!BO5</f>
        <v>5.5665147228527738</v>
      </c>
      <c r="BB5" s="470">
        <f>'SK-ratings-year'!BP5</f>
        <v>4.7469268263089095</v>
      </c>
      <c r="BC5" s="470">
        <f>'SK-ratings-year'!BQ5</f>
        <v>9.8678318887716312</v>
      </c>
      <c r="BD5" s="470">
        <f>'SK-ratings-year'!BR5</f>
        <v>5.2024833734272731</v>
      </c>
      <c r="BE5" s="470">
        <f>'SK-ratings-year'!BS5</f>
        <v>5.5151026377156001</v>
      </c>
      <c r="BF5" s="470">
        <f>'SK-ratings-year'!BT5</f>
        <v>3.2202263365653065</v>
      </c>
      <c r="BG5" s="470">
        <f>'SK-ratings-year'!BU5</f>
        <v>5.8557140787845574</v>
      </c>
      <c r="BH5" s="470">
        <f>'SK-ratings-year'!BV5</f>
        <v>10</v>
      </c>
      <c r="BI5" s="470">
        <f>'SK-ratings-year'!BW5</f>
        <v>5.0080765872318125</v>
      </c>
      <c r="BJ5" s="470">
        <f>'SK-ratings-year'!BX5</f>
        <v>3.2063485983040731</v>
      </c>
      <c r="BK5" s="470">
        <f>'SK-ratings-year'!BY5</f>
        <v>6.6499857875585597</v>
      </c>
      <c r="BL5" s="470">
        <f>'SK-ratings-year'!BZ5</f>
        <v>6.6598474523390259</v>
      </c>
      <c r="BM5" s="470">
        <f>'SK-ratings-year'!CA5</f>
        <v>4.4206414848431805</v>
      </c>
      <c r="BN5" s="470">
        <f>'SK-ratings-year'!CB5</f>
        <v>10</v>
      </c>
      <c r="BO5" s="470">
        <f>'SK-ratings-year'!CC5</f>
        <v>9.4985260643080007</v>
      </c>
      <c r="BP5" s="470">
        <f>'SK-ratings-year'!CD5</f>
        <v>4.6445974444801097</v>
      </c>
      <c r="BQ5" s="470">
        <f>'SK-ratings-year'!CE5</f>
        <v>6.5000066609965117</v>
      </c>
      <c r="BR5" s="470">
        <f>'SK-ratings-year'!CF5</f>
        <v>9.886581518375424</v>
      </c>
      <c r="BS5" s="470">
        <f>'SK-ratings-year'!CG5</f>
        <v>8.0777308775665393</v>
      </c>
      <c r="BT5" s="470">
        <f>'SK-ratings-year'!CH5</f>
        <v>6.1191620799802102</v>
      </c>
      <c r="BU5" s="470">
        <f>'SK-ratings-year'!CI5</f>
        <v>7.142094367393665</v>
      </c>
      <c r="BV5" s="470">
        <f>'SK-ratings-year'!CJ5</f>
        <v>7.76541814057006</v>
      </c>
      <c r="BW5" s="470">
        <f>'SK-ratings-year'!CK5</f>
        <v>6.2054697869675763</v>
      </c>
      <c r="BX5" s="470">
        <f>'SK-ratings-year'!CL5</f>
        <v>5.3069224513647857</v>
      </c>
      <c r="BY5" s="470">
        <f>'SK-ratings-year'!CM5</f>
        <v>10</v>
      </c>
      <c r="BZ5" s="470">
        <f>'SK-ratings-year'!CN5</f>
        <v>5.4830217266368706</v>
      </c>
      <c r="CA5" s="470">
        <f>'SK-ratings-year'!CO5</f>
        <v>4.4051370697747805</v>
      </c>
      <c r="CB5" s="470">
        <f>'SK-ratings-year'!CP5</f>
        <v>4.5897967209116821</v>
      </c>
      <c r="CC5" s="470">
        <f>'SK-ratings-year'!CQ5</f>
        <v>0.80374587220788729</v>
      </c>
      <c r="CD5" s="470">
        <f>'SK-ratings-year'!CR5</f>
        <v>9.4297211278275341</v>
      </c>
      <c r="CE5" s="470">
        <f>'SK-ratings-year'!CS5</f>
        <v>6.6491798779135252</v>
      </c>
      <c r="CF5" s="470">
        <f>'SK-ratings-year'!CT5</f>
        <v>4.9997646156382798</v>
      </c>
      <c r="CG5" s="470">
        <f>'SK-ratings-year'!CU5</f>
        <v>5.5806794499883674</v>
      </c>
      <c r="CH5" s="470">
        <f>'SK-ratings-year'!CV5</f>
        <v>4.7459545949536999</v>
      </c>
      <c r="CI5" s="470">
        <f>'SK-ratings-year'!CW5</f>
        <v>3.6424411134257331</v>
      </c>
      <c r="CJ5" s="470">
        <f>'SK-ratings-year'!CX5</f>
        <v>3.9086951447155789</v>
      </c>
      <c r="CL5" s="546"/>
      <c r="CM5" s="455">
        <f>'SK-ratings-year'!DA5</f>
        <v>6.9328429780601288</v>
      </c>
      <c r="CN5" s="455">
        <f>'SK-ratings-year'!DB5</f>
        <v>6.5560286644178865</v>
      </c>
      <c r="CO5" s="455">
        <f>'SK-ratings-year'!DC5</f>
        <v>5.0907815070204068</v>
      </c>
      <c r="CP5" s="455">
        <f>'SK-ratings-year'!DD5</f>
        <v>7.1209085467377751</v>
      </c>
      <c r="CQ5" s="455">
        <f>'SK-ratings-year'!DE5</f>
        <v>4.8558868174077947</v>
      </c>
      <c r="CR5" s="455">
        <f>'SK-ratings-year'!DF5</f>
        <v>7.5997888834229652</v>
      </c>
      <c r="CS5" s="455">
        <f>'SK-ratings-year'!DG5</f>
        <v>4.6703204157918057</v>
      </c>
      <c r="CT5" s="455">
        <f>'SK-ratings-year'!DH5</f>
        <v>5.4321060677019766</v>
      </c>
      <c r="CU5" s="455">
        <f>'SK-ratings-year'!DI5</f>
        <v>4.8533998184460208</v>
      </c>
      <c r="CV5" s="455">
        <f>'SK-ratings-year'!DJ5</f>
        <v>4.4683825552329948</v>
      </c>
      <c r="CW5" s="455">
        <f>'SK-ratings-year'!DK5</f>
        <v>5.5284398489936013</v>
      </c>
      <c r="CX5" s="455">
        <f>'SK-ratings-year'!DL5</f>
        <v>5.2434155878505599</v>
      </c>
      <c r="CY5" s="455">
        <f>'SK-ratings-year'!DM5</f>
        <v>6.4029750533926695</v>
      </c>
      <c r="CZ5" s="455">
        <f>'SK-ratings-year'!DN5</f>
        <v>6.3854162285680909</v>
      </c>
      <c r="DA5" s="455">
        <f>'SK-ratings-year'!DO5</f>
        <v>4.9591983778136104</v>
      </c>
      <c r="DB5" s="455">
        <f>'SK-ratings-year'!DP5</f>
        <v>5.8484598771038421</v>
      </c>
    </row>
    <row r="6" spans="1:106" s="428" customFormat="1" ht="15.75" customHeight="1" thickBot="1" x14ac:dyDescent="0.3">
      <c r="A6" s="640"/>
      <c r="B6" s="669"/>
      <c r="C6" s="418">
        <f>'MD-ratings-year'!C6</f>
        <v>8.3333333333333329E-2</v>
      </c>
      <c r="D6" s="419" t="str">
        <f>'MD-ratings-year'!D6</f>
        <v>Cash Position Ratio</v>
      </c>
      <c r="E6" s="420" t="str">
        <f>'MD-ratings-year'!E6</f>
        <v>Cash ÷ Current Liabilities</v>
      </c>
      <c r="F6" s="422" t="s">
        <v>400</v>
      </c>
      <c r="G6" s="653"/>
      <c r="H6" s="243"/>
      <c r="I6" s="470">
        <f>'SK-ratings-year'!W6</f>
        <v>10</v>
      </c>
      <c r="J6" s="470">
        <f>'SK-ratings-year'!X6</f>
        <v>10</v>
      </c>
      <c r="K6" s="470">
        <f>'SK-ratings-year'!Y6</f>
        <v>2.7509380153049379</v>
      </c>
      <c r="L6" s="470">
        <f>'SK-ratings-year'!Z6</f>
        <v>2.5732605147289012</v>
      </c>
      <c r="M6" s="470">
        <f>'SK-ratings-year'!AA6</f>
        <v>2.1816155974369975</v>
      </c>
      <c r="N6" s="470">
        <f>'SK-ratings-year'!AB6</f>
        <v>6.1306395563183784</v>
      </c>
      <c r="O6" s="470">
        <f>'SK-ratings-year'!AC6</f>
        <v>3.967265283017881</v>
      </c>
      <c r="P6" s="470">
        <f>'SK-ratings-year'!AD6</f>
        <v>5.1150594305563386</v>
      </c>
      <c r="Q6" s="470">
        <f>'SK-ratings-year'!AE6</f>
        <v>0.10920590712180153</v>
      </c>
      <c r="R6" s="470">
        <f>'SK-ratings-year'!AF6</f>
        <v>3.9493008217256893</v>
      </c>
      <c r="S6" s="470">
        <f>'SK-ratings-year'!AG6</f>
        <v>5.5658215407909628</v>
      </c>
      <c r="T6" s="470">
        <f>'SK-ratings-year'!AH6</f>
        <v>10</v>
      </c>
      <c r="U6" s="470">
        <f>'SK-ratings-year'!AI6</f>
        <v>2.5852823308144943</v>
      </c>
      <c r="V6" s="470">
        <f>'SK-ratings-year'!AJ6</f>
        <v>0.21978192683712197</v>
      </c>
      <c r="W6" s="470">
        <f>'SK-ratings-year'!AK6</f>
        <v>4.1785699989573777</v>
      </c>
      <c r="X6" s="470">
        <f>'SK-ratings-year'!AL6</f>
        <v>5.6232125080347144</v>
      </c>
      <c r="Y6" s="470">
        <f>'SK-ratings-year'!AM6</f>
        <v>6.1352176218568211</v>
      </c>
      <c r="Z6" s="470">
        <f>'SK-ratings-year'!AN6</f>
        <v>5.1295881358496596</v>
      </c>
      <c r="AA6" s="470">
        <f>'SK-ratings-year'!AO6</f>
        <v>6.6343007374120235</v>
      </c>
      <c r="AB6" s="470">
        <f>'SK-ratings-year'!AP6</f>
        <v>1.7683624543706513</v>
      </c>
      <c r="AC6" s="470">
        <f>'SK-ratings-year'!AQ6</f>
        <v>10</v>
      </c>
      <c r="AD6" s="470">
        <f>'SK-ratings-year'!AR6</f>
        <v>7.3359818230948992</v>
      </c>
      <c r="AE6" s="470">
        <f>'SK-ratings-year'!AS6</f>
        <v>6.4899077696840557</v>
      </c>
      <c r="AF6" s="470">
        <f>'SK-ratings-year'!AT6</f>
        <v>0.76418769578075973</v>
      </c>
      <c r="AG6" s="470">
        <f>'SK-ratings-year'!AU6</f>
        <v>1.7475897092938457</v>
      </c>
      <c r="AH6" s="470">
        <f>'SK-ratings-year'!AV6</f>
        <v>10</v>
      </c>
      <c r="AI6" s="470">
        <f>'SK-ratings-year'!AW6</f>
        <v>7.2820296137016163</v>
      </c>
      <c r="AJ6" s="470">
        <f>'SK-ratings-year'!AX6</f>
        <v>3.1357246086603516</v>
      </c>
      <c r="AK6" s="470">
        <f>'SK-ratings-year'!AY6</f>
        <v>8.7038220130547952</v>
      </c>
      <c r="AL6" s="470">
        <f>'SK-ratings-year'!AZ6</f>
        <v>7.1989304804850578</v>
      </c>
      <c r="AM6" s="470">
        <f>'SK-ratings-year'!BA6</f>
        <v>0.7888321520372904</v>
      </c>
      <c r="AN6" s="470">
        <f>'SK-ratings-year'!BB6</f>
        <v>7.5823952506583501</v>
      </c>
      <c r="AO6" s="470">
        <f>'SK-ratings-year'!BC6</f>
        <v>2.2939548547013557</v>
      </c>
      <c r="AP6" s="470">
        <f>'SK-ratings-year'!BD6</f>
        <v>6.0671660590462304</v>
      </c>
      <c r="AQ6" s="470">
        <f>'SK-ratings-year'!BE6</f>
        <v>1.2715970082840493</v>
      </c>
      <c r="AR6" s="470">
        <f>'SK-ratings-year'!BF6</f>
        <v>7.7984545496918543</v>
      </c>
      <c r="AS6" s="470">
        <f>'SK-ratings-year'!BG6</f>
        <v>0.75262793131082373</v>
      </c>
      <c r="AT6" s="470">
        <f>'SK-ratings-year'!BH6</f>
        <v>3.43264235426747</v>
      </c>
      <c r="AU6" s="470">
        <f>'SK-ratings-year'!BI6</f>
        <v>0.29677319256051238</v>
      </c>
      <c r="AV6" s="470">
        <f>'SK-ratings-year'!BJ6</f>
        <v>0.13964874211267769</v>
      </c>
      <c r="AW6" s="470">
        <f>'SK-ratings-year'!BK6</f>
        <v>6.4178184385867381</v>
      </c>
      <c r="AX6" s="470">
        <f>'SK-ratings-year'!BL6</f>
        <v>0.17454345853879494</v>
      </c>
      <c r="AY6" s="470">
        <f>'SK-ratings-year'!BM6</f>
        <v>9.2183601809202766</v>
      </c>
      <c r="AZ6" s="470">
        <f>'SK-ratings-year'!BN6</f>
        <v>6.0101917949155244</v>
      </c>
      <c r="BA6" s="470">
        <f>'SK-ratings-year'!BO6</f>
        <v>5.2760578696803044</v>
      </c>
      <c r="BB6" s="470">
        <f>'SK-ratings-year'!BP6</f>
        <v>0.36803167550322741</v>
      </c>
      <c r="BC6" s="470">
        <f>'SK-ratings-year'!BQ6</f>
        <v>9.9968671676460197</v>
      </c>
      <c r="BD6" s="470">
        <f>'SK-ratings-year'!BR6</f>
        <v>5.3791604312403232</v>
      </c>
      <c r="BE6" s="470">
        <f>'SK-ratings-year'!BS6</f>
        <v>4.100900988714467</v>
      </c>
      <c r="BF6" s="470">
        <f>'SK-ratings-year'!BT6</f>
        <v>1.8985425078698457</v>
      </c>
      <c r="BG6" s="470">
        <f>'SK-ratings-year'!BU6</f>
        <v>5.8809524754657083</v>
      </c>
      <c r="BH6" s="470">
        <f>'SK-ratings-year'!BV6</f>
        <v>10</v>
      </c>
      <c r="BI6" s="470">
        <f>'SK-ratings-year'!BW6</f>
        <v>4.9373652706347766</v>
      </c>
      <c r="BJ6" s="470">
        <f>'SK-ratings-year'!BX6</f>
        <v>1.1861711517996492</v>
      </c>
      <c r="BK6" s="470">
        <f>'SK-ratings-year'!BY6</f>
        <v>4.8579556749656643</v>
      </c>
      <c r="BL6" s="470">
        <f>'SK-ratings-year'!BZ6</f>
        <v>4.5617180871939729</v>
      </c>
      <c r="BM6" s="470">
        <f>'SK-ratings-year'!CA6</f>
        <v>3.4777675416629665</v>
      </c>
      <c r="BN6" s="470">
        <f>'SK-ratings-year'!CB6</f>
        <v>10</v>
      </c>
      <c r="BO6" s="470">
        <f>'SK-ratings-year'!CC6</f>
        <v>9.6613795402954814</v>
      </c>
      <c r="BP6" s="470">
        <f>'SK-ratings-year'!CD6</f>
        <v>3.398780538165675</v>
      </c>
      <c r="BQ6" s="470">
        <f>'SK-ratings-year'!CE6</f>
        <v>5.1750903004444639</v>
      </c>
      <c r="BR6" s="470">
        <f>'SK-ratings-year'!CF6</f>
        <v>9.8777532397987748</v>
      </c>
      <c r="BS6" s="470">
        <f>'SK-ratings-year'!CG6</f>
        <v>7.9173763560774111</v>
      </c>
      <c r="BT6" s="470">
        <f>'SK-ratings-year'!CH6</f>
        <v>3.1291749009762815</v>
      </c>
      <c r="BU6" s="470">
        <f>'SK-ratings-year'!CI6</f>
        <v>7.3362189686857553</v>
      </c>
      <c r="BV6" s="470">
        <f>'SK-ratings-year'!CJ6</f>
        <v>7.9709101372920186</v>
      </c>
      <c r="BW6" s="470">
        <f>'SK-ratings-year'!CK6</f>
        <v>6.4282510922082334</v>
      </c>
      <c r="BX6" s="470">
        <f>'SK-ratings-year'!CL6</f>
        <v>2.4963035526688584</v>
      </c>
      <c r="BY6" s="470">
        <f>'SK-ratings-year'!CM6</f>
        <v>10</v>
      </c>
      <c r="BZ6" s="470">
        <f>'SK-ratings-year'!CN6</f>
        <v>5.2068271686069112</v>
      </c>
      <c r="CA6" s="470">
        <f>'SK-ratings-year'!CO6</f>
        <v>0.56758307130022767</v>
      </c>
      <c r="CB6" s="470">
        <f>'SK-ratings-year'!CP6</f>
        <v>1.2746676335694209</v>
      </c>
      <c r="CC6" s="470">
        <f>'SK-ratings-year'!CQ6</f>
        <v>0.89069664332750986</v>
      </c>
      <c r="CD6" s="470">
        <f>'SK-ratings-year'!CR6</f>
        <v>8.7479510528122155</v>
      </c>
      <c r="CE6" s="470">
        <f>'SK-ratings-year'!CS6</f>
        <v>5.6895237837303219</v>
      </c>
      <c r="CF6" s="470">
        <f>'SK-ratings-year'!CT6</f>
        <v>4.6408561421599472</v>
      </c>
      <c r="CG6" s="470">
        <f>'SK-ratings-year'!CU6</f>
        <v>6.1454590927289239</v>
      </c>
      <c r="CH6" s="470">
        <f>'SK-ratings-year'!CV6</f>
        <v>3.4690137024921346</v>
      </c>
      <c r="CI6" s="470">
        <f>'SK-ratings-year'!CW6</f>
        <v>0.81809408939101103</v>
      </c>
      <c r="CJ6" s="470">
        <f>'SK-ratings-year'!CX6</f>
        <v>0.24798231069347162</v>
      </c>
      <c r="CL6" s="546"/>
      <c r="CM6" s="455">
        <f>'SK-ratings-year'!DA6</f>
        <v>6.0017443517399656</v>
      </c>
      <c r="CN6" s="455">
        <f>'SK-ratings-year'!DB6</f>
        <v>4.9380282970182545</v>
      </c>
      <c r="CO6" s="455">
        <f>'SK-ratings-year'!DC6</f>
        <v>3.7011076232604698</v>
      </c>
      <c r="CP6" s="455">
        <f>'SK-ratings-year'!DD6</f>
        <v>6.0369852349863624</v>
      </c>
      <c r="CQ6" s="455">
        <f>'SK-ratings-year'!DE6</f>
        <v>4.6859821223923461</v>
      </c>
      <c r="CR6" s="455">
        <f>'SK-ratings-year'!DF6</f>
        <v>7.276940833661623</v>
      </c>
      <c r="CS6" s="455">
        <f>'SK-ratings-year'!DG6</f>
        <v>1.7824306120945221</v>
      </c>
      <c r="CT6" s="455">
        <f>'SK-ratings-year'!DH6</f>
        <v>4.1265188535835913</v>
      </c>
      <c r="CU6" s="455">
        <f>'SK-ratings-year'!DI6</f>
        <v>0.52569942472940168</v>
      </c>
      <c r="CV6" s="455">
        <f>'SK-ratings-year'!DJ6</f>
        <v>2.43185393074303</v>
      </c>
      <c r="CW6" s="455">
        <f>'SK-ratings-year'!DK6</f>
        <v>3.2184320183420683</v>
      </c>
      <c r="CX6" s="455">
        <f>'SK-ratings-year'!DL6</f>
        <v>3.8913437199115113</v>
      </c>
      <c r="CY6" s="455">
        <f>'SK-ratings-year'!DM6</f>
        <v>4.2920143666440254</v>
      </c>
      <c r="CZ6" s="455">
        <f>'SK-ratings-year'!DN6</f>
        <v>5.3140868639723422</v>
      </c>
      <c r="DA6" s="455">
        <f>'SK-ratings-year'!DO6</f>
        <v>2.5128392241184447</v>
      </c>
      <c r="DB6" s="455">
        <f>'SK-ratings-year'!DP6</f>
        <v>4.2594459397628466</v>
      </c>
    </row>
    <row r="7" spans="1:106" s="461" customFormat="1" ht="15.75" customHeight="1" thickBot="1" x14ac:dyDescent="0.3">
      <c r="A7" s="641"/>
      <c r="B7" s="670"/>
      <c r="C7" s="647" t="str">
        <f>'MD-ratings-year'!C7:E7</f>
        <v>Liquidity total</v>
      </c>
      <c r="D7" s="648"/>
      <c r="E7" s="649"/>
      <c r="F7" s="423"/>
      <c r="G7" s="653"/>
      <c r="H7" s="266"/>
      <c r="I7" s="471">
        <f>SUMPRODUCT(I4:I6,$C4:$C6)/SUM($C4:$C6)</f>
        <v>9.8526444787152219</v>
      </c>
      <c r="J7" s="471">
        <f t="shared" ref="J7:BU7" si="0">SUMPRODUCT(J4:J6,$C4:$C6)/SUM($C4:$C6)</f>
        <v>9.9364433856403771</v>
      </c>
      <c r="K7" s="471">
        <f t="shared" si="0"/>
        <v>3.55370799000571</v>
      </c>
      <c r="L7" s="471">
        <f t="shared" si="0"/>
        <v>2.8819747753034717</v>
      </c>
      <c r="M7" s="471">
        <f t="shared" si="0"/>
        <v>2.9090290582691813</v>
      </c>
      <c r="N7" s="471">
        <f t="shared" si="0"/>
        <v>5.8089650312497803</v>
      </c>
      <c r="O7" s="471">
        <f t="shared" si="0"/>
        <v>5.260710759321932</v>
      </c>
      <c r="P7" s="471">
        <f t="shared" si="0"/>
        <v>5.976624625412911</v>
      </c>
      <c r="Q7" s="471">
        <f t="shared" si="0"/>
        <v>3.549416529008977</v>
      </c>
      <c r="R7" s="471">
        <f t="shared" si="0"/>
        <v>4.5253174430206577</v>
      </c>
      <c r="S7" s="471">
        <f t="shared" si="0"/>
        <v>6.0829643920642207</v>
      </c>
      <c r="T7" s="471">
        <f t="shared" si="0"/>
        <v>9.834150097153227</v>
      </c>
      <c r="U7" s="471">
        <f t="shared" si="0"/>
        <v>4.1490455758005762</v>
      </c>
      <c r="V7" s="471">
        <f t="shared" si="0"/>
        <v>3.1996346632490869</v>
      </c>
      <c r="W7" s="471">
        <f t="shared" si="0"/>
        <v>4.9572099655450863</v>
      </c>
      <c r="X7" s="471">
        <f t="shared" si="0"/>
        <v>7.8612350845053882</v>
      </c>
      <c r="Y7" s="471">
        <f t="shared" si="0"/>
        <v>6.2379408143696766</v>
      </c>
      <c r="Z7" s="471">
        <f t="shared" si="0"/>
        <v>5.6702933592400271</v>
      </c>
      <c r="AA7" s="471">
        <f t="shared" si="0"/>
        <v>6.9557172865345862</v>
      </c>
      <c r="AB7" s="471">
        <f t="shared" si="0"/>
        <v>3.7213401606883125</v>
      </c>
      <c r="AC7" s="471">
        <f t="shared" si="0"/>
        <v>10</v>
      </c>
      <c r="AD7" s="471">
        <f t="shared" si="0"/>
        <v>7.7440873855630388</v>
      </c>
      <c r="AE7" s="471">
        <f t="shared" si="0"/>
        <v>6.6691571234259301</v>
      </c>
      <c r="AF7" s="471">
        <f t="shared" si="0"/>
        <v>3.4061191635622894</v>
      </c>
      <c r="AG7" s="471">
        <f t="shared" si="0"/>
        <v>2.4966402731734383</v>
      </c>
      <c r="AH7" s="471">
        <f t="shared" si="0"/>
        <v>10</v>
      </c>
      <c r="AI7" s="471">
        <f t="shared" si="0"/>
        <v>7.2401304020267752</v>
      </c>
      <c r="AJ7" s="471">
        <f t="shared" si="0"/>
        <v>3.4500493559545147</v>
      </c>
      <c r="AK7" s="471">
        <f t="shared" si="0"/>
        <v>9.1085911951276781</v>
      </c>
      <c r="AL7" s="471">
        <f t="shared" si="0"/>
        <v>7.1764571481315693</v>
      </c>
      <c r="AM7" s="471">
        <f t="shared" si="0"/>
        <v>1.3805904925629402</v>
      </c>
      <c r="AN7" s="471">
        <f t="shared" si="0"/>
        <v>7.7471586198867026</v>
      </c>
      <c r="AO7" s="471">
        <f t="shared" si="0"/>
        <v>4.4464130217993549</v>
      </c>
      <c r="AP7" s="471">
        <f t="shared" si="0"/>
        <v>6.6942898506048154</v>
      </c>
      <c r="AQ7" s="471">
        <f t="shared" si="0"/>
        <v>2.3140122447567397</v>
      </c>
      <c r="AR7" s="471">
        <f t="shared" si="0"/>
        <v>7.9557904849004535</v>
      </c>
      <c r="AS7" s="471">
        <f t="shared" si="0"/>
        <v>4.474121217005127</v>
      </c>
      <c r="AT7" s="471">
        <f t="shared" si="0"/>
        <v>4.7497802062150232</v>
      </c>
      <c r="AU7" s="471">
        <f t="shared" si="0"/>
        <v>2.7813503706977087</v>
      </c>
      <c r="AV7" s="471">
        <f t="shared" si="0"/>
        <v>3.3569550813602147</v>
      </c>
      <c r="AW7" s="471">
        <f t="shared" si="0"/>
        <v>6.0942636423167027</v>
      </c>
      <c r="AX7" s="471">
        <f t="shared" si="0"/>
        <v>2.3592445396908714</v>
      </c>
      <c r="AY7" s="471">
        <f t="shared" si="0"/>
        <v>8.9323025484787593</v>
      </c>
      <c r="AZ7" s="471">
        <f t="shared" si="0"/>
        <v>6.3715153739543844</v>
      </c>
      <c r="BA7" s="471">
        <f t="shared" si="0"/>
        <v>5.3058928030508374</v>
      </c>
      <c r="BB7" s="471">
        <f t="shared" si="0"/>
        <v>3.1489570901132606</v>
      </c>
      <c r="BC7" s="471">
        <f t="shared" si="0"/>
        <v>9.6215314756079451</v>
      </c>
      <c r="BD7" s="471">
        <f t="shared" si="0"/>
        <v>5.1088065405829743</v>
      </c>
      <c r="BE7" s="471">
        <f t="shared" si="0"/>
        <v>4.8878751851056297</v>
      </c>
      <c r="BF7" s="471">
        <f t="shared" si="0"/>
        <v>2.7050060786265835</v>
      </c>
      <c r="BG7" s="471">
        <f t="shared" si="0"/>
        <v>5.6993229190643442</v>
      </c>
      <c r="BH7" s="471">
        <f t="shared" si="0"/>
        <v>10</v>
      </c>
      <c r="BI7" s="471">
        <f t="shared" si="0"/>
        <v>4.8501304310715465</v>
      </c>
      <c r="BJ7" s="471">
        <f t="shared" si="0"/>
        <v>2.9896826007173574</v>
      </c>
      <c r="BK7" s="471">
        <f t="shared" si="0"/>
        <v>6.1014879315339066</v>
      </c>
      <c r="BL7" s="471">
        <f t="shared" si="0"/>
        <v>5.8145249905441574</v>
      </c>
      <c r="BM7" s="471">
        <f t="shared" si="0"/>
        <v>4.0461988409413703</v>
      </c>
      <c r="BN7" s="471">
        <f t="shared" si="0"/>
        <v>10</v>
      </c>
      <c r="BO7" s="471">
        <f t="shared" si="0"/>
        <v>9.266161350459889</v>
      </c>
      <c r="BP7" s="471">
        <f t="shared" si="0"/>
        <v>4.0941909406880228</v>
      </c>
      <c r="BQ7" s="471">
        <f t="shared" si="0"/>
        <v>5.9040250430517371</v>
      </c>
      <c r="BR7" s="471">
        <f t="shared" si="0"/>
        <v>9.5837912515475168</v>
      </c>
      <c r="BS7" s="471">
        <f t="shared" si="0"/>
        <v>7.781038579014111</v>
      </c>
      <c r="BT7" s="471">
        <f t="shared" si="0"/>
        <v>4.9866500992749101</v>
      </c>
      <c r="BU7" s="471">
        <f t="shared" si="0"/>
        <v>7.0150828601317929</v>
      </c>
      <c r="BV7" s="471">
        <f t="shared" ref="BV7:CJ7" si="1">SUMPRODUCT(BV4:BV6,$C4:$C6)/SUM($C4:$C6)</f>
        <v>7.6095141451813673</v>
      </c>
      <c r="BW7" s="471">
        <f t="shared" si="1"/>
        <v>6.1368884113272966</v>
      </c>
      <c r="BX7" s="471">
        <f t="shared" si="1"/>
        <v>4.3946594182505923</v>
      </c>
      <c r="BY7" s="471">
        <f t="shared" si="1"/>
        <v>9.8606807949257949</v>
      </c>
      <c r="BZ7" s="471">
        <f t="shared" si="1"/>
        <v>5.2449027502728391</v>
      </c>
      <c r="CA7" s="471">
        <f t="shared" si="1"/>
        <v>3.2220095970240554</v>
      </c>
      <c r="CB7" s="471">
        <f t="shared" si="1"/>
        <v>3.4366165167849303</v>
      </c>
      <c r="CC7" s="471">
        <f t="shared" si="1"/>
        <v>0.81147051948379367</v>
      </c>
      <c r="CD7" s="471">
        <f t="shared" si="1"/>
        <v>8.9467022663359455</v>
      </c>
      <c r="CE7" s="471">
        <f t="shared" si="1"/>
        <v>6.1466418919334789</v>
      </c>
      <c r="CF7" s="471">
        <f t="shared" si="1"/>
        <v>4.7348445675618347</v>
      </c>
      <c r="CG7" s="471">
        <f t="shared" si="1"/>
        <v>5.6169841488384726</v>
      </c>
      <c r="CH7" s="471">
        <f t="shared" si="1"/>
        <v>4.2327676427638021</v>
      </c>
      <c r="CI7" s="471">
        <f t="shared" si="1"/>
        <v>2.6899530508047609</v>
      </c>
      <c r="CJ7" s="471">
        <f t="shared" si="1"/>
        <v>2.6778734083243774</v>
      </c>
      <c r="CL7" s="585"/>
      <c r="CM7" s="462">
        <f t="shared" ref="CM7" si="2">SUMPRODUCT(CM4:CM6,$C4:$C6)/SUM($C4:$C6)</f>
        <v>6.6023916741365394</v>
      </c>
      <c r="CN7" s="462">
        <f t="shared" ref="CN7" si="3">SUMPRODUCT(CN4:CN6,$C4:$C6)/SUM($C4:$C6)</f>
        <v>5.8996068762762226</v>
      </c>
      <c r="CO7" s="462">
        <f t="shared" ref="CO7" si="4">SUMPRODUCT(CO4:CO6,$C4:$C6)/SUM($C4:$C6)</f>
        <v>4.5335643253840505</v>
      </c>
      <c r="CP7" s="462">
        <f t="shared" ref="CP7" si="5">SUMPRODUCT(CP4:CP6,$C4:$C6)/SUM($C4:$C6)</f>
        <v>6.6186735647779811</v>
      </c>
      <c r="CQ7" s="462">
        <f t="shared" ref="CQ7" si="6">SUMPRODUCT(CQ4:CQ6,$C4:$C6)/SUM($C4:$C6)</f>
        <v>4.6598374315432336</v>
      </c>
      <c r="CR7" s="462">
        <f t="shared" ref="CR7" si="7">SUMPRODUCT(CR4:CR6,$C4:$C6)/SUM($C4:$C6)</f>
        <v>7.4542218189964746</v>
      </c>
      <c r="CS7" s="462">
        <f t="shared" ref="CS7" si="8">SUMPRODUCT(CS4:CS6,$C4:$C6)/SUM($C4:$C6)</f>
        <v>3.7417387112333138</v>
      </c>
      <c r="CT7" s="462">
        <f t="shared" ref="CT7" si="9">SUMPRODUCT(CT4:CT6,$C4:$C6)/SUM($C4:$C6)</f>
        <v>4.8628594717857609</v>
      </c>
      <c r="CU7" s="462">
        <f t="shared" ref="CU7" si="10">SUMPRODUCT(CU4:CU6,$C4:$C6)/SUM($C4:$C6)</f>
        <v>3.3406657789852225</v>
      </c>
      <c r="CV7" s="462">
        <f t="shared" ref="CV7:CY7" si="11">SUMPRODUCT(CV4:CV6,$C4:$C6)/SUM($C4:$C6)</f>
        <v>3.6777316561342981</v>
      </c>
      <c r="CW7" s="462">
        <f t="shared" si="11"/>
        <v>4.7237085403730905</v>
      </c>
      <c r="CX7" s="462">
        <f t="shared" si="11"/>
        <v>4.680819072866889</v>
      </c>
      <c r="CY7" s="462">
        <f t="shared" si="11"/>
        <v>5.5807981416303942</v>
      </c>
      <c r="CZ7" s="462">
        <f t="shared" ref="CZ7" si="12">SUMPRODUCT(CZ4:CZ6,$C4:$C6)/SUM($C4:$C6)</f>
        <v>5.9353966580326061</v>
      </c>
      <c r="DA7" s="462">
        <f t="shared" ref="DA7" si="13">SUMPRODUCT(DA4:DA6,$C4:$C6)/SUM($C4:$C6)</f>
        <v>4.0962314014750127</v>
      </c>
      <c r="DB7" s="462">
        <f t="shared" ref="DB7" si="14">SUMPRODUCT(DB4:DB6,$C4:$C6)/SUM($C4:$C6)</f>
        <v>5.2429698556485596</v>
      </c>
    </row>
    <row r="8" spans="1:106" s="428" customFormat="1" ht="15.75" customHeight="1" thickBot="1" x14ac:dyDescent="0.3">
      <c r="A8" s="639">
        <f>'MD-ratings-year'!A8</f>
        <v>0.25</v>
      </c>
      <c r="B8" s="668" t="str">
        <f>'MD-ratings-year'!B8</f>
        <v>Profitability</v>
      </c>
      <c r="C8" s="425">
        <f>'MD-ratings-year'!C8</f>
        <v>0.1</v>
      </c>
      <c r="D8" s="426" t="str">
        <f>'MD-ratings-year'!D8</f>
        <v>ROA - Return on Assets</v>
      </c>
      <c r="E8" s="427" t="str">
        <f>'MD-ratings-year'!E8</f>
        <v>Net Profit ÷ Total Assets</v>
      </c>
      <c r="F8" s="422" t="s">
        <v>400</v>
      </c>
      <c r="G8" s="653"/>
      <c r="H8" s="243"/>
      <c r="I8" s="470">
        <f>'SK-ratings-year'!W8</f>
        <v>4.7330666567792932</v>
      </c>
      <c r="J8" s="470">
        <f>'SK-ratings-year'!X8</f>
        <v>5.8805912993450082</v>
      </c>
      <c r="K8" s="470">
        <f>'SK-ratings-year'!Y8</f>
        <v>6.1712884511270882</v>
      </c>
      <c r="L8" s="470">
        <f>'SK-ratings-year'!Z8</f>
        <v>7.9267676931347228</v>
      </c>
      <c r="M8" s="470">
        <f>'SK-ratings-year'!AA8</f>
        <v>8.9187135769582877</v>
      </c>
      <c r="N8" s="470">
        <f>'SK-ratings-year'!AB8</f>
        <v>5.0413212268432233</v>
      </c>
      <c r="O8" s="470">
        <f>'SK-ratings-year'!AC8</f>
        <v>7.2187643359137521</v>
      </c>
      <c r="P8" s="470">
        <f>'SK-ratings-year'!AD8</f>
        <v>10</v>
      </c>
      <c r="Q8" s="470">
        <f>'SK-ratings-year'!AE8</f>
        <v>7.9829590089524229</v>
      </c>
      <c r="R8" s="470">
        <f>'SK-ratings-year'!AF8</f>
        <v>3.3392724335092381</v>
      </c>
      <c r="S8" s="470">
        <f>'SK-ratings-year'!AG8</f>
        <v>10</v>
      </c>
      <c r="T8" s="470">
        <f>'SK-ratings-year'!AH8</f>
        <v>0.8726609968178245</v>
      </c>
      <c r="U8" s="470">
        <f>'SK-ratings-year'!AI8</f>
        <v>9.8049659621406775</v>
      </c>
      <c r="V8" s="470">
        <f>'SK-ratings-year'!AJ8</f>
        <v>9.5320958302056376</v>
      </c>
      <c r="W8" s="470">
        <f>'SK-ratings-year'!AK8</f>
        <v>6.9716819599241218</v>
      </c>
      <c r="X8" s="470">
        <f>'SK-ratings-year'!AL8</f>
        <v>10</v>
      </c>
      <c r="Y8" s="470">
        <f>'SK-ratings-year'!AM8</f>
        <v>10</v>
      </c>
      <c r="Z8" s="470">
        <f>'SK-ratings-year'!AN8</f>
        <v>6.9656557465100004</v>
      </c>
      <c r="AA8" s="470">
        <f>'SK-ratings-year'!AO8</f>
        <v>0</v>
      </c>
      <c r="AB8" s="470">
        <f>'SK-ratings-year'!AP8</f>
        <v>9.8088313662378432</v>
      </c>
      <c r="AC8" s="470">
        <f>'SK-ratings-year'!AQ8</f>
        <v>6.7744599755527037</v>
      </c>
      <c r="AD8" s="470">
        <f>'SK-ratings-year'!AR8</f>
        <v>5.8651130517416785</v>
      </c>
      <c r="AE8" s="470">
        <f>'SK-ratings-year'!AS8</f>
        <v>6.7621275862199681</v>
      </c>
      <c r="AF8" s="470">
        <f>'SK-ratings-year'!AT8</f>
        <v>0</v>
      </c>
      <c r="AG8" s="470">
        <f>'SK-ratings-year'!AU8</f>
        <v>1.6022789321286108</v>
      </c>
      <c r="AH8" s="470">
        <f>'SK-ratings-year'!AV8</f>
        <v>8.4787553639164823</v>
      </c>
      <c r="AI8" s="470">
        <f>'SK-ratings-year'!AW8</f>
        <v>2.1555233663988873</v>
      </c>
      <c r="AJ8" s="470">
        <f>'SK-ratings-year'!AX8</f>
        <v>2.3157624428509402</v>
      </c>
      <c r="AK8" s="470">
        <f>'SK-ratings-year'!AY8</f>
        <v>4.1429322588403554</v>
      </c>
      <c r="AL8" s="470">
        <f>'SK-ratings-year'!AZ8</f>
        <v>8.3073804963868092</v>
      </c>
      <c r="AM8" s="470">
        <f>'SK-ratings-year'!BA8</f>
        <v>2.2394418117701531</v>
      </c>
      <c r="AN8" s="470">
        <f>'SK-ratings-year'!BB8</f>
        <v>7.7732880086111971</v>
      </c>
      <c r="AO8" s="470">
        <f>'SK-ratings-year'!BC8</f>
        <v>9.5411563808968243</v>
      </c>
      <c r="AP8" s="470">
        <f>'SK-ratings-year'!BD8</f>
        <v>8.5120080965715452</v>
      </c>
      <c r="AQ8" s="470">
        <f>'SK-ratings-year'!BE8</f>
        <v>5.8252017636847686</v>
      </c>
      <c r="AR8" s="470">
        <f>'SK-ratings-year'!BF8</f>
        <v>5.1480817193833239</v>
      </c>
      <c r="AS8" s="470">
        <f>'SK-ratings-year'!BG8</f>
        <v>10</v>
      </c>
      <c r="AT8" s="470">
        <f>'SK-ratings-year'!BH8</f>
        <v>7.778439532212678</v>
      </c>
      <c r="AU8" s="470">
        <f>'SK-ratings-year'!BI8</f>
        <v>3.8772357425616253</v>
      </c>
      <c r="AV8" s="470">
        <f>'SK-ratings-year'!BJ8</f>
        <v>9.3826729047087039</v>
      </c>
      <c r="AW8" s="470">
        <f>'SK-ratings-year'!BK8</f>
        <v>0.67922779029464575</v>
      </c>
      <c r="AX8" s="470">
        <f>'SK-ratings-year'!BL8</f>
        <v>7.2187124176542872</v>
      </c>
      <c r="AY8" s="470">
        <f>'SK-ratings-year'!BM8</f>
        <v>8.1016189982177842</v>
      </c>
      <c r="AZ8" s="470">
        <f>'SK-ratings-year'!BN8</f>
        <v>7.6377153694437965</v>
      </c>
      <c r="BA8" s="470">
        <f>'SK-ratings-year'!BO8</f>
        <v>10</v>
      </c>
      <c r="BB8" s="470">
        <f>'SK-ratings-year'!BP8</f>
        <v>10</v>
      </c>
      <c r="BC8" s="470">
        <f>'SK-ratings-year'!BQ8</f>
        <v>5.8960164106539743</v>
      </c>
      <c r="BD8" s="470">
        <f>'SK-ratings-year'!BR8</f>
        <v>6.9284062243238056</v>
      </c>
      <c r="BE8" s="470">
        <f>'SK-ratings-year'!BS8</f>
        <v>9.2211264666061581</v>
      </c>
      <c r="BF8" s="470">
        <f>'SK-ratings-year'!BT8</f>
        <v>8.043775141168803</v>
      </c>
      <c r="BG8" s="470">
        <f>'SK-ratings-year'!BU8</f>
        <v>9.6057006874319235</v>
      </c>
      <c r="BH8" s="470">
        <f>'SK-ratings-year'!BV8</f>
        <v>8.7443617541080343</v>
      </c>
      <c r="BI8" s="470">
        <f>'SK-ratings-year'!BW8</f>
        <v>6.178948356935523</v>
      </c>
      <c r="BJ8" s="470">
        <f>'SK-ratings-year'!BX8</f>
        <v>5.7437751837552602</v>
      </c>
      <c r="BK8" s="470">
        <f>'SK-ratings-year'!BY8</f>
        <v>10</v>
      </c>
      <c r="BL8" s="470">
        <f>'SK-ratings-year'!BZ8</f>
        <v>4.1361679427124782</v>
      </c>
      <c r="BM8" s="470">
        <f>'SK-ratings-year'!CA8</f>
        <v>8.5079739864206196</v>
      </c>
      <c r="BN8" s="470">
        <f>'SK-ratings-year'!CB8</f>
        <v>6.5670729652794702</v>
      </c>
      <c r="BO8" s="470">
        <f>'SK-ratings-year'!CC8</f>
        <v>6.0851955324264466</v>
      </c>
      <c r="BP8" s="470">
        <f>'SK-ratings-year'!CD8</f>
        <v>9.2745126752328382</v>
      </c>
      <c r="BQ8" s="470">
        <f>'SK-ratings-year'!CE8</f>
        <v>7.3393191071646191</v>
      </c>
      <c r="BR8" s="470">
        <f>'SK-ratings-year'!CF8</f>
        <v>8.9350837703734083</v>
      </c>
      <c r="BS8" s="470">
        <f>'SK-ratings-year'!CG8</f>
        <v>7.9239907151387463</v>
      </c>
      <c r="BT8" s="470">
        <f>'SK-ratings-year'!CH8</f>
        <v>9.0644513429425011</v>
      </c>
      <c r="BU8" s="470">
        <f>'SK-ratings-year'!CI8</f>
        <v>8.2797478865263194</v>
      </c>
      <c r="BV8" s="470">
        <f>'SK-ratings-year'!CJ8</f>
        <v>10</v>
      </c>
      <c r="BW8" s="470">
        <f>'SK-ratings-year'!CK8</f>
        <v>7.697262125682073</v>
      </c>
      <c r="BX8" s="470">
        <f>'SK-ratings-year'!CL8</f>
        <v>9.4569652949462277</v>
      </c>
      <c r="BY8" s="470">
        <f>'SK-ratings-year'!CM8</f>
        <v>5.4317739039942952</v>
      </c>
      <c r="BZ8" s="470">
        <f>'SK-ratings-year'!CN8</f>
        <v>5.2529333795204831</v>
      </c>
      <c r="CA8" s="470">
        <f>'SK-ratings-year'!CO8</f>
        <v>5.778050702634884</v>
      </c>
      <c r="CB8" s="470">
        <f>'SK-ratings-year'!CP8</f>
        <v>9.2923088067237281</v>
      </c>
      <c r="CC8" s="470">
        <f>'SK-ratings-year'!CQ8</f>
        <v>7.9656822699032928</v>
      </c>
      <c r="CD8" s="470">
        <f>'SK-ratings-year'!CR8</f>
        <v>8.6214934305869235</v>
      </c>
      <c r="CE8" s="470">
        <f>'SK-ratings-year'!CS8</f>
        <v>7.7617225548071911</v>
      </c>
      <c r="CF8" s="470">
        <f>'SK-ratings-year'!CT8</f>
        <v>9.0925606409354458</v>
      </c>
      <c r="CG8" s="470">
        <f>'SK-ratings-year'!CU8</f>
        <v>5.2535555024776945</v>
      </c>
      <c r="CH8" s="470">
        <f>'SK-ratings-year'!CV8</f>
        <v>6.1886120689429829</v>
      </c>
      <c r="CI8" s="470">
        <f>'SK-ratings-year'!CW8</f>
        <v>5.0775969613220377</v>
      </c>
      <c r="CJ8" s="470">
        <f>'SK-ratings-year'!CX8</f>
        <v>3.6827460076801932</v>
      </c>
      <c r="CL8" s="546"/>
      <c r="CM8" s="455">
        <f>'SK-ratings-year'!DA8</f>
        <v>6.7096422230997312</v>
      </c>
      <c r="CN8" s="455">
        <f>'SK-ratings-year'!DB8</f>
        <v>9.2598601377954353</v>
      </c>
      <c r="CO8" s="455">
        <f>'SK-ratings-year'!DC8</f>
        <v>5.5482214888588448</v>
      </c>
      <c r="CP8" s="455">
        <f>'SK-ratings-year'!DD8</f>
        <v>6.2756523143570666</v>
      </c>
      <c r="CQ8" s="455">
        <f>'SK-ratings-year'!DE8</f>
        <v>7.6326396086391579</v>
      </c>
      <c r="CR8" s="455">
        <f>'SK-ratings-year'!DF8</f>
        <v>6.7816339038336855</v>
      </c>
      <c r="CS8" s="455">
        <f>'SK-ratings-year'!DG8</f>
        <v>8.3402066142737095</v>
      </c>
      <c r="CT8" s="455">
        <f>'SK-ratings-year'!DH8</f>
        <v>7.9138566990395613</v>
      </c>
      <c r="CU8" s="455">
        <f>'SK-ratings-year'!DI8</f>
        <v>8.0798708705009012</v>
      </c>
      <c r="CV8" s="455">
        <f>'SK-ratings-year'!DJ8</f>
        <v>9.4681131222241124</v>
      </c>
      <c r="CW8" s="455">
        <f>'SK-ratings-year'!DK8</f>
        <v>8.7587085542856311</v>
      </c>
      <c r="CX8" s="455">
        <f>'SK-ratings-year'!DL8</f>
        <v>6.6060901495973576</v>
      </c>
      <c r="CY8" s="455">
        <f>'SK-ratings-year'!DM8</f>
        <v>6.8468999195410341</v>
      </c>
      <c r="CZ8" s="455">
        <f>'SK-ratings-year'!DN8</f>
        <v>6.9875542976421956</v>
      </c>
      <c r="DA8" s="455">
        <f>'SK-ratings-year'!DO8</f>
        <v>8.2119825821470904</v>
      </c>
      <c r="DB8" s="455">
        <f>'SK-ratings-year'!DP8</f>
        <v>7.448538952917386</v>
      </c>
    </row>
    <row r="9" spans="1:106" ht="15.75" customHeight="1" thickBot="1" x14ac:dyDescent="0.3">
      <c r="A9" s="640"/>
      <c r="B9" s="669"/>
      <c r="C9" s="418">
        <f>'MD-ratings-year'!C9</f>
        <v>0.05</v>
      </c>
      <c r="D9" s="419" t="str">
        <f>'MD-ratings-year'!D9</f>
        <v>ROE - Return on Equity</v>
      </c>
      <c r="E9" s="420" t="str">
        <f>'MD-ratings-year'!E9</f>
        <v>Net Profit ÷ Equity</v>
      </c>
      <c r="F9" s="422" t="s">
        <v>400</v>
      </c>
      <c r="G9" s="653"/>
      <c r="H9" s="224"/>
      <c r="I9" s="472">
        <f>'SK-ratings-year'!W9</f>
        <v>4.869863332544039</v>
      </c>
      <c r="J9" s="472">
        <f>'SK-ratings-year'!X9</f>
        <v>5.4421923810170716</v>
      </c>
      <c r="K9" s="472">
        <f>'SK-ratings-year'!Y9</f>
        <v>6.0044500744701086</v>
      </c>
      <c r="L9" s="472">
        <f>'SK-ratings-year'!Z9</f>
        <v>8.2110782619142419</v>
      </c>
      <c r="M9" s="472">
        <f>'SK-ratings-year'!AA9</f>
        <v>8.4896400885119796</v>
      </c>
      <c r="N9" s="472">
        <f>'SK-ratings-year'!AB9</f>
        <v>5.0198318682925942</v>
      </c>
      <c r="O9" s="472">
        <f>'SK-ratings-year'!AC9</f>
        <v>6.5211495366861332</v>
      </c>
      <c r="P9" s="472">
        <f>'SK-ratings-year'!AD9</f>
        <v>9.5001367954054814</v>
      </c>
      <c r="Q9" s="472">
        <f>'SK-ratings-year'!AE9</f>
        <v>8.2543785025016874</v>
      </c>
      <c r="R9" s="472">
        <f>'SK-ratings-year'!AF9</f>
        <v>1.3593812673458183</v>
      </c>
      <c r="S9" s="472">
        <f>'SK-ratings-year'!AG9</f>
        <v>9.9199468131458275</v>
      </c>
      <c r="T9" s="472">
        <f>'SK-ratings-year'!AH9</f>
        <v>2.1347872336572</v>
      </c>
      <c r="U9" s="472">
        <f>'SK-ratings-year'!AI9</f>
        <v>9.5148040256894184</v>
      </c>
      <c r="V9" s="472">
        <f>'SK-ratings-year'!AJ9</f>
        <v>10</v>
      </c>
      <c r="W9" s="472">
        <f>'SK-ratings-year'!AK9</f>
        <v>6.8044395531748902</v>
      </c>
      <c r="X9" s="472">
        <f>'SK-ratings-year'!AL9</f>
        <v>10</v>
      </c>
      <c r="Y9" s="472">
        <f>'SK-ratings-year'!AM9</f>
        <v>10</v>
      </c>
      <c r="Z9" s="472">
        <f>'SK-ratings-year'!AN9</f>
        <v>6.1807865592599516</v>
      </c>
      <c r="AA9" s="472">
        <f>'SK-ratings-year'!AO9</f>
        <v>1.1916075814410214</v>
      </c>
      <c r="AB9" s="472">
        <f>'SK-ratings-year'!AP9</f>
        <v>10</v>
      </c>
      <c r="AC9" s="472">
        <f>'SK-ratings-year'!AQ9</f>
        <v>7.9688703081059806</v>
      </c>
      <c r="AD9" s="472">
        <f>'SK-ratings-year'!AR9</f>
        <v>5.437939331871827</v>
      </c>
      <c r="AE9" s="472">
        <f>'SK-ratings-year'!AS9</f>
        <v>6.0735346682807467</v>
      </c>
      <c r="AF9" s="472">
        <f>'SK-ratings-year'!AT9</f>
        <v>0.89387370797101795</v>
      </c>
      <c r="AG9" s="472">
        <f>'SK-ratings-year'!AU9</f>
        <v>2.5668652691123235</v>
      </c>
      <c r="AH9" s="472">
        <f>'SK-ratings-year'!AV9</f>
        <v>7.3588805247996962</v>
      </c>
      <c r="AI9" s="472">
        <f>'SK-ratings-year'!AW9</f>
        <v>2.9059986444047352</v>
      </c>
      <c r="AJ9" s="472">
        <f>'SK-ratings-year'!AX9</f>
        <v>3.2340296015441679</v>
      </c>
      <c r="AK9" s="472">
        <f>'SK-ratings-year'!AY9</f>
        <v>4.5073935299683976</v>
      </c>
      <c r="AL9" s="472">
        <f>'SK-ratings-year'!AZ9</f>
        <v>7.7985250335008178</v>
      </c>
      <c r="AM9" s="472">
        <f>'SK-ratings-year'!BA9</f>
        <v>0.82357314029781747</v>
      </c>
      <c r="AN9" s="472">
        <f>'SK-ratings-year'!BB9</f>
        <v>7.0718364221475589</v>
      </c>
      <c r="AO9" s="472">
        <f>'SK-ratings-year'!BC9</f>
        <v>10</v>
      </c>
      <c r="AP9" s="472">
        <f>'SK-ratings-year'!BD9</f>
        <v>7.8738001623089584</v>
      </c>
      <c r="AQ9" s="472">
        <f>'SK-ratings-year'!BE9</f>
        <v>5.7827307835372164</v>
      </c>
      <c r="AR9" s="472">
        <f>'SK-ratings-year'!BF9</f>
        <v>5.0730883252416792</v>
      </c>
      <c r="AS9" s="472">
        <f>'SK-ratings-year'!BG9</f>
        <v>10</v>
      </c>
      <c r="AT9" s="472">
        <f>'SK-ratings-year'!BH9</f>
        <v>7.2772493554279833</v>
      </c>
      <c r="AU9" s="472">
        <f>'SK-ratings-year'!BI9</f>
        <v>3.9321820885618939</v>
      </c>
      <c r="AV9" s="472">
        <f>'SK-ratings-year'!BJ9</f>
        <v>10</v>
      </c>
      <c r="AW9" s="472">
        <f>'SK-ratings-year'!BK9</f>
        <v>1.8674150203052871</v>
      </c>
      <c r="AX9" s="472">
        <f>'SK-ratings-year'!BL9</f>
        <v>2.8458197344464353</v>
      </c>
      <c r="AY9" s="472">
        <f>'SK-ratings-year'!BM9</f>
        <v>7.165813846265304</v>
      </c>
      <c r="AZ9" s="472">
        <f>'SK-ratings-year'!BN9</f>
        <v>6.8284463835001432</v>
      </c>
      <c r="BA9" s="472">
        <f>'SK-ratings-year'!BO9</f>
        <v>9.5338939269790117</v>
      </c>
      <c r="BB9" s="472">
        <f>'SK-ratings-year'!BP9</f>
        <v>10</v>
      </c>
      <c r="BC9" s="472">
        <f>'SK-ratings-year'!BQ9</f>
        <v>5.4849185361402784</v>
      </c>
      <c r="BD9" s="472">
        <f>'SK-ratings-year'!BR9</f>
        <v>6.454800590963556</v>
      </c>
      <c r="BE9" s="472">
        <f>'SK-ratings-year'!BS9</f>
        <v>8.6103650244069279</v>
      </c>
      <c r="BF9" s="472">
        <f>'SK-ratings-year'!BT9</f>
        <v>8.1002506347048211</v>
      </c>
      <c r="BG9" s="472">
        <f>'SK-ratings-year'!BU9</f>
        <v>8.8221492826300132</v>
      </c>
      <c r="BH9" s="472">
        <f>'SK-ratings-year'!BV9</f>
        <v>8.7321684126123529</v>
      </c>
      <c r="BI9" s="472">
        <f>'SK-ratings-year'!BW9</f>
        <v>6.016247451397402</v>
      </c>
      <c r="BJ9" s="472">
        <f>'SK-ratings-year'!BX9</f>
        <v>5.7289308059962325</v>
      </c>
      <c r="BK9" s="472">
        <f>'SK-ratings-year'!BY9</f>
        <v>9.2608763864219465</v>
      </c>
      <c r="BL9" s="472">
        <f>'SK-ratings-year'!BZ9</f>
        <v>4.4066564992547512</v>
      </c>
      <c r="BM9" s="472">
        <f>'SK-ratings-year'!CA9</f>
        <v>7.8333494634001379</v>
      </c>
      <c r="BN9" s="472">
        <f>'SK-ratings-year'!CB9</f>
        <v>5.9037858416975659</v>
      </c>
      <c r="BO9" s="472">
        <f>'SK-ratings-year'!CC9</f>
        <v>5.5786402305774798</v>
      </c>
      <c r="BP9" s="472">
        <f>'SK-ratings-year'!CD9</f>
        <v>8.2345812999890562</v>
      </c>
      <c r="BQ9" s="472">
        <f>'SK-ratings-year'!CE9</f>
        <v>6.9709188956248109</v>
      </c>
      <c r="BR9" s="472">
        <f>'SK-ratings-year'!CF9</f>
        <v>7.8162935898599741</v>
      </c>
      <c r="BS9" s="472">
        <f>'SK-ratings-year'!CG9</f>
        <v>7.1775415023568776</v>
      </c>
      <c r="BT9" s="472">
        <f>'SK-ratings-year'!CH9</f>
        <v>7.9989361732805317</v>
      </c>
      <c r="BU9" s="472">
        <f>'SK-ratings-year'!CI9</f>
        <v>7.4419613692422075</v>
      </c>
      <c r="BV9" s="472">
        <f>'SK-ratings-year'!CJ9</f>
        <v>10</v>
      </c>
      <c r="BW9" s="472">
        <f>'SK-ratings-year'!CK9</f>
        <v>6.7746447866014359</v>
      </c>
      <c r="BX9" s="472">
        <f>'SK-ratings-year'!CL9</f>
        <v>10</v>
      </c>
      <c r="BY9" s="472">
        <f>'SK-ratings-year'!CM9</f>
        <v>5.1979067813567701</v>
      </c>
      <c r="BZ9" s="472">
        <f>'SK-ratings-year'!CN9</f>
        <v>5.2880580999945375</v>
      </c>
      <c r="CA9" s="472">
        <f>'SK-ratings-year'!CO9</f>
        <v>5.466510957702341</v>
      </c>
      <c r="CB9" s="472">
        <f>'SK-ratings-year'!CP9</f>
        <v>9.5330084653451657</v>
      </c>
      <c r="CC9" s="472">
        <f>'SK-ratings-year'!CQ9</f>
        <v>7.2597021421596963</v>
      </c>
      <c r="CD9" s="472">
        <f>'SK-ratings-year'!CR9</f>
        <v>7.6558086833229275</v>
      </c>
      <c r="CE9" s="472">
        <f>'SK-ratings-year'!CS9</f>
        <v>7.2172812152773975</v>
      </c>
      <c r="CF9" s="472">
        <f>'SK-ratings-year'!CT9</f>
        <v>9.2743019869938621</v>
      </c>
      <c r="CG9" s="472">
        <f>'SK-ratings-year'!CU9</f>
        <v>5.1771672447531945</v>
      </c>
      <c r="CH9" s="472">
        <f>'SK-ratings-year'!CV9</f>
        <v>6.0868613745661149</v>
      </c>
      <c r="CI9" s="472">
        <f>'SK-ratings-year'!CW9</f>
        <v>5.0988200459328921</v>
      </c>
      <c r="CJ9" s="472">
        <f>'SK-ratings-year'!CX9</f>
        <v>2.6051948486833059</v>
      </c>
      <c r="CM9" s="456">
        <f>'SK-ratings-year'!DA9</f>
        <v>6.0824062057285904</v>
      </c>
      <c r="CN9" s="456">
        <f>'SK-ratings-year'!DB9</f>
        <v>8.6979071579542406</v>
      </c>
      <c r="CO9" s="456">
        <f>'SK-ratings-year'!DC9</f>
        <v>5.2264357647508533</v>
      </c>
      <c r="CP9" s="456">
        <f>'SK-ratings-year'!DD9</f>
        <v>5.9539373761633874</v>
      </c>
      <c r="CQ9" s="456">
        <f>'SK-ratings-year'!DE9</f>
        <v>7.3734446158602207</v>
      </c>
      <c r="CR9" s="456">
        <f>'SK-ratings-year'!DF9</f>
        <v>6.8243736194464368</v>
      </c>
      <c r="CS9" s="456">
        <f>'SK-ratings-year'!DG9</f>
        <v>8.4472674232521996</v>
      </c>
      <c r="CT9" s="456">
        <f>'SK-ratings-year'!DH9</f>
        <v>7.4756231464646907</v>
      </c>
      <c r="CU9" s="456">
        <f>'SK-ratings-year'!DI9</f>
        <v>7.4262807388734524</v>
      </c>
      <c r="CV9" s="456">
        <f>'SK-ratings-year'!DJ9</f>
        <v>9.1251527374198815</v>
      </c>
      <c r="CW9" s="456">
        <f>'SK-ratings-year'!DK9</f>
        <v>8.5613247421598668</v>
      </c>
      <c r="CX9" s="456">
        <f>'SK-ratings-year'!DL9</f>
        <v>6.2322310932122589</v>
      </c>
      <c r="CY9" s="456">
        <f>'SK-ratings-year'!DM9</f>
        <v>6.4201074070017041</v>
      </c>
      <c r="CZ9" s="456">
        <f>'SK-ratings-year'!DN9</f>
        <v>6.664722364512186</v>
      </c>
      <c r="DA9" s="456">
        <f>'SK-ratings-year'!DO9</f>
        <v>8.0034769062466697</v>
      </c>
      <c r="DB9" s="456">
        <f>'SK-ratings-year'!DP9</f>
        <v>7.1687496797331098</v>
      </c>
    </row>
    <row r="10" spans="1:106" ht="15.75" customHeight="1" thickBot="1" x14ac:dyDescent="0.3">
      <c r="A10" s="640"/>
      <c r="B10" s="669"/>
      <c r="C10" s="418">
        <f>'MD-ratings-year'!C10</f>
        <v>0.1</v>
      </c>
      <c r="D10" s="419" t="str">
        <f>'MD-ratings-year'!D10</f>
        <v>ROS – Return on Sales</v>
      </c>
      <c r="E10" s="420" t="str">
        <f>'MD-ratings-year'!E10</f>
        <v>Net Profit ÷ Sales</v>
      </c>
      <c r="F10" s="422" t="s">
        <v>400</v>
      </c>
      <c r="G10" s="653"/>
      <c r="H10" s="224"/>
      <c r="I10" s="472">
        <f>'SK-ratings-year'!W10</f>
        <v>4.6928379112002911</v>
      </c>
      <c r="J10" s="472">
        <f>'SK-ratings-year'!X10</f>
        <v>6.6591594700702403</v>
      </c>
      <c r="K10" s="472">
        <f>'SK-ratings-year'!Y10</f>
        <v>5.9265481424032194</v>
      </c>
      <c r="L10" s="472">
        <f>'SK-ratings-year'!Z10</f>
        <v>7.7264282853192778</v>
      </c>
      <c r="M10" s="472">
        <f>'SK-ratings-year'!AA10</f>
        <v>10</v>
      </c>
      <c r="N10" s="472">
        <f>'SK-ratings-year'!AB10</f>
        <v>5.0346030703560674</v>
      </c>
      <c r="O10" s="472">
        <f>'SK-ratings-year'!AC10</f>
        <v>6.9395223046095911</v>
      </c>
      <c r="P10" s="472">
        <f>'SK-ratings-year'!AD10</f>
        <v>8.52773171727668</v>
      </c>
      <c r="Q10" s="472">
        <f>'SK-ratings-year'!AE10</f>
        <v>5.879019550799967</v>
      </c>
      <c r="R10" s="472">
        <f>'SK-ratings-year'!AF10</f>
        <v>4.7073132593009666</v>
      </c>
      <c r="S10" s="472">
        <f>'SK-ratings-year'!AG10</f>
        <v>9.0098740616762036</v>
      </c>
      <c r="T10" s="472">
        <f>'SK-ratings-year'!AH10</f>
        <v>0</v>
      </c>
      <c r="U10" s="472">
        <f>'SK-ratings-year'!AI10</f>
        <v>8.2891388394173173</v>
      </c>
      <c r="V10" s="472">
        <f>'SK-ratings-year'!AJ10</f>
        <v>6.4585223145341368</v>
      </c>
      <c r="W10" s="472">
        <f>'SK-ratings-year'!AK10</f>
        <v>7.8606185518596696</v>
      </c>
      <c r="X10" s="472">
        <f>'SK-ratings-year'!AL10</f>
        <v>10</v>
      </c>
      <c r="Y10" s="472">
        <f>'SK-ratings-year'!AM10</f>
        <v>9.7058498180999067</v>
      </c>
      <c r="Z10" s="472">
        <f>'SK-ratings-year'!AN10</f>
        <v>7.7574269907557625</v>
      </c>
      <c r="AA10" s="472">
        <f>'SK-ratings-year'!AO10</f>
        <v>0</v>
      </c>
      <c r="AB10" s="472">
        <f>'SK-ratings-year'!AP10</f>
        <v>6.8188272026666921</v>
      </c>
      <c r="AC10" s="472">
        <f>'SK-ratings-year'!AQ10</f>
        <v>10</v>
      </c>
      <c r="AD10" s="472">
        <f>'SK-ratings-year'!AR10</f>
        <v>6.6494505187389139</v>
      </c>
      <c r="AE10" s="472">
        <f>'SK-ratings-year'!AS10</f>
        <v>7.8413523149395195</v>
      </c>
      <c r="AF10" s="472">
        <f>'SK-ratings-year'!AT10</f>
        <v>0.67146456173547531</v>
      </c>
      <c r="AG10" s="472">
        <f>'SK-ratings-year'!AU10</f>
        <v>0.23721561414989889</v>
      </c>
      <c r="AH10" s="472">
        <f>'SK-ratings-year'!AV10</f>
        <v>10</v>
      </c>
      <c r="AI10" s="472">
        <f>'SK-ratings-year'!AW10</f>
        <v>0</v>
      </c>
      <c r="AJ10" s="472">
        <f>'SK-ratings-year'!AX10</f>
        <v>0</v>
      </c>
      <c r="AK10" s="472">
        <f>'SK-ratings-year'!AY10</f>
        <v>1.6233855448255796</v>
      </c>
      <c r="AL10" s="472">
        <f>'SK-ratings-year'!AZ10</f>
        <v>8.6846650426211216</v>
      </c>
      <c r="AM10" s="472">
        <f>'SK-ratings-year'!BA10</f>
        <v>0</v>
      </c>
      <c r="AN10" s="472">
        <f>'SK-ratings-year'!BB10</f>
        <v>7.6446101716308021</v>
      </c>
      <c r="AO10" s="472">
        <f>'SK-ratings-year'!BC10</f>
        <v>6.5727400443889881</v>
      </c>
      <c r="AP10" s="472">
        <f>'SK-ratings-year'!BD10</f>
        <v>8.058524991068662</v>
      </c>
      <c r="AQ10" s="472">
        <f>'SK-ratings-year'!BE10</f>
        <v>8.9048682137054822</v>
      </c>
      <c r="AR10" s="472">
        <f>'SK-ratings-year'!BF10</f>
        <v>5.1156239322309478</v>
      </c>
      <c r="AS10" s="472">
        <f>'SK-ratings-year'!BG10</f>
        <v>9.00286475512309</v>
      </c>
      <c r="AT10" s="472">
        <f>'SK-ratings-year'!BH10</f>
        <v>7.447501125929394</v>
      </c>
      <c r="AU10" s="472">
        <f>'SK-ratings-year'!BI10</f>
        <v>4.5487381677019796</v>
      </c>
      <c r="AV10" s="472">
        <f>'SK-ratings-year'!BJ10</f>
        <v>6.746706823646865</v>
      </c>
      <c r="AW10" s="472">
        <f>'SK-ratings-year'!BK10</f>
        <v>0</v>
      </c>
      <c r="AX10" s="472">
        <f>'SK-ratings-year'!BL10</f>
        <v>5.5325748786306015</v>
      </c>
      <c r="AY10" s="472">
        <f>'SK-ratings-year'!BM10</f>
        <v>6.400805423471648</v>
      </c>
      <c r="AZ10" s="472">
        <f>'SK-ratings-year'!BN10</f>
        <v>5.6774851172918392</v>
      </c>
      <c r="BA10" s="472">
        <f>'SK-ratings-year'!BO10</f>
        <v>9.0752359899382249</v>
      </c>
      <c r="BB10" s="472">
        <f>'SK-ratings-year'!BP10</f>
        <v>8.1692601027612035</v>
      </c>
      <c r="BC10" s="472">
        <f>'SK-ratings-year'!BQ10</f>
        <v>5.753436705470877</v>
      </c>
      <c r="BD10" s="472">
        <f>'SK-ratings-year'!BR10</f>
        <v>7.8569826744609017</v>
      </c>
      <c r="BE10" s="472">
        <f>'SK-ratings-year'!BS10</f>
        <v>8.2351731169308771</v>
      </c>
      <c r="BF10" s="472">
        <f>'SK-ratings-year'!BT10</f>
        <v>7.7842181536260888</v>
      </c>
      <c r="BG10" s="472">
        <f>'SK-ratings-year'!BU10</f>
        <v>10</v>
      </c>
      <c r="BH10" s="472">
        <f>'SK-ratings-year'!BV10</f>
        <v>10</v>
      </c>
      <c r="BI10" s="472">
        <f>'SK-ratings-year'!BW10</f>
        <v>6.028007683370217</v>
      </c>
      <c r="BJ10" s="472">
        <f>'SK-ratings-year'!BX10</f>
        <v>6.3955670781153824</v>
      </c>
      <c r="BK10" s="472">
        <f>'SK-ratings-year'!BY10</f>
        <v>10</v>
      </c>
      <c r="BL10" s="472">
        <f>'SK-ratings-year'!BZ10</f>
        <v>1.3387520760150293</v>
      </c>
      <c r="BM10" s="472">
        <f>'SK-ratings-year'!CA10</f>
        <v>8.2689993761661889</v>
      </c>
      <c r="BN10" s="472">
        <f>'SK-ratings-year'!CB10</f>
        <v>6.8444118689208544</v>
      </c>
      <c r="BO10" s="472">
        <f>'SK-ratings-year'!CC10</f>
        <v>8.5592218300024854</v>
      </c>
      <c r="BP10" s="472">
        <f>'SK-ratings-year'!CD10</f>
        <v>9.3233376137042967</v>
      </c>
      <c r="BQ10" s="472">
        <f>'SK-ratings-year'!CE10</f>
        <v>6.8734948958311008</v>
      </c>
      <c r="BR10" s="472">
        <f>'SK-ratings-year'!CF10</f>
        <v>8.7243752714882739</v>
      </c>
      <c r="BS10" s="472">
        <f>'SK-ratings-year'!CG10</f>
        <v>6.8840132614253466</v>
      </c>
      <c r="BT10" s="472">
        <f>'SK-ratings-year'!CH10</f>
        <v>9.4846278780956634</v>
      </c>
      <c r="BU10" s="472">
        <f>'SK-ratings-year'!CI10</f>
        <v>8.1810155861925171</v>
      </c>
      <c r="BV10" s="472">
        <f>'SK-ratings-year'!CJ10</f>
        <v>6.8831377057976706</v>
      </c>
      <c r="BW10" s="472">
        <f>'SK-ratings-year'!CK10</f>
        <v>9.7854824917859933</v>
      </c>
      <c r="BX10" s="472">
        <f>'SK-ratings-year'!CL10</f>
        <v>6.8039578471735052</v>
      </c>
      <c r="BY10" s="472">
        <f>'SK-ratings-year'!CM10</f>
        <v>10</v>
      </c>
      <c r="BZ10" s="472">
        <f>'SK-ratings-year'!CN10</f>
        <v>6.3928117939545501</v>
      </c>
      <c r="CA10" s="472">
        <f>'SK-ratings-year'!CO10</f>
        <v>6.7990751492137038</v>
      </c>
      <c r="CB10" s="472">
        <f>'SK-ratings-year'!CP10</f>
        <v>7.3458567601512019</v>
      </c>
      <c r="CC10" s="472">
        <f>'SK-ratings-year'!CQ10</f>
        <v>10</v>
      </c>
      <c r="CD10" s="472">
        <f>'SK-ratings-year'!CR10</f>
        <v>8.3892147962596404</v>
      </c>
      <c r="CE10" s="472">
        <f>'SK-ratings-year'!CS10</f>
        <v>6.9731579561714359</v>
      </c>
      <c r="CF10" s="472">
        <f>'SK-ratings-year'!CT10</f>
        <v>10</v>
      </c>
      <c r="CG10" s="472">
        <f>'SK-ratings-year'!CU10</f>
        <v>5.6834954196591223</v>
      </c>
      <c r="CH10" s="472">
        <f>'SK-ratings-year'!CV10</f>
        <v>9.4489397343973263</v>
      </c>
      <c r="CI10" s="472">
        <f>'SK-ratings-year'!CW10</f>
        <v>5.055310492455269</v>
      </c>
      <c r="CJ10" s="472">
        <f>'SK-ratings-year'!CX10</f>
        <v>3.0248172757745557</v>
      </c>
      <c r="CM10" s="456">
        <f>'SK-ratings-year'!DA10</f>
        <v>7.1820081620501846</v>
      </c>
      <c r="CN10" s="456">
        <f>'SK-ratings-year'!DB10</f>
        <v>9.4646939070922329</v>
      </c>
      <c r="CO10" s="456">
        <f>'SK-ratings-year'!DC10</f>
        <v>6.3137441341889833</v>
      </c>
      <c r="CP10" s="456">
        <f>'SK-ratings-year'!DD10</f>
        <v>6.0645410982623424</v>
      </c>
      <c r="CQ10" s="456">
        <f>'SK-ratings-year'!DE10</f>
        <v>8.3129652652398693</v>
      </c>
      <c r="CR10" s="456">
        <f>'SK-ratings-year'!DF10</f>
        <v>6.1142535955256747</v>
      </c>
      <c r="CS10" s="456">
        <f>'SK-ratings-year'!DG10</f>
        <v>6.8405691587922766</v>
      </c>
      <c r="CT10" s="456">
        <f>'SK-ratings-year'!DH10</f>
        <v>7.630634944751475</v>
      </c>
      <c r="CU10" s="456">
        <f>'SK-ratings-year'!DI10</f>
        <v>6.7532708550203342</v>
      </c>
      <c r="CV10" s="456">
        <f>'SK-ratings-year'!DJ10</f>
        <v>8.9394145963921474</v>
      </c>
      <c r="CW10" s="456">
        <f>'SK-ratings-year'!DK10</f>
        <v>8.0347159433240947</v>
      </c>
      <c r="CX10" s="456">
        <f>'SK-ratings-year'!DL10</f>
        <v>6.9026335420373623</v>
      </c>
      <c r="CY10" s="456">
        <f>'SK-ratings-year'!DM10</f>
        <v>6.2826051586430482</v>
      </c>
      <c r="CZ10" s="456">
        <f>'SK-ratings-year'!DN10</f>
        <v>7.1499763029775449</v>
      </c>
      <c r="DA10" s="456">
        <f>'SK-ratings-year'!DO10</f>
        <v>7.2263715055447566</v>
      </c>
      <c r="DB10" s="456">
        <f>'SK-ratings-year'!DP10</f>
        <v>7.1787383109822596</v>
      </c>
    </row>
    <row r="11" spans="1:106" s="463" customFormat="1" ht="15.75" customHeight="1" thickBot="1" x14ac:dyDescent="0.3">
      <c r="A11" s="641"/>
      <c r="B11" s="670"/>
      <c r="C11" s="647" t="str">
        <f>'MD-ratings-year'!C11:E11</f>
        <v>Profitability total</v>
      </c>
      <c r="D11" s="648"/>
      <c r="E11" s="649"/>
      <c r="F11" s="424" t="s">
        <v>400</v>
      </c>
      <c r="G11" s="653"/>
      <c r="H11" s="270"/>
      <c r="I11" s="471">
        <f>SUMPRODUCT(I8:I10,$C8:$C10)/SUM($C8:$C10)</f>
        <v>4.7443344937006415</v>
      </c>
      <c r="J11" s="471">
        <f t="shared" ref="J11:BU11" si="15">SUMPRODUCT(J8:J10,$C8:$C10)/SUM($C8:$C10)</f>
        <v>6.1043387839695136</v>
      </c>
      <c r="K11" s="471">
        <f t="shared" si="15"/>
        <v>6.0400246523061449</v>
      </c>
      <c r="L11" s="471">
        <f t="shared" si="15"/>
        <v>7.9034940437644483</v>
      </c>
      <c r="M11" s="471">
        <f t="shared" si="15"/>
        <v>9.2654134484857114</v>
      </c>
      <c r="N11" s="471">
        <f t="shared" si="15"/>
        <v>5.0343360925382354</v>
      </c>
      <c r="O11" s="471">
        <f t="shared" si="15"/>
        <v>6.9675445635465643</v>
      </c>
      <c r="P11" s="471">
        <f t="shared" si="15"/>
        <v>9.3111200459917676</v>
      </c>
      <c r="Q11" s="471">
        <f t="shared" si="15"/>
        <v>7.1956671244012949</v>
      </c>
      <c r="R11" s="471">
        <f t="shared" si="15"/>
        <v>3.4905105305932458</v>
      </c>
      <c r="S11" s="471">
        <f t="shared" si="15"/>
        <v>9.5879389872996477</v>
      </c>
      <c r="T11" s="471">
        <f t="shared" si="15"/>
        <v>0.77602184545856989</v>
      </c>
      <c r="U11" s="471">
        <f t="shared" si="15"/>
        <v>9.1406027257610827</v>
      </c>
      <c r="V11" s="471">
        <f t="shared" si="15"/>
        <v>8.3962472578959098</v>
      </c>
      <c r="W11" s="471">
        <f t="shared" si="15"/>
        <v>7.2938081153484955</v>
      </c>
      <c r="X11" s="471">
        <f t="shared" si="15"/>
        <v>10</v>
      </c>
      <c r="Y11" s="471">
        <f t="shared" si="15"/>
        <v>9.882339927239963</v>
      </c>
      <c r="Z11" s="471">
        <f t="shared" si="15"/>
        <v>7.1253904067582958</v>
      </c>
      <c r="AA11" s="471">
        <f t="shared" si="15"/>
        <v>0.2383215162882043</v>
      </c>
      <c r="AB11" s="471">
        <f t="shared" si="15"/>
        <v>8.6510634275618141</v>
      </c>
      <c r="AC11" s="471">
        <f t="shared" si="15"/>
        <v>8.3035580518422769</v>
      </c>
      <c r="AD11" s="471">
        <f t="shared" si="15"/>
        <v>6.0934132945666022</v>
      </c>
      <c r="AE11" s="471">
        <f t="shared" si="15"/>
        <v>7.0560988941199447</v>
      </c>
      <c r="AF11" s="471">
        <f t="shared" si="15"/>
        <v>0.44736056628839371</v>
      </c>
      <c r="AG11" s="471">
        <f t="shared" si="15"/>
        <v>1.2491708723338686</v>
      </c>
      <c r="AH11" s="471">
        <f t="shared" si="15"/>
        <v>8.8632782505265322</v>
      </c>
      <c r="AI11" s="471">
        <f t="shared" si="15"/>
        <v>1.443409075440502</v>
      </c>
      <c r="AJ11" s="471">
        <f t="shared" si="15"/>
        <v>1.5731108974492098</v>
      </c>
      <c r="AK11" s="471">
        <f t="shared" si="15"/>
        <v>3.2080058274600534</v>
      </c>
      <c r="AL11" s="471">
        <f t="shared" si="15"/>
        <v>8.3565232223033359</v>
      </c>
      <c r="AM11" s="471">
        <f t="shared" si="15"/>
        <v>1.0604913527676247</v>
      </c>
      <c r="AN11" s="471">
        <f t="shared" si="15"/>
        <v>7.5815265565263115</v>
      </c>
      <c r="AO11" s="471">
        <f t="shared" si="15"/>
        <v>8.4455585701143256</v>
      </c>
      <c r="AP11" s="471">
        <f t="shared" si="15"/>
        <v>8.2029732675178764</v>
      </c>
      <c r="AQ11" s="471">
        <f t="shared" si="15"/>
        <v>7.048574147663544</v>
      </c>
      <c r="AR11" s="471">
        <f t="shared" si="15"/>
        <v>5.1200999256940447</v>
      </c>
      <c r="AS11" s="471">
        <f t="shared" si="15"/>
        <v>9.601145902049236</v>
      </c>
      <c r="AT11" s="471">
        <f t="shared" si="15"/>
        <v>7.545826134342426</v>
      </c>
      <c r="AU11" s="471">
        <f t="shared" si="15"/>
        <v>4.1568259818178213</v>
      </c>
      <c r="AV11" s="471">
        <f t="shared" si="15"/>
        <v>8.4517518913422283</v>
      </c>
      <c r="AW11" s="471">
        <f t="shared" si="15"/>
        <v>0.64517412017891573</v>
      </c>
      <c r="AX11" s="471">
        <f t="shared" si="15"/>
        <v>5.6696788654032426</v>
      </c>
      <c r="AY11" s="471">
        <f t="shared" si="15"/>
        <v>7.2341325379288346</v>
      </c>
      <c r="AZ11" s="471">
        <f t="shared" si="15"/>
        <v>6.6917694713942826</v>
      </c>
      <c r="BA11" s="471">
        <f t="shared" si="15"/>
        <v>9.5368731813710923</v>
      </c>
      <c r="BB11" s="471">
        <f t="shared" si="15"/>
        <v>9.2677040411044818</v>
      </c>
      <c r="BC11" s="471">
        <f t="shared" si="15"/>
        <v>5.7567649536779957</v>
      </c>
      <c r="BD11" s="471">
        <f t="shared" si="15"/>
        <v>7.2051156777065941</v>
      </c>
      <c r="BE11" s="471">
        <f t="shared" si="15"/>
        <v>8.7045928382962003</v>
      </c>
      <c r="BF11" s="471">
        <f t="shared" si="15"/>
        <v>7.9512474448589217</v>
      </c>
      <c r="BG11" s="471">
        <f t="shared" si="15"/>
        <v>9.6067101314987724</v>
      </c>
      <c r="BH11" s="471">
        <f t="shared" si="15"/>
        <v>9.2441783841656839</v>
      </c>
      <c r="BI11" s="471">
        <f t="shared" si="15"/>
        <v>6.0860319064017769</v>
      </c>
      <c r="BJ11" s="471">
        <f t="shared" si="15"/>
        <v>6.0015230659475041</v>
      </c>
      <c r="BK11" s="471">
        <f t="shared" si="15"/>
        <v>9.8521752772843882</v>
      </c>
      <c r="BL11" s="471">
        <f t="shared" si="15"/>
        <v>3.0712993073419534</v>
      </c>
      <c r="BM11" s="471">
        <f t="shared" si="15"/>
        <v>8.2774592377147513</v>
      </c>
      <c r="BN11" s="471">
        <f t="shared" si="15"/>
        <v>6.5453511020196427</v>
      </c>
      <c r="BO11" s="471">
        <f t="shared" si="15"/>
        <v>6.9734949910870689</v>
      </c>
      <c r="BP11" s="471">
        <f t="shared" si="15"/>
        <v>9.0860563755726655</v>
      </c>
      <c r="BQ11" s="471">
        <f t="shared" si="15"/>
        <v>7.0793093803232505</v>
      </c>
      <c r="BR11" s="471">
        <f t="shared" si="15"/>
        <v>8.627042334716668</v>
      </c>
      <c r="BS11" s="471">
        <f t="shared" si="15"/>
        <v>7.3587098910970123</v>
      </c>
      <c r="BT11" s="471">
        <f t="shared" si="15"/>
        <v>9.0194189230713722</v>
      </c>
      <c r="BU11" s="471">
        <f t="shared" si="15"/>
        <v>8.0726976629359761</v>
      </c>
      <c r="BV11" s="471">
        <f t="shared" ref="BV11:CJ11" si="16">SUMPRODUCT(BV8:BV10,$C8:$C10)/SUM($C8:$C10)</f>
        <v>8.7532550823190682</v>
      </c>
      <c r="BW11" s="471">
        <f t="shared" si="16"/>
        <v>8.3480268043075139</v>
      </c>
      <c r="BX11" s="471">
        <f t="shared" si="16"/>
        <v>8.5043692568478928</v>
      </c>
      <c r="BY11" s="471">
        <f t="shared" si="16"/>
        <v>7.2122909178690726</v>
      </c>
      <c r="BZ11" s="471">
        <f t="shared" si="16"/>
        <v>5.715909689388921</v>
      </c>
      <c r="CA11" s="471">
        <f t="shared" si="16"/>
        <v>6.1241525322799033</v>
      </c>
      <c r="CB11" s="471">
        <f t="shared" si="16"/>
        <v>8.5618679198190062</v>
      </c>
      <c r="CC11" s="471">
        <f t="shared" si="16"/>
        <v>8.6382133363932567</v>
      </c>
      <c r="CD11" s="471">
        <f t="shared" si="16"/>
        <v>8.3354450274032104</v>
      </c>
      <c r="CE11" s="471">
        <f t="shared" si="16"/>
        <v>7.3374084474469301</v>
      </c>
      <c r="CF11" s="471">
        <f t="shared" si="16"/>
        <v>9.4918846537729511</v>
      </c>
      <c r="CG11" s="471">
        <f t="shared" si="16"/>
        <v>5.4102538178053656</v>
      </c>
      <c r="CH11" s="471">
        <f t="shared" si="16"/>
        <v>7.4723929962493472</v>
      </c>
      <c r="CI11" s="471">
        <f t="shared" si="16"/>
        <v>5.0729269906975016</v>
      </c>
      <c r="CJ11" s="471">
        <f t="shared" si="16"/>
        <v>3.2040642831185608</v>
      </c>
      <c r="CL11" s="584"/>
      <c r="CM11" s="464">
        <f t="shared" ref="CM11" si="17">SUMPRODUCT(CM8:CM10,$C8:$C10)/SUM($C8:$C10)</f>
        <v>6.7731413952056858</v>
      </c>
      <c r="CN11" s="464">
        <f t="shared" ref="CN11" si="18">SUMPRODUCT(CN8:CN10,$C8:$C10)/SUM($C8:$C10)</f>
        <v>9.2294030495459154</v>
      </c>
      <c r="CO11" s="464">
        <f t="shared" ref="CO11" si="19">SUMPRODUCT(CO8:CO10,$C8:$C10)/SUM($C8:$C10)</f>
        <v>5.7900734021693019</v>
      </c>
      <c r="CP11" s="464">
        <f t="shared" ref="CP11" si="20">SUMPRODUCT(CP8:CP10,$C8:$C10)/SUM($C8:$C10)</f>
        <v>6.126864840280442</v>
      </c>
      <c r="CQ11" s="464">
        <f t="shared" ref="CQ11" si="21">SUMPRODUCT(CQ8:CQ10,$C8:$C10)/SUM($C8:$C10)</f>
        <v>7.8529308727236558</v>
      </c>
      <c r="CR11" s="464">
        <f t="shared" ref="CR11" si="22">SUMPRODUCT(CR8:CR10,$C8:$C10)/SUM($C8:$C10)</f>
        <v>6.5232297236330314</v>
      </c>
      <c r="CS11" s="464">
        <f t="shared" ref="CS11" si="23">SUMPRODUCT(CS8:CS10,$C8:$C10)/SUM($C8:$C10)</f>
        <v>7.7617637938768347</v>
      </c>
      <c r="CT11" s="464">
        <f t="shared" ref="CT11" si="24">SUMPRODUCT(CT8:CT10,$C8:$C10)/SUM($C8:$C10)</f>
        <v>7.7129212868093537</v>
      </c>
      <c r="CU11" s="464">
        <f t="shared" ref="CU11" si="25">SUMPRODUCT(CU8:CU10,$C8:$C10)/SUM($C8:$C10)</f>
        <v>7.4185128379831848</v>
      </c>
      <c r="CV11" s="464">
        <f t="shared" ref="CV11:CY11" si="26">SUMPRODUCT(CV8:CV10,$C8:$C10)/SUM($C8:$C10)</f>
        <v>9.1880416349304816</v>
      </c>
      <c r="CW11" s="464">
        <f t="shared" si="26"/>
        <v>8.4296347474758644</v>
      </c>
      <c r="CX11" s="464">
        <f t="shared" si="26"/>
        <v>6.6499356952963407</v>
      </c>
      <c r="CY11" s="464">
        <f t="shared" si="26"/>
        <v>6.5358235126739741</v>
      </c>
      <c r="CZ11" s="464">
        <f t="shared" ref="CZ11" si="27">SUMPRODUCT(CZ8:CZ10,$C8:$C10)/SUM($C8:$C10)</f>
        <v>6.987956713150334</v>
      </c>
      <c r="DA11" s="464">
        <f t="shared" ref="DA11" si="28">SUMPRODUCT(DA8:DA10,$C8:$C10)/SUM($C8:$C10)</f>
        <v>7.7760370163260735</v>
      </c>
      <c r="DB11" s="464">
        <f t="shared" ref="DB11" si="29">SUMPRODUCT(DB8:DB10,$C8:$C10)/SUM($C8:$C10)</f>
        <v>7.2846608415064802</v>
      </c>
    </row>
    <row r="12" spans="1:106" s="429" customFormat="1" ht="15.75" customHeight="1" thickBot="1" x14ac:dyDescent="0.3">
      <c r="A12" s="639">
        <f>'MD-ratings-year'!A12</f>
        <v>0.3</v>
      </c>
      <c r="B12" s="668" t="str">
        <f>'MD-ratings-year'!B12</f>
        <v>Leverage</v>
      </c>
      <c r="C12" s="418">
        <f>'MD-ratings-year'!C12</f>
        <v>0.15</v>
      </c>
      <c r="D12" s="419" t="str">
        <f>'MD-ratings-year'!D12</f>
        <v>Total Debt to Total Assets</v>
      </c>
      <c r="E12" s="420" t="str">
        <f>'MD-ratings-year'!E12</f>
        <v>Total Debt ÷ Total Assets</v>
      </c>
      <c r="F12" s="421" t="s">
        <v>400</v>
      </c>
      <c r="G12" s="653"/>
      <c r="H12" s="259"/>
      <c r="I12" s="469">
        <f>'SK-ratings-year'!W12</f>
        <v>3.8357540524917182</v>
      </c>
      <c r="J12" s="469">
        <f>'SK-ratings-year'!X12</f>
        <v>6.8533755045032478</v>
      </c>
      <c r="K12" s="469">
        <f>'SK-ratings-year'!Y12</f>
        <v>0</v>
      </c>
      <c r="L12" s="469">
        <f>'SK-ratings-year'!Z12</f>
        <v>0</v>
      </c>
      <c r="M12" s="469">
        <f>'SK-ratings-year'!AA12</f>
        <v>0</v>
      </c>
      <c r="N12" s="469">
        <f>'SK-ratings-year'!AB12</f>
        <v>3.393285023758871</v>
      </c>
      <c r="O12" s="469">
        <f>'SK-ratings-year'!AC12</f>
        <v>1.768803885568861</v>
      </c>
      <c r="P12" s="469">
        <f>'SK-ratings-year'!AD12</f>
        <v>0.60872762599126595</v>
      </c>
      <c r="Q12" s="469">
        <f>'SK-ratings-year'!AE12</f>
        <v>0</v>
      </c>
      <c r="R12" s="469">
        <f>'SK-ratings-year'!AF12</f>
        <v>0</v>
      </c>
      <c r="S12" s="469">
        <f>'SK-ratings-year'!AG12</f>
        <v>0.22442457055135634</v>
      </c>
      <c r="T12" s="469">
        <f>'SK-ratings-year'!AH12</f>
        <v>9.0724441026908469</v>
      </c>
      <c r="U12" s="469">
        <f>'SK-ratings-year'!AI12</f>
        <v>0</v>
      </c>
      <c r="V12" s="469">
        <f>'SK-ratings-year'!AJ12</f>
        <v>0</v>
      </c>
      <c r="W12" s="469">
        <f>'SK-ratings-year'!AK12</f>
        <v>0</v>
      </c>
      <c r="X12" s="469">
        <f>'SK-ratings-year'!AL12</f>
        <v>0</v>
      </c>
      <c r="Y12" s="469">
        <f>'SK-ratings-year'!AM12</f>
        <v>0</v>
      </c>
      <c r="Z12" s="469">
        <f>'SK-ratings-year'!AN12</f>
        <v>4.5027037827764094</v>
      </c>
      <c r="AA12" s="469">
        <f>'SK-ratings-year'!AO12</f>
        <v>6.6988110490628436</v>
      </c>
      <c r="AB12" s="469">
        <f>'SK-ratings-year'!AP12</f>
        <v>0</v>
      </c>
      <c r="AC12" s="469">
        <f>'SK-ratings-year'!AQ12</f>
        <v>0</v>
      </c>
      <c r="AD12" s="469">
        <f>'SK-ratings-year'!AR12</f>
        <v>5.9794538131832464</v>
      </c>
      <c r="AE12" s="469">
        <f>'SK-ratings-year'!AS12</f>
        <v>4.0287908558818124</v>
      </c>
      <c r="AF12" s="469">
        <f>'SK-ratings-year'!AT12</f>
        <v>1.8783326898543358</v>
      </c>
      <c r="AG12" s="469">
        <f>'SK-ratings-year'!AU12</f>
        <v>2.5296465286426422</v>
      </c>
      <c r="AH12" s="469">
        <f>'SK-ratings-year'!AV12</f>
        <v>5.4796848796843793</v>
      </c>
      <c r="AI12" s="469">
        <f>'SK-ratings-year'!AW12</f>
        <v>1.6555388508424027</v>
      </c>
      <c r="AJ12" s="469">
        <f>'SK-ratings-year'!AX12</f>
        <v>4.2615586634005007</v>
      </c>
      <c r="AK12" s="469">
        <f>'SK-ratings-year'!AY12</f>
        <v>7.9861461484658935</v>
      </c>
      <c r="AL12" s="469">
        <f>'SK-ratings-year'!AZ12</f>
        <v>3.065136102585277</v>
      </c>
      <c r="AM12" s="469">
        <f>'SK-ratings-year'!BA12</f>
        <v>4.3563160968518515</v>
      </c>
      <c r="AN12" s="469">
        <f>'SK-ratings-year'!BB12</f>
        <v>1.110191895430324</v>
      </c>
      <c r="AO12" s="469">
        <f>'SK-ratings-year'!BC12</f>
        <v>0</v>
      </c>
      <c r="AP12" s="469">
        <f>'SK-ratings-year'!BD12</f>
        <v>0.43107077007642225</v>
      </c>
      <c r="AQ12" s="469">
        <f>'SK-ratings-year'!BE12</f>
        <v>4.064480582454344</v>
      </c>
      <c r="AR12" s="469">
        <f>'SK-ratings-year'!BF12</f>
        <v>3.2089196826906692</v>
      </c>
      <c r="AS12" s="469">
        <f>'SK-ratings-year'!BG12</f>
        <v>0</v>
      </c>
      <c r="AT12" s="469">
        <f>'SK-ratings-year'!BH12</f>
        <v>2.3874321344912817</v>
      </c>
      <c r="AU12" s="469">
        <f>'SK-ratings-year'!BI12</f>
        <v>0</v>
      </c>
      <c r="AV12" s="469">
        <f>'SK-ratings-year'!BJ12</f>
        <v>0</v>
      </c>
      <c r="AW12" s="469">
        <f>'SK-ratings-year'!BK12</f>
        <v>4.2200580816441997</v>
      </c>
      <c r="AX12" s="469">
        <f>'SK-ratings-year'!BL12</f>
        <v>0</v>
      </c>
      <c r="AY12" s="469">
        <f>'SK-ratings-year'!BM12</f>
        <v>3.1769931185925202</v>
      </c>
      <c r="AZ12" s="469">
        <f>'SK-ratings-year'!BN12</f>
        <v>2.1159227885460927</v>
      </c>
      <c r="BA12" s="469">
        <f>'SK-ratings-year'!BO12</f>
        <v>0</v>
      </c>
      <c r="BB12" s="469">
        <f>'SK-ratings-year'!BP12</f>
        <v>0</v>
      </c>
      <c r="BC12" s="469">
        <f>'SK-ratings-year'!BQ12</f>
        <v>3.5514112776603719</v>
      </c>
      <c r="BD12" s="469">
        <f>'SK-ratings-year'!BR12</f>
        <v>0.60780020451283434</v>
      </c>
      <c r="BE12" s="469">
        <f>'SK-ratings-year'!BS12</f>
        <v>0.15854175184262509</v>
      </c>
      <c r="BF12" s="469">
        <f>'SK-ratings-year'!BT12</f>
        <v>0</v>
      </c>
      <c r="BG12" s="469">
        <f>'SK-ratings-year'!BU12</f>
        <v>1.6670066094532174</v>
      </c>
      <c r="BH12" s="469">
        <f>'SK-ratings-year'!BV12</f>
        <v>0</v>
      </c>
      <c r="BI12" s="469">
        <f>'SK-ratings-year'!BW12</f>
        <v>0</v>
      </c>
      <c r="BJ12" s="469">
        <f>'SK-ratings-year'!BX12</f>
        <v>0</v>
      </c>
      <c r="BK12" s="469">
        <f>'SK-ratings-year'!BY12</f>
        <v>2.9380441640057713</v>
      </c>
      <c r="BL12" s="469">
        <f>'SK-ratings-year'!BZ12</f>
        <v>2.9832004123840505</v>
      </c>
      <c r="BM12" s="469">
        <f>'SK-ratings-year'!CA12</f>
        <v>0.56609426772871885</v>
      </c>
      <c r="BN12" s="469">
        <f>'SK-ratings-year'!CB12</f>
        <v>4.2737671037656275</v>
      </c>
      <c r="BO12" s="469">
        <f>'SK-ratings-year'!CC12</f>
        <v>5.0525314139054114</v>
      </c>
      <c r="BP12" s="469">
        <f>'SK-ratings-year'!CD12</f>
        <v>2.2790040778466913</v>
      </c>
      <c r="BQ12" s="469">
        <f>'SK-ratings-year'!CE12</f>
        <v>5.7332900894559558E-2</v>
      </c>
      <c r="BR12" s="469">
        <f>'SK-ratings-year'!CF12</f>
        <v>3.8458531067621076</v>
      </c>
      <c r="BS12" s="469">
        <f>'SK-ratings-year'!CG12</f>
        <v>1.2482840800142601</v>
      </c>
      <c r="BT12" s="469">
        <f>'SK-ratings-year'!CH12</f>
        <v>3.1341381105754573</v>
      </c>
      <c r="BU12" s="469">
        <f>'SK-ratings-year'!CI12</f>
        <v>1.5433451306494383</v>
      </c>
      <c r="BV12" s="469">
        <f>'SK-ratings-year'!CJ12</f>
        <v>0</v>
      </c>
      <c r="BW12" s="469">
        <f>'SK-ratings-year'!CK12</f>
        <v>3.9309073259201135</v>
      </c>
      <c r="BX12" s="469">
        <f>'SK-ratings-year'!CL12</f>
        <v>0</v>
      </c>
      <c r="BY12" s="469">
        <f>'SK-ratings-year'!CM12</f>
        <v>9.6115072655765061</v>
      </c>
      <c r="BZ12" s="469">
        <f>'SK-ratings-year'!CN12</f>
        <v>0.16213631061895306</v>
      </c>
      <c r="CA12" s="469">
        <f>'SK-ratings-year'!CO12</f>
        <v>3.4238668917872399</v>
      </c>
      <c r="CB12" s="469">
        <f>'SK-ratings-year'!CP12</f>
        <v>0</v>
      </c>
      <c r="CC12" s="469">
        <f>'SK-ratings-year'!CQ12</f>
        <v>0.98158876278197837</v>
      </c>
      <c r="CD12" s="469">
        <f>'SK-ratings-year'!CR12</f>
        <v>3.0432634536113721</v>
      </c>
      <c r="CE12" s="469">
        <f>'SK-ratings-year'!CS12</f>
        <v>0.37188334272519796</v>
      </c>
      <c r="CF12" s="469">
        <f>'SK-ratings-year'!CT12</f>
        <v>0</v>
      </c>
      <c r="CG12" s="469">
        <f>'SK-ratings-year'!CU12</f>
        <v>3.0967338171987002</v>
      </c>
      <c r="CH12" s="469">
        <f>'SK-ratings-year'!CV12</f>
        <v>4.082517073831208</v>
      </c>
      <c r="CI12" s="469">
        <f>'SK-ratings-year'!CW12</f>
        <v>0</v>
      </c>
      <c r="CJ12" s="469">
        <f>'SK-ratings-year'!CX12</f>
        <v>0</v>
      </c>
      <c r="CL12" s="558"/>
      <c r="CM12" s="454">
        <f>'SK-ratings-year'!DA12</f>
        <v>4.0193965305772519</v>
      </c>
      <c r="CN12" s="454">
        <f>'SK-ratings-year'!DB12</f>
        <v>1.6040544652733477</v>
      </c>
      <c r="CO12" s="454">
        <f>'SK-ratings-year'!DC12</f>
        <v>2.1973535390556922</v>
      </c>
      <c r="CP12" s="454">
        <f>'SK-ratings-year'!DD12</f>
        <v>2.4035103608811519</v>
      </c>
      <c r="CQ12" s="454">
        <f>'SK-ratings-year'!DE12</f>
        <v>1.307267158858215</v>
      </c>
      <c r="CR12" s="454">
        <f>'SK-ratings-year'!DF12</f>
        <v>2.086385740399336</v>
      </c>
      <c r="CS12" s="454">
        <f>'SK-ratings-year'!DG12</f>
        <v>4.0433209986588108E-2</v>
      </c>
      <c r="CT12" s="454">
        <f>'SK-ratings-year'!DH12</f>
        <v>0.53018880355934428</v>
      </c>
      <c r="CU12" s="454">
        <f>'SK-ratings-year'!DI12</f>
        <v>0</v>
      </c>
      <c r="CV12" s="454">
        <f>'SK-ratings-year'!DJ12</f>
        <v>0</v>
      </c>
      <c r="CW12" s="454">
        <f>'SK-ratings-year'!DK12</f>
        <v>0.75198219234192543</v>
      </c>
      <c r="CX12" s="454">
        <f>'SK-ratings-year'!DL12</f>
        <v>1.4518280588886694</v>
      </c>
      <c r="CY12" s="454">
        <f>'SK-ratings-year'!DM12</f>
        <v>1.6425163377275891</v>
      </c>
      <c r="CZ12" s="454">
        <f>'SK-ratings-year'!DN12</f>
        <v>2.1508554638150486</v>
      </c>
      <c r="DA12" s="454">
        <f>'SK-ratings-year'!DO12</f>
        <v>0.21128675171597514</v>
      </c>
      <c r="DB12" s="454">
        <f>'SK-ratings-year'!DP12</f>
        <v>1.420627793118046</v>
      </c>
    </row>
    <row r="13" spans="1:106" s="428" customFormat="1" ht="15.75" customHeight="1" thickBot="1" x14ac:dyDescent="0.3">
      <c r="A13" s="640"/>
      <c r="B13" s="669"/>
      <c r="C13" s="418">
        <f>'MD-ratings-year'!C13</f>
        <v>0.15</v>
      </c>
      <c r="D13" s="419" t="str">
        <f>'MD-ratings-year'!D13</f>
        <v>Debt-to-EBITDA Ratio</v>
      </c>
      <c r="E13" s="420" t="str">
        <f>'MD-ratings-year'!E13</f>
        <v>Total Debt / Earnings Before Interest Taxes Depreciation &amp; Amortization</v>
      </c>
      <c r="F13" s="422" t="s">
        <v>400</v>
      </c>
      <c r="G13" s="653"/>
      <c r="H13" s="243"/>
      <c r="I13" s="470">
        <f>'SK-ratings-year'!W13</f>
        <v>7.5038070633679386</v>
      </c>
      <c r="J13" s="470">
        <f>'SK-ratings-year'!X13</f>
        <v>8.6272109454013481</v>
      </c>
      <c r="K13" s="470">
        <f>'SK-ratings-year'!Y13</f>
        <v>5.7811139110710474</v>
      </c>
      <c r="L13" s="470">
        <f>'SK-ratings-year'!Z13</f>
        <v>6.0114874803774967</v>
      </c>
      <c r="M13" s="470">
        <f>'SK-ratings-year'!AA13</f>
        <v>5.8853220656243552</v>
      </c>
      <c r="N13" s="470">
        <f>'SK-ratings-year'!AB13</f>
        <v>5.8361329228517773</v>
      </c>
      <c r="O13" s="470">
        <f>'SK-ratings-year'!AC13</f>
        <v>8.3751759175605507</v>
      </c>
      <c r="P13" s="470">
        <f>'SK-ratings-year'!AD13</f>
        <v>7.6311841744563793</v>
      </c>
      <c r="Q13" s="470">
        <f>'SK-ratings-year'!AE13</f>
        <v>3.5149762369131823</v>
      </c>
      <c r="R13" s="470">
        <f>'SK-ratings-year'!AF13</f>
        <v>4.1926114196692277</v>
      </c>
      <c r="S13" s="470">
        <f>'SK-ratings-year'!AG13</f>
        <v>7.9788243397738494</v>
      </c>
      <c r="T13" s="470">
        <f>'SK-ratings-year'!AH13</f>
        <v>4.7366832420784943</v>
      </c>
      <c r="U13" s="470">
        <f>'SK-ratings-year'!AI13</f>
        <v>7.5725888765812526</v>
      </c>
      <c r="V13" s="470">
        <f>'SK-ratings-year'!AJ13</f>
        <v>5.7370694519524754</v>
      </c>
      <c r="W13" s="470">
        <f>'SK-ratings-year'!AK13</f>
        <v>6.4274290552182949</v>
      </c>
      <c r="X13" s="470">
        <f>'SK-ratings-year'!AL13</f>
        <v>6.8105333458659949</v>
      </c>
      <c r="Y13" s="470">
        <f>'SK-ratings-year'!AM13</f>
        <v>8.2380786165373703</v>
      </c>
      <c r="Z13" s="470">
        <f>'SK-ratings-year'!AN13</f>
        <v>2.2956244740758862</v>
      </c>
      <c r="AA13" s="470">
        <f>'SK-ratings-year'!AO13</f>
        <v>5.3829534948615088</v>
      </c>
      <c r="AB13" s="470">
        <f>'SK-ratings-year'!AP13</f>
        <v>5.6487458686971506</v>
      </c>
      <c r="AC13" s="470">
        <f>'SK-ratings-year'!AQ13</f>
        <v>3.3972509257522985</v>
      </c>
      <c r="AD13" s="470">
        <f>'SK-ratings-year'!AR13</f>
        <v>8.1229647440214574</v>
      </c>
      <c r="AE13" s="470">
        <f>'SK-ratings-year'!AS13</f>
        <v>6.9477206552347521</v>
      </c>
      <c r="AF13" s="470">
        <f>'SK-ratings-year'!AT13</f>
        <v>3.3396734900790372</v>
      </c>
      <c r="AG13" s="470">
        <f>'SK-ratings-year'!AU13</f>
        <v>3.4088998120086149</v>
      </c>
      <c r="AH13" s="470">
        <f>'SK-ratings-year'!AV13</f>
        <v>8.9745797571517212</v>
      </c>
      <c r="AI13" s="470">
        <f>'SK-ratings-year'!AW13</f>
        <v>4.7646929917147141</v>
      </c>
      <c r="AJ13" s="470">
        <f>'SK-ratings-year'!AX13</f>
        <v>2.8079528700791947</v>
      </c>
      <c r="AK13" s="470">
        <f>'SK-ratings-year'!AY13</f>
        <v>8.8786625851668344</v>
      </c>
      <c r="AL13" s="470">
        <f>'SK-ratings-year'!AZ13</f>
        <v>8.102558598602057</v>
      </c>
      <c r="AM13" s="470">
        <f>'SK-ratings-year'!BA13</f>
        <v>7.4577916598157934</v>
      </c>
      <c r="AN13" s="470">
        <f>'SK-ratings-year'!BB13</f>
        <v>7.2786657651510689</v>
      </c>
      <c r="AO13" s="470">
        <f>'SK-ratings-year'!BC13</f>
        <v>5.6301101783867953</v>
      </c>
      <c r="AP13" s="470">
        <f>'SK-ratings-year'!BD13</f>
        <v>6.6526787048760312</v>
      </c>
      <c r="AQ13" s="470">
        <f>'SK-ratings-year'!BE13</f>
        <v>6.2651731913557009</v>
      </c>
      <c r="AR13" s="470">
        <f>'SK-ratings-year'!BF13</f>
        <v>6.5634761374224011</v>
      </c>
      <c r="AS13" s="470">
        <f>'SK-ratings-year'!BG13</f>
        <v>7.5614636971021296</v>
      </c>
      <c r="AT13" s="470">
        <f>'SK-ratings-year'!BH13</f>
        <v>7.738504718483826</v>
      </c>
      <c r="AU13" s="470">
        <f>'SK-ratings-year'!BI13</f>
        <v>3.8048580604960849</v>
      </c>
      <c r="AV13" s="470">
        <f>'SK-ratings-year'!BJ13</f>
        <v>5.8246225604644506</v>
      </c>
      <c r="AW13" s="470">
        <f>'SK-ratings-year'!BK13</f>
        <v>3.685711951725855</v>
      </c>
      <c r="AX13" s="470">
        <f>'SK-ratings-year'!BL13</f>
        <v>3.4102670423767076</v>
      </c>
      <c r="AY13" s="470">
        <f>'SK-ratings-year'!BM13</f>
        <v>7.912477482092382</v>
      </c>
      <c r="AZ13" s="470">
        <f>'SK-ratings-year'!BN13</f>
        <v>7.1821391288322927</v>
      </c>
      <c r="BA13" s="470">
        <f>'SK-ratings-year'!BO13</f>
        <v>7.079612661324159</v>
      </c>
      <c r="BB13" s="470">
        <f>'SK-ratings-year'!BP13</f>
        <v>6.2721245972184043</v>
      </c>
      <c r="BC13" s="470">
        <f>'SK-ratings-year'!BQ13</f>
        <v>1.2424409964592891</v>
      </c>
      <c r="BD13" s="470">
        <f>'SK-ratings-year'!BR13</f>
        <v>6.0200741502026478</v>
      </c>
      <c r="BE13" s="470">
        <f>'SK-ratings-year'!BS13</f>
        <v>6.8829688354711971</v>
      </c>
      <c r="BF13" s="470">
        <f>'SK-ratings-year'!BT13</f>
        <v>6.4851375707076642</v>
      </c>
      <c r="BG13" s="470">
        <f>'SK-ratings-year'!BU13</f>
        <v>7.5809201527492664</v>
      </c>
      <c r="BH13" s="470">
        <f>'SK-ratings-year'!BV13</f>
        <v>4.7645693355503989</v>
      </c>
      <c r="BI13" s="470">
        <f>'SK-ratings-year'!BW13</f>
        <v>2.3365572147095683</v>
      </c>
      <c r="BJ13" s="470">
        <f>'SK-ratings-year'!BX13</f>
        <v>5.7431069243065336</v>
      </c>
      <c r="BK13" s="470">
        <f>'SK-ratings-year'!BY13</f>
        <v>8.5466478391512641</v>
      </c>
      <c r="BL13" s="470">
        <f>'SK-ratings-year'!BZ13</f>
        <v>4.9524025217189216</v>
      </c>
      <c r="BM13" s="470">
        <f>'SK-ratings-year'!CA13</f>
        <v>7.6666141404020607</v>
      </c>
      <c r="BN13" s="470">
        <f>'SK-ratings-year'!CB13</f>
        <v>7.8487110657971462</v>
      </c>
      <c r="BO13" s="470">
        <f>'SK-ratings-year'!CC13</f>
        <v>7.5609717243832772</v>
      </c>
      <c r="BP13" s="470">
        <f>'SK-ratings-year'!CD13</f>
        <v>7.3413367922735411</v>
      </c>
      <c r="BQ13" s="470">
        <f>'SK-ratings-year'!CE13</f>
        <v>6.0444754908914327</v>
      </c>
      <c r="BR13" s="470">
        <f>'SK-ratings-year'!CF13</f>
        <v>8.3911185021079309</v>
      </c>
      <c r="BS13" s="470">
        <f>'SK-ratings-year'!CG13</f>
        <v>6.669938349658282</v>
      </c>
      <c r="BT13" s="470">
        <f>'SK-ratings-year'!CH13</f>
        <v>7.5252186342445455</v>
      </c>
      <c r="BU13" s="470">
        <f>'SK-ratings-year'!CI13</f>
        <v>7.184403522452353</v>
      </c>
      <c r="BV13" s="470">
        <f>'SK-ratings-year'!CJ13</f>
        <v>7.3069726199794287</v>
      </c>
      <c r="BW13" s="470">
        <f>'SK-ratings-year'!CK13</f>
        <v>8.1810374214145067</v>
      </c>
      <c r="BX13" s="470">
        <f>'SK-ratings-year'!CL13</f>
        <v>5.0737025582997806</v>
      </c>
      <c r="BY13" s="470">
        <f>'SK-ratings-year'!CM13</f>
        <v>8.6921585161129578</v>
      </c>
      <c r="BZ13" s="470">
        <f>'SK-ratings-year'!CN13</f>
        <v>4.3178468938625478</v>
      </c>
      <c r="CA13" s="470">
        <f>'SK-ratings-year'!CO13</f>
        <v>5.9894820140525837</v>
      </c>
      <c r="CB13" s="470">
        <f>'SK-ratings-year'!CP13</f>
        <v>6.3500014715043438</v>
      </c>
      <c r="CC13" s="470">
        <f>'SK-ratings-year'!CQ13</f>
        <v>4.9522422938147965</v>
      </c>
      <c r="CD13" s="470">
        <f>'SK-ratings-year'!CR13</f>
        <v>8.1854447995633421</v>
      </c>
      <c r="CE13" s="470">
        <f>'SK-ratings-year'!CS13</f>
        <v>6.2658890839370773</v>
      </c>
      <c r="CF13" s="470">
        <f>'SK-ratings-year'!CT13</f>
        <v>5.0579398468215429</v>
      </c>
      <c r="CG13" s="470">
        <f>'SK-ratings-year'!CU13</f>
        <v>5.8559922309427854</v>
      </c>
      <c r="CH13" s="470">
        <f>'SK-ratings-year'!CV13</f>
        <v>7.1811869319522668</v>
      </c>
      <c r="CI13" s="470">
        <f>'SK-ratings-year'!CW13</f>
        <v>0.49882406853744676</v>
      </c>
      <c r="CJ13" s="470">
        <f>'SK-ratings-year'!CX13</f>
        <v>0.5645816270298587</v>
      </c>
      <c r="CL13" s="546"/>
      <c r="CM13" s="455">
        <f>'SK-ratings-year'!DA13</f>
        <v>7.120838962432483</v>
      </c>
      <c r="CN13" s="455">
        <f>'SK-ratings-year'!DB13</f>
        <v>7.2641073766416895</v>
      </c>
      <c r="CO13" s="455">
        <f>'SK-ratings-year'!DC13</f>
        <v>4.573316941116631</v>
      </c>
      <c r="CP13" s="455">
        <f>'SK-ratings-year'!DD13</f>
        <v>6.3218852736121818</v>
      </c>
      <c r="CQ13" s="455">
        <f>'SK-ratings-year'!DE13</f>
        <v>5.6079749501697096</v>
      </c>
      <c r="CR13" s="455">
        <f>'SK-ratings-year'!DF13</f>
        <v>5.8776376880199672</v>
      </c>
      <c r="CS13" s="455">
        <f>'SK-ratings-year'!DG13</f>
        <v>5.6483594123746377</v>
      </c>
      <c r="CT13" s="455">
        <f>'SK-ratings-year'!DH13</f>
        <v>6.5402481941507444</v>
      </c>
      <c r="CU13" s="455">
        <f>'SK-ratings-year'!DI13</f>
        <v>5.4982364538834156</v>
      </c>
      <c r="CV13" s="455">
        <f>'SK-ratings-year'!DJ13</f>
        <v>6.9312810206358719</v>
      </c>
      <c r="CW13" s="455">
        <f>'SK-ratings-year'!DK13</f>
        <v>6.3836294247447904</v>
      </c>
      <c r="CX13" s="455">
        <f>'SK-ratings-year'!DL13</f>
        <v>5.4528925077370509</v>
      </c>
      <c r="CY13" s="455">
        <f>'SK-ratings-year'!DM13</f>
        <v>6.0611034441711436</v>
      </c>
      <c r="CZ13" s="455">
        <f>'SK-ratings-year'!DN13</f>
        <v>5.9929305359074005</v>
      </c>
      <c r="DA13" s="455">
        <f>'SK-ratings-year'!DO13</f>
        <v>6.0208297141956502</v>
      </c>
      <c r="DB13" s="455">
        <f>'SK-ratings-year'!DP13</f>
        <v>6.0034342895762993</v>
      </c>
    </row>
    <row r="14" spans="1:106" s="461" customFormat="1" ht="15.75" customHeight="1" thickBot="1" x14ac:dyDescent="0.3">
      <c r="A14" s="641"/>
      <c r="B14" s="670"/>
      <c r="C14" s="647" t="str">
        <f>'MD-ratings-year'!C14:E14</f>
        <v>Leverage total</v>
      </c>
      <c r="D14" s="648"/>
      <c r="E14" s="649"/>
      <c r="F14" s="423"/>
      <c r="G14" s="653"/>
      <c r="H14" s="266"/>
      <c r="I14" s="473">
        <f>SUMPRODUCT(I12:I13,$C12:$C13)/SUM($C12:$C13)</f>
        <v>5.6697805579298279</v>
      </c>
      <c r="J14" s="473">
        <f t="shared" ref="J14:BU14" si="30">SUMPRODUCT(J12:J13,$C12:$C13)/SUM($C12:$C13)</f>
        <v>7.7402932249522989</v>
      </c>
      <c r="K14" s="473">
        <f t="shared" si="30"/>
        <v>2.8905569555355237</v>
      </c>
      <c r="L14" s="473">
        <f t="shared" si="30"/>
        <v>3.0057437401887483</v>
      </c>
      <c r="M14" s="473">
        <f t="shared" si="30"/>
        <v>2.9426610328121776</v>
      </c>
      <c r="N14" s="473">
        <f t="shared" si="30"/>
        <v>4.6147089733053237</v>
      </c>
      <c r="O14" s="473">
        <f t="shared" si="30"/>
        <v>5.0719899015647059</v>
      </c>
      <c r="P14" s="473">
        <f t="shared" si="30"/>
        <v>4.1199559002238226</v>
      </c>
      <c r="Q14" s="473">
        <f t="shared" si="30"/>
        <v>1.7574881184565914</v>
      </c>
      <c r="R14" s="473">
        <f t="shared" si="30"/>
        <v>2.0963057098346138</v>
      </c>
      <c r="S14" s="473">
        <f t="shared" si="30"/>
        <v>4.1016244551626038</v>
      </c>
      <c r="T14" s="473">
        <f t="shared" si="30"/>
        <v>6.9045636723846711</v>
      </c>
      <c r="U14" s="473">
        <f t="shared" si="30"/>
        <v>3.7862944382906267</v>
      </c>
      <c r="V14" s="473">
        <f t="shared" si="30"/>
        <v>2.8685347259762377</v>
      </c>
      <c r="W14" s="473">
        <f t="shared" si="30"/>
        <v>3.2137145276091474</v>
      </c>
      <c r="X14" s="473">
        <f t="shared" si="30"/>
        <v>3.4052666729329979</v>
      </c>
      <c r="Y14" s="473">
        <f t="shared" si="30"/>
        <v>4.1190393082686851</v>
      </c>
      <c r="Z14" s="473">
        <f t="shared" si="30"/>
        <v>3.3991641284261482</v>
      </c>
      <c r="AA14" s="473">
        <f t="shared" si="30"/>
        <v>6.0408822719621762</v>
      </c>
      <c r="AB14" s="473">
        <f t="shared" si="30"/>
        <v>2.8243729343485753</v>
      </c>
      <c r="AC14" s="473">
        <f t="shared" si="30"/>
        <v>1.6986254628761492</v>
      </c>
      <c r="AD14" s="473">
        <f t="shared" si="30"/>
        <v>7.0512092786023519</v>
      </c>
      <c r="AE14" s="473">
        <f t="shared" si="30"/>
        <v>5.4882557555582823</v>
      </c>
      <c r="AF14" s="473">
        <f t="shared" si="30"/>
        <v>2.609003089966687</v>
      </c>
      <c r="AG14" s="473">
        <f t="shared" si="30"/>
        <v>2.9692731703256281</v>
      </c>
      <c r="AH14" s="473">
        <f t="shared" si="30"/>
        <v>7.2271323184180503</v>
      </c>
      <c r="AI14" s="473">
        <f t="shared" si="30"/>
        <v>3.2101159212785584</v>
      </c>
      <c r="AJ14" s="473">
        <f t="shared" si="30"/>
        <v>3.5347557667398477</v>
      </c>
      <c r="AK14" s="473">
        <f t="shared" si="30"/>
        <v>8.432404366816364</v>
      </c>
      <c r="AL14" s="473">
        <f t="shared" si="30"/>
        <v>5.5838473505936674</v>
      </c>
      <c r="AM14" s="473">
        <f t="shared" si="30"/>
        <v>5.9070538783338229</v>
      </c>
      <c r="AN14" s="473">
        <f t="shared" si="30"/>
        <v>4.1944288302906969</v>
      </c>
      <c r="AO14" s="473">
        <f t="shared" si="30"/>
        <v>2.8150550891933976</v>
      </c>
      <c r="AP14" s="473">
        <f t="shared" si="30"/>
        <v>3.5418747374762267</v>
      </c>
      <c r="AQ14" s="473">
        <f t="shared" si="30"/>
        <v>5.164826886905022</v>
      </c>
      <c r="AR14" s="473">
        <f t="shared" si="30"/>
        <v>4.8861979100565351</v>
      </c>
      <c r="AS14" s="473">
        <f t="shared" si="30"/>
        <v>3.7807318485510644</v>
      </c>
      <c r="AT14" s="473">
        <f t="shared" si="30"/>
        <v>5.0629684264875543</v>
      </c>
      <c r="AU14" s="473">
        <f t="shared" si="30"/>
        <v>1.9024290302480427</v>
      </c>
      <c r="AV14" s="473">
        <f t="shared" si="30"/>
        <v>2.9123112802322253</v>
      </c>
      <c r="AW14" s="473">
        <f t="shared" si="30"/>
        <v>3.9528850166850278</v>
      </c>
      <c r="AX14" s="473">
        <f t="shared" si="30"/>
        <v>1.7051335211883538</v>
      </c>
      <c r="AY14" s="473">
        <f t="shared" si="30"/>
        <v>5.5447353003424515</v>
      </c>
      <c r="AZ14" s="473">
        <f t="shared" si="30"/>
        <v>4.6490309586891927</v>
      </c>
      <c r="BA14" s="473">
        <f t="shared" si="30"/>
        <v>3.5398063306620795</v>
      </c>
      <c r="BB14" s="473">
        <f t="shared" si="30"/>
        <v>3.1360622986092022</v>
      </c>
      <c r="BC14" s="473">
        <f t="shared" si="30"/>
        <v>2.3969261370598303</v>
      </c>
      <c r="BD14" s="473">
        <f t="shared" si="30"/>
        <v>3.3139371773577415</v>
      </c>
      <c r="BE14" s="473">
        <f t="shared" si="30"/>
        <v>3.5207552936569115</v>
      </c>
      <c r="BF14" s="473">
        <f t="shared" si="30"/>
        <v>3.2425687853538321</v>
      </c>
      <c r="BG14" s="473">
        <f t="shared" si="30"/>
        <v>4.6239633811012428</v>
      </c>
      <c r="BH14" s="473">
        <f t="shared" si="30"/>
        <v>2.3822846677751994</v>
      </c>
      <c r="BI14" s="473">
        <f t="shared" si="30"/>
        <v>1.1682786073547842</v>
      </c>
      <c r="BJ14" s="473">
        <f t="shared" si="30"/>
        <v>2.8715534621532668</v>
      </c>
      <c r="BK14" s="473">
        <f t="shared" si="30"/>
        <v>5.7423460015785182</v>
      </c>
      <c r="BL14" s="473">
        <f t="shared" si="30"/>
        <v>3.9678014670514861</v>
      </c>
      <c r="BM14" s="473">
        <f t="shared" si="30"/>
        <v>4.1163542040653898</v>
      </c>
      <c r="BN14" s="473">
        <f t="shared" si="30"/>
        <v>6.0612390847813868</v>
      </c>
      <c r="BO14" s="473">
        <f t="shared" si="30"/>
        <v>6.3067515691443443</v>
      </c>
      <c r="BP14" s="473">
        <f t="shared" si="30"/>
        <v>4.8101704350601162</v>
      </c>
      <c r="BQ14" s="473">
        <f t="shared" si="30"/>
        <v>3.0509041958929957</v>
      </c>
      <c r="BR14" s="473">
        <f t="shared" si="30"/>
        <v>6.1184858044350188</v>
      </c>
      <c r="BS14" s="473">
        <f t="shared" si="30"/>
        <v>3.9591112148362715</v>
      </c>
      <c r="BT14" s="473">
        <f t="shared" si="30"/>
        <v>5.3296783724100019</v>
      </c>
      <c r="BU14" s="473">
        <f t="shared" si="30"/>
        <v>4.3638743265508957</v>
      </c>
      <c r="BV14" s="473">
        <f t="shared" ref="BV14:CJ14" si="31">SUMPRODUCT(BV12:BV13,$C12:$C13)/SUM($C12:$C13)</f>
        <v>3.6534863099897148</v>
      </c>
      <c r="BW14" s="473">
        <f t="shared" si="31"/>
        <v>6.0559723736673101</v>
      </c>
      <c r="BX14" s="473">
        <f t="shared" si="31"/>
        <v>2.5368512791498903</v>
      </c>
      <c r="BY14" s="473">
        <f t="shared" si="31"/>
        <v>9.1518328908447337</v>
      </c>
      <c r="BZ14" s="473">
        <f t="shared" si="31"/>
        <v>2.2399916022407504</v>
      </c>
      <c r="CA14" s="473">
        <f t="shared" si="31"/>
        <v>4.7066744529199118</v>
      </c>
      <c r="CB14" s="473">
        <f t="shared" si="31"/>
        <v>3.1750007357521719</v>
      </c>
      <c r="CC14" s="473">
        <f t="shared" si="31"/>
        <v>2.9669155282983874</v>
      </c>
      <c r="CD14" s="473">
        <f t="shared" si="31"/>
        <v>5.6143541265873571</v>
      </c>
      <c r="CE14" s="473">
        <f t="shared" si="31"/>
        <v>3.3188862133311376</v>
      </c>
      <c r="CF14" s="473">
        <f t="shared" si="31"/>
        <v>2.5289699234107714</v>
      </c>
      <c r="CG14" s="473">
        <f t="shared" si="31"/>
        <v>4.4763630240707428</v>
      </c>
      <c r="CH14" s="473">
        <f t="shared" si="31"/>
        <v>5.6318520028917369</v>
      </c>
      <c r="CI14" s="473">
        <f t="shared" si="31"/>
        <v>0.24941203426872338</v>
      </c>
      <c r="CJ14" s="473">
        <f t="shared" si="31"/>
        <v>0.28229081351492935</v>
      </c>
      <c r="CL14" s="585"/>
      <c r="CM14" s="462">
        <f t="shared" ref="CM14" si="32">SUMPRODUCT(CM12:CM13,$C12:$C13)/SUM($C12:$C13)</f>
        <v>5.5701177465048675</v>
      </c>
      <c r="CN14" s="462">
        <f t="shared" ref="CN14" si="33">SUMPRODUCT(CN12:CN13,$C12:$C13)/SUM($C12:$C13)</f>
        <v>4.434080920957518</v>
      </c>
      <c r="CO14" s="462">
        <f t="shared" ref="CO14" si="34">SUMPRODUCT(CO12:CO13,$C12:$C13)/SUM($C12:$C13)</f>
        <v>3.385335240086162</v>
      </c>
      <c r="CP14" s="462">
        <f t="shared" ref="CP14" si="35">SUMPRODUCT(CP12:CP13,$C12:$C13)/SUM($C12:$C13)</f>
        <v>4.3626978172466666</v>
      </c>
      <c r="CQ14" s="462">
        <f t="shared" ref="CQ14" si="36">SUMPRODUCT(CQ12:CQ13,$C12:$C13)/SUM($C12:$C13)</f>
        <v>3.4576210545139627</v>
      </c>
      <c r="CR14" s="462">
        <f t="shared" ref="CR14" si="37">SUMPRODUCT(CR12:CR13,$C12:$C13)/SUM($C12:$C13)</f>
        <v>3.9820117142096518</v>
      </c>
      <c r="CS14" s="462">
        <f t="shared" ref="CS14" si="38">SUMPRODUCT(CS12:CS13,$C12:$C13)/SUM($C12:$C13)</f>
        <v>2.8443963111806125</v>
      </c>
      <c r="CT14" s="462">
        <f t="shared" ref="CT14" si="39">SUMPRODUCT(CT12:CT13,$C12:$C13)/SUM($C12:$C13)</f>
        <v>3.5352184988550439</v>
      </c>
      <c r="CU14" s="462">
        <f t="shared" ref="CU14" si="40">SUMPRODUCT(CU12:CU13,$C12:$C13)/SUM($C12:$C13)</f>
        <v>2.7491182269417078</v>
      </c>
      <c r="CV14" s="462">
        <f t="shared" ref="CV14:CY14" si="41">SUMPRODUCT(CV12:CV13,$C12:$C13)/SUM($C12:$C13)</f>
        <v>3.4656405103179355</v>
      </c>
      <c r="CW14" s="462">
        <f t="shared" si="41"/>
        <v>3.5678058085433579</v>
      </c>
      <c r="CX14" s="462">
        <f t="shared" si="41"/>
        <v>3.4523602833128604</v>
      </c>
      <c r="CY14" s="462">
        <f t="shared" si="41"/>
        <v>3.8518098909493665</v>
      </c>
      <c r="CZ14" s="462">
        <f t="shared" ref="CZ14" si="42">SUMPRODUCT(CZ12:CZ13,$C12:$C13)/SUM($C12:$C13)</f>
        <v>4.071892999861225</v>
      </c>
      <c r="DA14" s="462">
        <f t="shared" ref="DA14" si="43">SUMPRODUCT(DA12:DA13,$C12:$C13)/SUM($C12:$C13)</f>
        <v>3.1160582329558126</v>
      </c>
      <c r="DB14" s="462">
        <f t="shared" ref="DB14" si="44">SUMPRODUCT(DB12:DB13,$C12:$C13)/SUM($C12:$C13)</f>
        <v>3.7120310413471724</v>
      </c>
    </row>
    <row r="15" spans="1:106" s="428" customFormat="1" ht="15.75" customHeight="1" thickBot="1" x14ac:dyDescent="0.3">
      <c r="A15" s="630">
        <f>'MD-ratings-year'!A15</f>
        <v>0.2</v>
      </c>
      <c r="B15" s="668" t="str">
        <f>'MD-ratings-year'!B15</f>
        <v>Activity</v>
      </c>
      <c r="C15" s="425">
        <f>'MD-ratings-year'!C15</f>
        <v>0.1</v>
      </c>
      <c r="D15" s="426" t="str">
        <f>'MD-ratings-year'!D15</f>
        <v>Working capital turnover ratio</v>
      </c>
      <c r="E15" s="427" t="str">
        <f>'MD-ratings-year'!E15</f>
        <v>Net Sales ÷ ((Beginning Working Capital + Ending Working Capital) / 2) Note: Working Capital = Current Assets Minus Current Liabilities)</v>
      </c>
      <c r="F15" s="422" t="s">
        <v>400</v>
      </c>
      <c r="G15" s="653"/>
      <c r="H15" s="243"/>
      <c r="I15" s="470">
        <f>'SK-ratings-year'!W15</f>
        <v>2.0295767178554223</v>
      </c>
      <c r="J15" s="470">
        <f>'SK-ratings-year'!X15</f>
        <v>2.506174451739196</v>
      </c>
      <c r="K15" s="470">
        <f>'SK-ratings-year'!Y15</f>
        <v>5.9455134790201356</v>
      </c>
      <c r="L15" s="470">
        <f>'SK-ratings-year'!Z15</f>
        <v>3.2583385843925887</v>
      </c>
      <c r="M15" s="470">
        <f>'SK-ratings-year'!AA15</f>
        <v>3.1461329415495998</v>
      </c>
      <c r="N15" s="470">
        <f>'SK-ratings-year'!AB15</f>
        <v>5.2842341941756041</v>
      </c>
      <c r="O15" s="470">
        <f>'SK-ratings-year'!AC15</f>
        <v>5.9657533665619855</v>
      </c>
      <c r="P15" s="470">
        <f>'SK-ratings-year'!AD15</f>
        <v>4.8294026342517302</v>
      </c>
      <c r="Q15" s="470">
        <f>'SK-ratings-year'!AE15</f>
        <v>7.0552084829779353</v>
      </c>
      <c r="R15" s="470">
        <f>'SK-ratings-year'!AF15</f>
        <v>10</v>
      </c>
      <c r="S15" s="470">
        <f>'SK-ratings-year'!AG15</f>
        <v>4.472777699996997</v>
      </c>
      <c r="T15" s="470">
        <f>'SK-ratings-year'!AH15</f>
        <v>1.3671124538112374</v>
      </c>
      <c r="U15" s="470">
        <f>'SK-ratings-year'!AI15</f>
        <v>8.0390055506466815</v>
      </c>
      <c r="V15" s="470">
        <f>'SK-ratings-year'!AJ15</f>
        <v>10</v>
      </c>
      <c r="W15" s="470">
        <f>'SK-ratings-year'!AK15</f>
        <v>4.9150355590332016</v>
      </c>
      <c r="X15" s="470">
        <f>'SK-ratings-year'!AL15</f>
        <v>2.3449932150313666</v>
      </c>
      <c r="Y15" s="470">
        <f>'SK-ratings-year'!AM15</f>
        <v>4.3545087857625084</v>
      </c>
      <c r="Z15" s="470">
        <f>'SK-ratings-year'!AN15</f>
        <v>6.362399612891485</v>
      </c>
      <c r="AA15" s="470">
        <f>'SK-ratings-year'!AO15</f>
        <v>1.8526551414540484</v>
      </c>
      <c r="AB15" s="470">
        <f>'SK-ratings-year'!AP15</f>
        <v>10</v>
      </c>
      <c r="AC15" s="470">
        <f>'SK-ratings-year'!AQ15</f>
        <v>7.9567756821356153E-2</v>
      </c>
      <c r="AD15" s="470">
        <f>'SK-ratings-year'!AR15</f>
        <v>3.2714559181603073</v>
      </c>
      <c r="AE15" s="470">
        <f>'SK-ratings-year'!AS15</f>
        <v>3.8285243929394031</v>
      </c>
      <c r="AF15" s="470">
        <f>'SK-ratings-year'!AT15</f>
        <v>10</v>
      </c>
      <c r="AG15" s="470">
        <f>'SK-ratings-year'!AU15</f>
        <v>7.5084852303826857</v>
      </c>
      <c r="AH15" s="470">
        <f>'SK-ratings-year'!AV15</f>
        <v>0.94942709129074787</v>
      </c>
      <c r="AI15" s="470">
        <f>'SK-ratings-year'!AW15</f>
        <v>3.5304445702792804</v>
      </c>
      <c r="AJ15" s="470">
        <f>'SK-ratings-year'!AX15</f>
        <v>3.7758444942074161</v>
      </c>
      <c r="AK15" s="470">
        <f>'SK-ratings-year'!AY15</f>
        <v>2.7028612210492393</v>
      </c>
      <c r="AL15" s="470">
        <f>'SK-ratings-year'!AZ15</f>
        <v>3.1437062977697163</v>
      </c>
      <c r="AM15" s="470">
        <f>'SK-ratings-year'!BA15</f>
        <v>4.391390741863809</v>
      </c>
      <c r="AN15" s="470">
        <f>'SK-ratings-year'!BB15</f>
        <v>2.9604272495652753</v>
      </c>
      <c r="AO15" s="470">
        <f>'SK-ratings-year'!BC15</f>
        <v>7.8802032443068084</v>
      </c>
      <c r="AP15" s="470">
        <f>'SK-ratings-year'!BD15</f>
        <v>2.741441988572392</v>
      </c>
      <c r="AQ15" s="470">
        <f>'SK-ratings-year'!BE15</f>
        <v>3.4939711447452457</v>
      </c>
      <c r="AR15" s="470">
        <f>'SK-ratings-year'!BF15</f>
        <v>2.4765679570332608</v>
      </c>
      <c r="AS15" s="470">
        <f>'SK-ratings-year'!BG15</f>
        <v>4.3923004333229239</v>
      </c>
      <c r="AT15" s="470">
        <f>'SK-ratings-year'!BH15</f>
        <v>6.3512486289574888</v>
      </c>
      <c r="AU15" s="470">
        <f>'SK-ratings-year'!BI15</f>
        <v>10</v>
      </c>
      <c r="AV15" s="470">
        <f>'SK-ratings-year'!BJ15</f>
        <v>7.8871785129662904</v>
      </c>
      <c r="AW15" s="470">
        <f>'SK-ratings-year'!BK15</f>
        <v>2.5704512597840878</v>
      </c>
      <c r="AX15" s="470">
        <f>'SK-ratings-year'!BL15</f>
        <v>6.2152435852658439</v>
      </c>
      <c r="AY15" s="470">
        <f>'SK-ratings-year'!BM15</f>
        <v>4.3503484638379186</v>
      </c>
      <c r="AZ15" s="470">
        <f>'SK-ratings-year'!BN15</f>
        <v>7.7297110928373929</v>
      </c>
      <c r="BA15" s="470">
        <f>'SK-ratings-year'!BO15</f>
        <v>5.2366770287165902</v>
      </c>
      <c r="BB15" s="470">
        <f>'SK-ratings-year'!BP15</f>
        <v>10</v>
      </c>
      <c r="BC15" s="470">
        <f>'SK-ratings-year'!BQ15</f>
        <v>1.8766750323108377</v>
      </c>
      <c r="BD15" s="470">
        <f>'SK-ratings-year'!BR15</f>
        <v>1.4746841429552404</v>
      </c>
      <c r="BE15" s="470">
        <f>'SK-ratings-year'!BS15</f>
        <v>6.0430326616578194</v>
      </c>
      <c r="BF15" s="470">
        <f>'SK-ratings-year'!BT15</f>
        <v>3.8056626346455702</v>
      </c>
      <c r="BG15" s="470">
        <f>'SK-ratings-year'!BU15</f>
        <v>6.3265540829416596</v>
      </c>
      <c r="BH15" s="470">
        <f>'SK-ratings-year'!BV15</f>
        <v>0.44522228177509365</v>
      </c>
      <c r="BI15" s="470">
        <f>'SK-ratings-year'!BW15</f>
        <v>6.5173137429032026</v>
      </c>
      <c r="BJ15" s="470">
        <f>'SK-ratings-year'!BX15</f>
        <v>2.6680590096055945</v>
      </c>
      <c r="BK15" s="470">
        <f>'SK-ratings-year'!BY15</f>
        <v>3.1196017767135888</v>
      </c>
      <c r="BL15" s="470">
        <f>'SK-ratings-year'!BZ15</f>
        <v>2.9318829735961858</v>
      </c>
      <c r="BM15" s="470">
        <f>'SK-ratings-year'!CA15</f>
        <v>10</v>
      </c>
      <c r="BN15" s="470">
        <f>'SK-ratings-year'!CB15</f>
        <v>2.4304681953241434</v>
      </c>
      <c r="BO15" s="470">
        <f>'SK-ratings-year'!CC15</f>
        <v>1.8075937722073323</v>
      </c>
      <c r="BP15" s="470">
        <f>'SK-ratings-year'!CD15</f>
        <v>10</v>
      </c>
      <c r="BQ15" s="470">
        <f>'SK-ratings-year'!CE15</f>
        <v>4.7335681273910524</v>
      </c>
      <c r="BR15" s="470">
        <f>'SK-ratings-year'!CF15</f>
        <v>2.1995737883319726</v>
      </c>
      <c r="BS15" s="470">
        <f>'SK-ratings-year'!CG15</f>
        <v>2.8265544440837185</v>
      </c>
      <c r="BT15" s="470">
        <f>'SK-ratings-year'!CH15</f>
        <v>3.9615610402857433</v>
      </c>
      <c r="BU15" s="470">
        <f>'SK-ratings-year'!CI15</f>
        <v>3.5764721164202116</v>
      </c>
      <c r="BV15" s="470">
        <f>'SK-ratings-year'!CJ15</f>
        <v>6.6640058451884592</v>
      </c>
      <c r="BW15" s="470">
        <f>'SK-ratings-year'!CK15</f>
        <v>4.3234478449530336</v>
      </c>
      <c r="BX15" s="470">
        <f>'SK-ratings-year'!CL15</f>
        <v>6.6774498165985081</v>
      </c>
      <c r="BY15" s="470">
        <f>'SK-ratings-year'!CM15</f>
        <v>1.5084978460440106</v>
      </c>
      <c r="BZ15" s="470">
        <f>'SK-ratings-year'!CN15</f>
        <v>4.1940436825984895</v>
      </c>
      <c r="CA15" s="470">
        <f>'SK-ratings-year'!CO15</f>
        <v>9.839880730541914</v>
      </c>
      <c r="CB15" s="470">
        <f>'SK-ratings-year'!CP15</f>
        <v>10</v>
      </c>
      <c r="CC15" s="470">
        <f>'SK-ratings-year'!CQ15</f>
        <v>0.59015265498932956</v>
      </c>
      <c r="CD15" s="470">
        <f>'SK-ratings-year'!CR15</f>
        <v>3.1941509111204458</v>
      </c>
      <c r="CE15" s="470">
        <f>'SK-ratings-year'!CS15</f>
        <v>4.3880142805140236</v>
      </c>
      <c r="CF15" s="470">
        <f>'SK-ratings-year'!CT15</f>
        <v>5.2142095641953432</v>
      </c>
      <c r="CG15" s="470">
        <f>'SK-ratings-year'!CU15</f>
        <v>3.5255328939494417</v>
      </c>
      <c r="CH15" s="470">
        <f>'SK-ratings-year'!CV15</f>
        <v>3.0550654241532786</v>
      </c>
      <c r="CI15" s="470">
        <f>'SK-ratings-year'!CW15</f>
        <v>6.8159788162424695</v>
      </c>
      <c r="CJ15" s="470">
        <f>'SK-ratings-year'!CX15</f>
        <v>8.726964080779398</v>
      </c>
      <c r="CL15" s="546"/>
      <c r="CM15" s="455">
        <f>'SK-ratings-year'!DA15</f>
        <v>5.0223346109492528</v>
      </c>
      <c r="CN15" s="455">
        <f>'SK-ratings-year'!DB15</f>
        <v>5.1265304592966316</v>
      </c>
      <c r="CO15" s="455">
        <f>'SK-ratings-year'!DC15</f>
        <v>5.0279020540802044</v>
      </c>
      <c r="CP15" s="455">
        <f>'SK-ratings-year'!DD15</f>
        <v>4.4538301275923011</v>
      </c>
      <c r="CQ15" s="455">
        <f>'SK-ratings-year'!DE15</f>
        <v>3.0074793761561849</v>
      </c>
      <c r="CR15" s="455">
        <f>'SK-ratings-year'!DF15</f>
        <v>3.840700093000311</v>
      </c>
      <c r="CS15" s="455">
        <f>'SK-ratings-year'!DG15</f>
        <v>6.7661014620517683</v>
      </c>
      <c r="CT15" s="455">
        <f>'SK-ratings-year'!DH15</f>
        <v>5.4285789940804294</v>
      </c>
      <c r="CU15" s="455">
        <f>'SK-ratings-year'!DI15</f>
        <v>7.5066259991162374</v>
      </c>
      <c r="CV15" s="455">
        <f>'SK-ratings-year'!DJ15</f>
        <v>6.1792892200834242</v>
      </c>
      <c r="CW15" s="455">
        <f>'SK-ratings-year'!DK15</f>
        <v>6.0199904236112101</v>
      </c>
      <c r="CX15" s="455">
        <f>'SK-ratings-year'!DL15</f>
        <v>5.2070774299296634</v>
      </c>
      <c r="CY15" s="455">
        <f>'SK-ratings-year'!DM15</f>
        <v>5.4203994629896721</v>
      </c>
      <c r="CZ15" s="455">
        <f>'SK-ratings-year'!DN15</f>
        <v>4.597138546671375</v>
      </c>
      <c r="DA15" s="455">
        <f>'SK-ratings-year'!DO15</f>
        <v>6.3409469272215073</v>
      </c>
      <c r="DB15" s="455">
        <f>'SK-ratings-year'!DP15</f>
        <v>5.2536644660304983</v>
      </c>
    </row>
    <row r="16" spans="1:106" ht="15.75" customHeight="1" thickBot="1" x14ac:dyDescent="0.3">
      <c r="A16" s="631"/>
      <c r="B16" s="669"/>
      <c r="C16" s="418">
        <f>'MD-ratings-year'!C16</f>
        <v>0.1</v>
      </c>
      <c r="D16" s="419" t="str">
        <f>'MD-ratings-year'!D16</f>
        <v>Accounts receivable turnover ratio</v>
      </c>
      <c r="E16" s="420" t="str">
        <f>'MD-ratings-year'!E16</f>
        <v>Net Sales ÷ ((Beginning Accounts Receivable + Ending Accounts Receivable) / 2)</v>
      </c>
      <c r="F16" s="422" t="s">
        <v>400</v>
      </c>
      <c r="G16" s="653"/>
      <c r="H16" s="224"/>
      <c r="I16" s="472">
        <f>'SK-ratings-year'!W16</f>
        <v>5.0680296389793282</v>
      </c>
      <c r="J16" s="472">
        <f>'SK-ratings-year'!X16</f>
        <v>6.9628897333387965</v>
      </c>
      <c r="K16" s="472">
        <f>'SK-ratings-year'!Y16</f>
        <v>2.3685108211363124</v>
      </c>
      <c r="L16" s="472">
        <f>'SK-ratings-year'!Z16</f>
        <v>2.9801031920836056</v>
      </c>
      <c r="M16" s="472">
        <f>'SK-ratings-year'!AA16</f>
        <v>2.0645621271875627</v>
      </c>
      <c r="N16" s="472">
        <f>'SK-ratings-year'!AB16</f>
        <v>8.0610487052400739</v>
      </c>
      <c r="O16" s="472">
        <f>'SK-ratings-year'!AC16</f>
        <v>3.217715068542204</v>
      </c>
      <c r="P16" s="472">
        <f>'SK-ratings-year'!AD16</f>
        <v>2.8779161521989916</v>
      </c>
      <c r="Q16" s="472">
        <f>'SK-ratings-year'!AE16</f>
        <v>2.7157036087185289</v>
      </c>
      <c r="R16" s="472">
        <f>'SK-ratings-year'!AF16</f>
        <v>4.040033429393894</v>
      </c>
      <c r="S16" s="472">
        <f>'SK-ratings-year'!AG16</f>
        <v>2.934614690089604</v>
      </c>
      <c r="T16" s="472">
        <f>'SK-ratings-year'!AH16</f>
        <v>2.1734528064451304</v>
      </c>
      <c r="U16" s="472">
        <f>'SK-ratings-year'!AI16</f>
        <v>2.7908422716649119</v>
      </c>
      <c r="V16" s="472">
        <f>'SK-ratings-year'!AJ16</f>
        <v>3.6649690195019811</v>
      </c>
      <c r="W16" s="472">
        <f>'SK-ratings-year'!AK16</f>
        <v>2.0424513547411007</v>
      </c>
      <c r="X16" s="472">
        <f>'SK-ratings-year'!AL16</f>
        <v>1.3336750748374753</v>
      </c>
      <c r="Y16" s="472">
        <f>'SK-ratings-year'!AM16</f>
        <v>3.321924162986702</v>
      </c>
      <c r="Z16" s="472">
        <f>'SK-ratings-year'!AN16</f>
        <v>4.272190777930545</v>
      </c>
      <c r="AA16" s="472">
        <f>'SK-ratings-year'!AO16</f>
        <v>1.3836746174297874</v>
      </c>
      <c r="AB16" s="472">
        <f>'SK-ratings-year'!AP16</f>
        <v>3.2987281559221233</v>
      </c>
      <c r="AC16" s="472">
        <f>'SK-ratings-year'!AQ16</f>
        <v>4.2124924172472142E-2</v>
      </c>
      <c r="AD16" s="472">
        <f>'SK-ratings-year'!AR16</f>
        <v>3.7478791455283624</v>
      </c>
      <c r="AE16" s="472">
        <f>'SK-ratings-year'!AS16</f>
        <v>4.1570837759079664</v>
      </c>
      <c r="AF16" s="472">
        <f>'SK-ratings-year'!AT16</f>
        <v>3.3824028223412728</v>
      </c>
      <c r="AG16" s="472">
        <f>'SK-ratings-year'!AU16</f>
        <v>6.681855429084945</v>
      </c>
      <c r="AH16" s="472">
        <f>'SK-ratings-year'!AV16</f>
        <v>3.1588972230729455</v>
      </c>
      <c r="AI16" s="472">
        <f>'SK-ratings-year'!AW16</f>
        <v>3.6368264752513202</v>
      </c>
      <c r="AJ16" s="472">
        <f>'SK-ratings-year'!AX16</f>
        <v>2.2622964503169447</v>
      </c>
      <c r="AK16" s="472">
        <f>'SK-ratings-year'!AY16</f>
        <v>2.6840678590567904</v>
      </c>
      <c r="AL16" s="472">
        <f>'SK-ratings-year'!AZ16</f>
        <v>3.1933548157549079</v>
      </c>
      <c r="AM16" s="472">
        <f>'SK-ratings-year'!BA16</f>
        <v>6.1965019436086033</v>
      </c>
      <c r="AN16" s="472">
        <f>'SK-ratings-year'!BB16</f>
        <v>2.909130770297609</v>
      </c>
      <c r="AO16" s="472">
        <f>'SK-ratings-year'!BC16</f>
        <v>3.6249578047620266</v>
      </c>
      <c r="AP16" s="472">
        <f>'SK-ratings-year'!BD16</f>
        <v>3.4902864525742681</v>
      </c>
      <c r="AQ16" s="472">
        <f>'SK-ratings-year'!BE16</f>
        <v>2.8383703361431687</v>
      </c>
      <c r="AR16" s="472">
        <f>'SK-ratings-year'!BF16</f>
        <v>2.8361193999949883</v>
      </c>
      <c r="AS16" s="472">
        <f>'SK-ratings-year'!BG16</f>
        <v>1.9036756287534511</v>
      </c>
      <c r="AT16" s="472">
        <f>'SK-ratings-year'!BH16</f>
        <v>3.3533389746418298</v>
      </c>
      <c r="AU16" s="472">
        <f>'SK-ratings-year'!BI16</f>
        <v>2.8895704970933189</v>
      </c>
      <c r="AV16" s="472">
        <f>'SK-ratings-year'!BJ16</f>
        <v>3.0137394430736468</v>
      </c>
      <c r="AW16" s="472">
        <f>'SK-ratings-year'!BK16</f>
        <v>3.5447360480541263</v>
      </c>
      <c r="AX16" s="472">
        <f>'SK-ratings-year'!BL16</f>
        <v>3.254077016810681</v>
      </c>
      <c r="AY16" s="472">
        <f>'SK-ratings-year'!BM16</f>
        <v>7.1815507936034528</v>
      </c>
      <c r="AZ16" s="472">
        <f>'SK-ratings-year'!BN16</f>
        <v>7.1783562986290468</v>
      </c>
      <c r="BA16" s="472">
        <f>'SK-ratings-year'!BO16</f>
        <v>3.1555297485843901</v>
      </c>
      <c r="BB16" s="472">
        <f>'SK-ratings-year'!BP16</f>
        <v>2.6619688280589</v>
      </c>
      <c r="BC16" s="472">
        <f>'SK-ratings-year'!BQ16</f>
        <v>6.2163132892222279</v>
      </c>
      <c r="BD16" s="472">
        <f>'SK-ratings-year'!BR16</f>
        <v>6.5508795471697274</v>
      </c>
      <c r="BE16" s="472">
        <f>'SK-ratings-year'!BS16</f>
        <v>2.5979992206070626</v>
      </c>
      <c r="BF16" s="472">
        <f>'SK-ratings-year'!BT16</f>
        <v>3.5458672802020508</v>
      </c>
      <c r="BG16" s="472">
        <f>'SK-ratings-year'!BU16</f>
        <v>5.1584090075119988</v>
      </c>
      <c r="BH16" s="472">
        <f>'SK-ratings-year'!BV16</f>
        <v>1.5076626730341791</v>
      </c>
      <c r="BI16" s="472">
        <f>'SK-ratings-year'!BW16</f>
        <v>2.8669796219388917</v>
      </c>
      <c r="BJ16" s="472">
        <f>'SK-ratings-year'!BX16</f>
        <v>4.1416872152283908</v>
      </c>
      <c r="BK16" s="472">
        <f>'SK-ratings-year'!BY16</f>
        <v>2.2494783824949605</v>
      </c>
      <c r="BL16" s="472">
        <f>'SK-ratings-year'!BZ16</f>
        <v>1.5031950639495912</v>
      </c>
      <c r="BM16" s="472">
        <f>'SK-ratings-year'!CA16</f>
        <v>4.1360706827836733</v>
      </c>
      <c r="BN16" s="472">
        <f>'SK-ratings-year'!CB16</f>
        <v>5.6873565905924846</v>
      </c>
      <c r="BO16" s="472">
        <f>'SK-ratings-year'!CC16</f>
        <v>5.7741150750277965</v>
      </c>
      <c r="BP16" s="472">
        <f>'SK-ratings-year'!CD16</f>
        <v>3.5763901219760403</v>
      </c>
      <c r="BQ16" s="472">
        <f>'SK-ratings-year'!CE16</f>
        <v>2.9039442100913391</v>
      </c>
      <c r="BR16" s="472">
        <f>'SK-ratings-year'!CF16</f>
        <v>4.7142111041890375</v>
      </c>
      <c r="BS16" s="472">
        <f>'SK-ratings-year'!CG16</f>
        <v>3.3761226598816445</v>
      </c>
      <c r="BT16" s="472">
        <f>'SK-ratings-year'!CH16</f>
        <v>2.0904714279822909</v>
      </c>
      <c r="BU16" s="472">
        <f>'SK-ratings-year'!CI16</f>
        <v>4.9597815951825979</v>
      </c>
      <c r="BV16" s="472">
        <f>'SK-ratings-year'!CJ16</f>
        <v>9.0905265419412409</v>
      </c>
      <c r="BW16" s="472">
        <f>'SK-ratings-year'!CK16</f>
        <v>4.8524202292065448</v>
      </c>
      <c r="BX16" s="472">
        <f>'SK-ratings-year'!CL16</f>
        <v>3.4879988490658826</v>
      </c>
      <c r="BY16" s="472">
        <f>'SK-ratings-year'!CM16</f>
        <v>2.6961116288096627</v>
      </c>
      <c r="BZ16" s="472">
        <f>'SK-ratings-year'!CN16</f>
        <v>3.3400375977177297</v>
      </c>
      <c r="CA16" s="472">
        <f>'SK-ratings-year'!CO16</f>
        <v>4.0555665044066513</v>
      </c>
      <c r="CB16" s="472">
        <f>'SK-ratings-year'!CP16</f>
        <v>2.9391071867382799</v>
      </c>
      <c r="CC16" s="472">
        <f>'SK-ratings-year'!CQ16</f>
        <v>4.365393145557424</v>
      </c>
      <c r="CD16" s="472">
        <f>'SK-ratings-year'!CR16</f>
        <v>3.3193102184156813</v>
      </c>
      <c r="CE16" s="472">
        <f>'SK-ratings-year'!CS16</f>
        <v>2.8863430084103436</v>
      </c>
      <c r="CF16" s="472">
        <f>'SK-ratings-year'!CT16</f>
        <v>1.5205445304583092</v>
      </c>
      <c r="CG16" s="472">
        <f>'SK-ratings-year'!CU16</f>
        <v>5.810300522243093</v>
      </c>
      <c r="CH16" s="472">
        <f>'SK-ratings-year'!CV16</f>
        <v>1.8691753654240357</v>
      </c>
      <c r="CI16" s="472">
        <f>'SK-ratings-year'!CW16</f>
        <v>3.2737969711740518</v>
      </c>
      <c r="CJ16" s="472">
        <f>'SK-ratings-year'!CX16</f>
        <v>3.347496958229975</v>
      </c>
      <c r="CM16" s="456">
        <f>'SK-ratings-year'!DA16</f>
        <v>4.6812469443282243</v>
      </c>
      <c r="CN16" s="456">
        <f>'SK-ratings-year'!DB16</f>
        <v>2.9732609171784619</v>
      </c>
      <c r="CO16" s="456">
        <f>'SK-ratings-year'!DC16</f>
        <v>3.145569444033645</v>
      </c>
      <c r="CP16" s="456">
        <f>'SK-ratings-year'!DD16</f>
        <v>3.4135251246659801</v>
      </c>
      <c r="CQ16" s="456">
        <f>'SK-ratings-year'!DE16</f>
        <v>3.0606956846257214</v>
      </c>
      <c r="CR16" s="456">
        <f>'SK-ratings-year'!DF16</f>
        <v>5.069303250096941</v>
      </c>
      <c r="CS16" s="456">
        <f>'SK-ratings-year'!DG16</f>
        <v>3.5822157364535041</v>
      </c>
      <c r="CT16" s="456">
        <f>'SK-ratings-year'!DH16</f>
        <v>3.2311041276004286</v>
      </c>
      <c r="CU16" s="456">
        <f>'SK-ratings-year'!DI16</f>
        <v>2.758402938443552</v>
      </c>
      <c r="CV16" s="456">
        <f>'SK-ratings-year'!DJ16</f>
        <v>2.5147927700414434</v>
      </c>
      <c r="CW16" s="456">
        <f>'SK-ratings-year'!DK16</f>
        <v>3.3051018378732056</v>
      </c>
      <c r="CX16" s="456">
        <f>'SK-ratings-year'!DL16</f>
        <v>3.1838189851133856</v>
      </c>
      <c r="CY16" s="456">
        <f>'SK-ratings-year'!DM16</f>
        <v>3.2061018173798024</v>
      </c>
      <c r="CZ16" s="456">
        <f>'SK-ratings-year'!DN16</f>
        <v>3.6444093535412998</v>
      </c>
      <c r="DA16" s="456">
        <f>'SK-ratings-year'!DO16</f>
        <v>3.297193186501767</v>
      </c>
      <c r="DB16" s="456">
        <f>'SK-ratings-year'!DP16</f>
        <v>3.5136860379382027</v>
      </c>
    </row>
    <row r="17" spans="1:106" s="463" customFormat="1" ht="15.75" customHeight="1" thickBot="1" x14ac:dyDescent="0.3">
      <c r="A17" s="632"/>
      <c r="B17" s="670"/>
      <c r="C17" s="647" t="str">
        <f>'MD-ratings-year'!C17:E17</f>
        <v>Activity total</v>
      </c>
      <c r="D17" s="648"/>
      <c r="E17" s="649"/>
      <c r="F17" s="424"/>
      <c r="G17" s="653"/>
      <c r="H17" s="270"/>
      <c r="I17" s="474">
        <f>SUMPRODUCT(I15:I16,$C15:$C16)/SUM($C15:$C16)</f>
        <v>3.5488031784173755</v>
      </c>
      <c r="J17" s="474">
        <f t="shared" ref="J17:BU17" si="45">SUMPRODUCT(J15:J16,$C15:$C16)/SUM($C15:$C16)</f>
        <v>4.7345320925389967</v>
      </c>
      <c r="K17" s="474">
        <f t="shared" si="45"/>
        <v>4.1570121500782236</v>
      </c>
      <c r="L17" s="474">
        <f t="shared" si="45"/>
        <v>3.1192208882380972</v>
      </c>
      <c r="M17" s="474">
        <f t="shared" si="45"/>
        <v>2.605347534368581</v>
      </c>
      <c r="N17" s="474">
        <f t="shared" si="45"/>
        <v>6.6726414497078386</v>
      </c>
      <c r="O17" s="474">
        <f t="shared" si="45"/>
        <v>4.5917342175520943</v>
      </c>
      <c r="P17" s="474">
        <f t="shared" si="45"/>
        <v>3.8536593932253607</v>
      </c>
      <c r="Q17" s="474">
        <f t="shared" si="45"/>
        <v>4.8854560458482315</v>
      </c>
      <c r="R17" s="474">
        <f t="shared" si="45"/>
        <v>7.020016714696947</v>
      </c>
      <c r="S17" s="474">
        <f t="shared" si="45"/>
        <v>3.7036961950433005</v>
      </c>
      <c r="T17" s="474">
        <f t="shared" si="45"/>
        <v>1.770282630128184</v>
      </c>
      <c r="U17" s="474">
        <f t="shared" si="45"/>
        <v>5.4149239111557961</v>
      </c>
      <c r="V17" s="474">
        <f t="shared" si="45"/>
        <v>6.8324845097509908</v>
      </c>
      <c r="W17" s="474">
        <f t="shared" si="45"/>
        <v>3.4787434568871509</v>
      </c>
      <c r="X17" s="474">
        <f t="shared" si="45"/>
        <v>1.8393341449344209</v>
      </c>
      <c r="Y17" s="474">
        <f t="shared" si="45"/>
        <v>3.8382164743746054</v>
      </c>
      <c r="Z17" s="474">
        <f t="shared" si="45"/>
        <v>5.3172951954110141</v>
      </c>
      <c r="AA17" s="474">
        <f t="shared" si="45"/>
        <v>1.6181648794419179</v>
      </c>
      <c r="AB17" s="474">
        <f t="shared" si="45"/>
        <v>6.6493640779610619</v>
      </c>
      <c r="AC17" s="474">
        <f t="shared" si="45"/>
        <v>6.0846340496914147E-2</v>
      </c>
      <c r="AD17" s="474">
        <f t="shared" si="45"/>
        <v>3.5096675318443347</v>
      </c>
      <c r="AE17" s="474">
        <f t="shared" si="45"/>
        <v>3.9928040844236845</v>
      </c>
      <c r="AF17" s="474">
        <f t="shared" si="45"/>
        <v>6.6912014111706357</v>
      </c>
      <c r="AG17" s="474">
        <f t="shared" si="45"/>
        <v>7.0951703297338149</v>
      </c>
      <c r="AH17" s="474">
        <f t="shared" si="45"/>
        <v>2.0541621571818469</v>
      </c>
      <c r="AI17" s="474">
        <f t="shared" si="45"/>
        <v>3.5836355227653005</v>
      </c>
      <c r="AJ17" s="474">
        <f t="shared" si="45"/>
        <v>3.0190704722621806</v>
      </c>
      <c r="AK17" s="474">
        <f t="shared" si="45"/>
        <v>2.6934645400530148</v>
      </c>
      <c r="AL17" s="474">
        <f t="shared" si="45"/>
        <v>3.1685305567623123</v>
      </c>
      <c r="AM17" s="474">
        <f t="shared" si="45"/>
        <v>5.2939463427362066</v>
      </c>
      <c r="AN17" s="474">
        <f t="shared" si="45"/>
        <v>2.9347790099314421</v>
      </c>
      <c r="AO17" s="474">
        <f t="shared" si="45"/>
        <v>5.7525805245344186</v>
      </c>
      <c r="AP17" s="474">
        <f t="shared" si="45"/>
        <v>3.11586422057333</v>
      </c>
      <c r="AQ17" s="474">
        <f t="shared" si="45"/>
        <v>3.1661707404442074</v>
      </c>
      <c r="AR17" s="474">
        <f t="shared" si="45"/>
        <v>2.6563436785141246</v>
      </c>
      <c r="AS17" s="474">
        <f t="shared" si="45"/>
        <v>3.1479880310381878</v>
      </c>
      <c r="AT17" s="474">
        <f t="shared" si="45"/>
        <v>4.8522938017996591</v>
      </c>
      <c r="AU17" s="474">
        <f t="shared" si="45"/>
        <v>6.4447852485466592</v>
      </c>
      <c r="AV17" s="474">
        <f t="shared" si="45"/>
        <v>5.4504589780199684</v>
      </c>
      <c r="AW17" s="474">
        <f t="shared" si="45"/>
        <v>3.0575936539191071</v>
      </c>
      <c r="AX17" s="474">
        <f t="shared" si="45"/>
        <v>4.7346603010382626</v>
      </c>
      <c r="AY17" s="474">
        <f t="shared" si="45"/>
        <v>5.7659496287206853</v>
      </c>
      <c r="AZ17" s="474">
        <f t="shared" si="45"/>
        <v>7.4540336957332194</v>
      </c>
      <c r="BA17" s="474">
        <f t="shared" si="45"/>
        <v>4.1961033886504904</v>
      </c>
      <c r="BB17" s="474">
        <f t="shared" si="45"/>
        <v>6.3309844140294498</v>
      </c>
      <c r="BC17" s="474">
        <f t="shared" si="45"/>
        <v>4.0464941607665326</v>
      </c>
      <c r="BD17" s="474">
        <f t="shared" si="45"/>
        <v>4.0127818450624835</v>
      </c>
      <c r="BE17" s="474">
        <f t="shared" si="45"/>
        <v>4.3205159411324408</v>
      </c>
      <c r="BF17" s="474">
        <f t="shared" si="45"/>
        <v>3.6757649574238105</v>
      </c>
      <c r="BG17" s="474">
        <f t="shared" si="45"/>
        <v>5.7424815452268296</v>
      </c>
      <c r="BH17" s="474">
        <f t="shared" si="45"/>
        <v>0.9764424774046363</v>
      </c>
      <c r="BI17" s="474">
        <f t="shared" si="45"/>
        <v>4.6921466824210478</v>
      </c>
      <c r="BJ17" s="474">
        <f t="shared" si="45"/>
        <v>3.4048731124169929</v>
      </c>
      <c r="BK17" s="474">
        <f t="shared" si="45"/>
        <v>2.6845400796042749</v>
      </c>
      <c r="BL17" s="474">
        <f t="shared" si="45"/>
        <v>2.2175390187728885</v>
      </c>
      <c r="BM17" s="474">
        <f t="shared" si="45"/>
        <v>7.0680353413918358</v>
      </c>
      <c r="BN17" s="474">
        <f t="shared" si="45"/>
        <v>4.0589123929583142</v>
      </c>
      <c r="BO17" s="474">
        <f t="shared" si="45"/>
        <v>3.7908544236175645</v>
      </c>
      <c r="BP17" s="474">
        <f t="shared" si="45"/>
        <v>6.7881950609880199</v>
      </c>
      <c r="BQ17" s="474">
        <f t="shared" si="45"/>
        <v>3.8187561687411957</v>
      </c>
      <c r="BR17" s="474">
        <f t="shared" si="45"/>
        <v>3.4568924462605053</v>
      </c>
      <c r="BS17" s="474">
        <f t="shared" si="45"/>
        <v>3.1013385519826819</v>
      </c>
      <c r="BT17" s="474">
        <f t="shared" si="45"/>
        <v>3.0260162341340173</v>
      </c>
      <c r="BU17" s="474">
        <f t="shared" si="45"/>
        <v>4.2681268558014045</v>
      </c>
      <c r="BV17" s="474">
        <f t="shared" ref="BV17:CJ17" si="46">SUMPRODUCT(BV15:BV16,$C15:$C16)/SUM($C15:$C16)</f>
        <v>7.8772661935648509</v>
      </c>
      <c r="BW17" s="474">
        <f t="shared" si="46"/>
        <v>4.5879340370797888</v>
      </c>
      <c r="BX17" s="474">
        <f t="shared" si="46"/>
        <v>5.0827243328321954</v>
      </c>
      <c r="BY17" s="474">
        <f t="shared" si="46"/>
        <v>2.1023047374268367</v>
      </c>
      <c r="BZ17" s="474">
        <f t="shared" si="46"/>
        <v>3.7670406401581094</v>
      </c>
      <c r="CA17" s="474">
        <f t="shared" si="46"/>
        <v>6.9477236174742822</v>
      </c>
      <c r="CB17" s="474">
        <f t="shared" si="46"/>
        <v>6.469553593369139</v>
      </c>
      <c r="CC17" s="474">
        <f t="shared" si="46"/>
        <v>2.4777729002733766</v>
      </c>
      <c r="CD17" s="474">
        <f t="shared" si="46"/>
        <v>3.2567305647680631</v>
      </c>
      <c r="CE17" s="474">
        <f t="shared" si="46"/>
        <v>3.6371786444621832</v>
      </c>
      <c r="CF17" s="474">
        <f t="shared" si="46"/>
        <v>3.3673770473268259</v>
      </c>
      <c r="CG17" s="474">
        <f t="shared" si="46"/>
        <v>4.6679167080962678</v>
      </c>
      <c r="CH17" s="474">
        <f t="shared" si="46"/>
        <v>2.462120394788657</v>
      </c>
      <c r="CI17" s="474">
        <f t="shared" si="46"/>
        <v>5.0448878937082604</v>
      </c>
      <c r="CJ17" s="474">
        <f t="shared" si="46"/>
        <v>6.0372305195046856</v>
      </c>
      <c r="CL17" s="584"/>
      <c r="CM17" s="464">
        <f t="shared" ref="CM17" si="47">SUMPRODUCT(CM15:CM16,$C15:$C16)/SUM($C15:$C16)</f>
        <v>4.8517907776387386</v>
      </c>
      <c r="CN17" s="464">
        <f t="shared" ref="CN17" si="48">SUMPRODUCT(CN15:CN16,$C15:$C16)/SUM($C15:$C16)</f>
        <v>4.0498956882375463</v>
      </c>
      <c r="CO17" s="464">
        <f t="shared" ref="CO17" si="49">SUMPRODUCT(CO15:CO16,$C15:$C16)/SUM($C15:$C16)</f>
        <v>4.086735749056924</v>
      </c>
      <c r="CP17" s="464">
        <f t="shared" ref="CP17" si="50">SUMPRODUCT(CP15:CP16,$C15:$C16)/SUM($C15:$C16)</f>
        <v>3.9336776261291404</v>
      </c>
      <c r="CQ17" s="464">
        <f t="shared" ref="CQ17" si="51">SUMPRODUCT(CQ15:CQ16,$C15:$C16)/SUM($C15:$C16)</f>
        <v>3.0340875303909529</v>
      </c>
      <c r="CR17" s="464">
        <f t="shared" ref="CR17" si="52">SUMPRODUCT(CR15:CR16,$C15:$C16)/SUM($C15:$C16)</f>
        <v>4.4550016715486258</v>
      </c>
      <c r="CS17" s="464">
        <f t="shared" ref="CS17" si="53">SUMPRODUCT(CS15:CS16,$C15:$C16)/SUM($C15:$C16)</f>
        <v>5.1741585992526362</v>
      </c>
      <c r="CT17" s="464">
        <f t="shared" ref="CT17" si="54">SUMPRODUCT(CT15:CT16,$C15:$C16)/SUM($C15:$C16)</f>
        <v>4.3298415608404293</v>
      </c>
      <c r="CU17" s="464">
        <f t="shared" ref="CU17" si="55">SUMPRODUCT(CU15:CU16,$C15:$C16)/SUM($C15:$C16)</f>
        <v>5.1325144687798945</v>
      </c>
      <c r="CV17" s="464">
        <f t="shared" ref="CV17:CY17" si="56">SUMPRODUCT(CV15:CV16,$C15:$C16)/SUM($C15:$C16)</f>
        <v>4.347040995062434</v>
      </c>
      <c r="CW17" s="464">
        <f t="shared" si="56"/>
        <v>4.6625461307422071</v>
      </c>
      <c r="CX17" s="464">
        <f t="shared" si="56"/>
        <v>4.1954482075215243</v>
      </c>
      <c r="CY17" s="464">
        <f t="shared" si="56"/>
        <v>4.3132506401847373</v>
      </c>
      <c r="CZ17" s="464">
        <f t="shared" ref="CZ17" si="57">SUMPRODUCT(CZ15:CZ16,$C15:$C16)/SUM($C15:$C16)</f>
        <v>4.1207739501063374</v>
      </c>
      <c r="DA17" s="464">
        <f t="shared" ref="DA17" si="58">SUMPRODUCT(DA15:DA16,$C15:$C16)/SUM($C15:$C16)</f>
        <v>4.8190700568616371</v>
      </c>
      <c r="DB17" s="464">
        <f t="shared" ref="DB17" si="59">SUMPRODUCT(DB15:DB16,$C15:$C16)/SUM($C15:$C16)</f>
        <v>4.3836752519843509</v>
      </c>
    </row>
    <row r="18" spans="1:106" s="586" customFormat="1" ht="15.75" customHeight="1" thickBot="1" x14ac:dyDescent="0.3">
      <c r="A18" s="431">
        <f>'MD-ratings-year'!A18</f>
        <v>1</v>
      </c>
      <c r="B18" s="655" t="str">
        <f>'MD-ratings-year'!B18:E18</f>
        <v>Total</v>
      </c>
      <c r="C18" s="656"/>
      <c r="D18" s="656"/>
      <c r="E18" s="657"/>
      <c r="F18" s="432"/>
      <c r="G18" s="654"/>
      <c r="H18" s="432"/>
      <c r="I18" s="446">
        <f>(I7*$A4+I11*$A8+I14*$A12+I17*$A15)/($A4+$A8+$A12+$A15)</f>
        <v>6.0599395461663894</v>
      </c>
      <c r="J18" s="446">
        <f t="shared" ref="J18:BU18" si="60">(J7*$A4+J11*$A8+J14*$A12+J17*$A15)/($A4+$A8+$A12+$A15)</f>
        <v>7.2791899283959616</v>
      </c>
      <c r="K18" s="446">
        <f t="shared" si="60"/>
        <v>4.0970026772542658</v>
      </c>
      <c r="L18" s="446">
        <f t="shared" si="60"/>
        <v>4.221934504471224</v>
      </c>
      <c r="M18" s="446">
        <f t="shared" si="60"/>
        <v>4.4474784434060926</v>
      </c>
      <c r="N18" s="446">
        <f t="shared" si="60"/>
        <v>5.4297662628801699</v>
      </c>
      <c r="O18" s="446">
        <f t="shared" si="60"/>
        <v>5.4970076446969536</v>
      </c>
      <c r="P18" s="446">
        <f t="shared" si="60"/>
        <v>5.8286548165633878</v>
      </c>
      <c r="Q18" s="446">
        <f t="shared" si="60"/>
        <v>4.1906085580591919</v>
      </c>
      <c r="R18" s="446">
        <f t="shared" si="60"/>
        <v>4.0368520492932491</v>
      </c>
      <c r="S18" s="446">
        <f t="shared" si="60"/>
        <v>5.8889524203984083</v>
      </c>
      <c r="T18" s="446">
        <f t="shared" si="60"/>
        <v>5.0779686133939874</v>
      </c>
      <c r="U18" s="446">
        <f t="shared" si="60"/>
        <v>5.5412851891087627</v>
      </c>
      <c r="V18" s="446">
        <f t="shared" si="60"/>
        <v>5.1260278000293189</v>
      </c>
      <c r="W18" s="446">
        <f t="shared" si="60"/>
        <v>4.7226175698835693</v>
      </c>
      <c r="X18" s="446">
        <f t="shared" si="60"/>
        <v>5.8547556019931299</v>
      </c>
      <c r="Y18" s="446">
        <f t="shared" si="60"/>
        <v>6.0334252727579374</v>
      </c>
      <c r="Z18" s="446">
        <f t="shared" si="60"/>
        <v>5.2821292191096285</v>
      </c>
      <c r="AA18" s="446">
        <f t="shared" si="60"/>
        <v>3.9344073581827335</v>
      </c>
      <c r="AB18" s="446">
        <f t="shared" si="60"/>
        <v>5.2702855929593166</v>
      </c>
      <c r="AC18" s="446">
        <f t="shared" si="60"/>
        <v>5.0976464199227971</v>
      </c>
      <c r="AD18" s="446">
        <f t="shared" si="60"/>
        <v>6.2766714599819826</v>
      </c>
      <c r="AE18" s="446">
        <f t="shared" si="60"/>
        <v>5.8763515479386905</v>
      </c>
      <c r="AF18" s="446">
        <f t="shared" si="60"/>
        <v>3.0843111416868041</v>
      </c>
      <c r="AG18" s="446">
        <f t="shared" si="60"/>
        <v>3.2462688034212781</v>
      </c>
      <c r="AH18" s="446">
        <f t="shared" si="60"/>
        <v>7.2947916895934179</v>
      </c>
      <c r="AI18" s="446">
        <f t="shared" si="60"/>
        <v>3.8506467503034472</v>
      </c>
      <c r="AJ18" s="446">
        <f t="shared" si="60"/>
        <v>2.9200308878253214</v>
      </c>
      <c r="AK18" s="446">
        <f t="shared" si="60"/>
        <v>6.1475634737024452</v>
      </c>
      <c r="AL18" s="446">
        <f t="shared" si="60"/>
        <v>6.1921054091392893</v>
      </c>
      <c r="AM18" s="446">
        <f t="shared" si="60"/>
        <v>3.4411758933800294</v>
      </c>
      <c r="AN18" s="446">
        <f t="shared" si="60"/>
        <v>5.6774557451767507</v>
      </c>
      <c r="AO18" s="446">
        <f t="shared" si="60"/>
        <v>5.2180255296433229</v>
      </c>
      <c r="AP18" s="446">
        <f t="shared" si="60"/>
        <v>5.4100510448882062</v>
      </c>
      <c r="AQ18" s="446">
        <f t="shared" si="60"/>
        <v>4.5233288122654187</v>
      </c>
      <c r="AR18" s="446">
        <f t="shared" si="60"/>
        <v>5.2661007113684102</v>
      </c>
      <c r="AS18" s="446">
        <f t="shared" si="60"/>
        <v>5.282633940536547</v>
      </c>
      <c r="AT18" s="446">
        <f t="shared" si="60"/>
        <v>5.5632508734455604</v>
      </c>
      <c r="AU18" s="446">
        <f t="shared" si="60"/>
        <v>3.5942298469126275</v>
      </c>
      <c r="AV18" s="446">
        <f t="shared" si="60"/>
        <v>4.9159619228492719</v>
      </c>
      <c r="AW18" s="446">
        <f t="shared" si="60"/>
        <v>3.4822436764132343</v>
      </c>
      <c r="AX18" s="446">
        <f t="shared" si="60"/>
        <v>3.4657029678376872</v>
      </c>
      <c r="AY18" s="446">
        <f t="shared" si="60"/>
        <v>6.8582192874487706</v>
      </c>
      <c r="AZ18" s="446">
        <f t="shared" si="60"/>
        <v>6.1513372380905675</v>
      </c>
      <c r="BA18" s="446">
        <f t="shared" si="60"/>
        <v>5.6118540730342046</v>
      </c>
      <c r="BB18" s="446">
        <f t="shared" si="60"/>
        <v>5.3111808551930864</v>
      </c>
      <c r="BC18" s="446">
        <f t="shared" si="60"/>
        <v>5.3729507805927401</v>
      </c>
      <c r="BD18" s="446">
        <f t="shared" si="60"/>
        <v>4.875218076792212</v>
      </c>
      <c r="BE18" s="446">
        <f t="shared" si="60"/>
        <v>5.3184467821740196</v>
      </c>
      <c r="BF18" s="446">
        <f t="shared" si="60"/>
        <v>4.3719870079622876</v>
      </c>
      <c r="BG18" s="446">
        <f t="shared" si="60"/>
        <v>6.3621935860165175</v>
      </c>
      <c r="BH18" s="446">
        <f t="shared" si="60"/>
        <v>5.7210184918549079</v>
      </c>
      <c r="BI18" s="446">
        <f t="shared" si="60"/>
        <v>4.0229535030589751</v>
      </c>
      <c r="BJ18" s="446">
        <f t="shared" si="60"/>
        <v>3.7902420777955936</v>
      </c>
      <c r="BK18" s="446">
        <f t="shared" si="60"/>
        <v>6.248027618598984</v>
      </c>
      <c r="BL18" s="446">
        <f t="shared" si="60"/>
        <v>3.8553043183415512</v>
      </c>
      <c r="BM18" s="446">
        <f t="shared" si="60"/>
        <v>5.7294278491620148</v>
      </c>
      <c r="BN18" s="446">
        <f t="shared" si="60"/>
        <v>6.7664919795309899</v>
      </c>
      <c r="BO18" s="446">
        <f t="shared" si="60"/>
        <v>6.7101104408535557</v>
      </c>
      <c r="BP18" s="446">
        <f t="shared" si="60"/>
        <v>6.0957519717808104</v>
      </c>
      <c r="BQ18" s="446">
        <f t="shared" si="60"/>
        <v>4.9248560983598848</v>
      </c>
      <c r="BR18" s="446">
        <f t="shared" si="60"/>
        <v>7.079632627148654</v>
      </c>
      <c r="BS18" s="446">
        <f t="shared" si="60"/>
        <v>5.5929381923751986</v>
      </c>
      <c r="BT18" s="446">
        <f t="shared" si="60"/>
        <v>5.705624014136375</v>
      </c>
      <c r="BU18" s="446">
        <f t="shared" si="60"/>
        <v>5.9347327998924921</v>
      </c>
      <c r="BV18" s="446">
        <f t="shared" ref="BV18:CJ18" si="61">(BV7*$A4+BV11*$A8+BV14*$A12+BV17*$A15)/($A4+$A8+$A12+$A15)</f>
        <v>6.7621914385849937</v>
      </c>
      <c r="BW18" s="446">
        <f t="shared" si="61"/>
        <v>6.355607323424854</v>
      </c>
      <c r="BX18" s="446">
        <f t="shared" si="61"/>
        <v>5.002357419086028</v>
      </c>
      <c r="BY18" s="446">
        <f t="shared" si="61"/>
        <v>7.4342537429375035</v>
      </c>
      <c r="BZ18" s="446">
        <f t="shared" si="61"/>
        <v>4.1656087186192874</v>
      </c>
      <c r="CA18" s="446">
        <f t="shared" si="61"/>
        <v>5.1380875916968201</v>
      </c>
      <c r="CB18" s="446">
        <f t="shared" si="61"/>
        <v>5.2460320485504637</v>
      </c>
      <c r="CC18" s="446">
        <f t="shared" si="61"/>
        <v>3.7480502025134541</v>
      </c>
      <c r="CD18" s="446">
        <f t="shared" si="61"/>
        <v>6.6561891743646093</v>
      </c>
      <c r="CE18" s="446">
        <f t="shared" si="61"/>
        <v>5.0941141777368806</v>
      </c>
      <c r="CF18" s="446">
        <f t="shared" si="61"/>
        <v>4.9888486918222936</v>
      </c>
      <c r="CG18" s="446">
        <f t="shared" si="61"/>
        <v>5.033301740501436</v>
      </c>
      <c r="CH18" s="446">
        <f t="shared" si="61"/>
        <v>5.10826983957854</v>
      </c>
      <c r="CI18" s="446">
        <f t="shared" si="61"/>
        <v>3.0245211993978347</v>
      </c>
      <c r="CJ18" s="446">
        <f t="shared" si="61"/>
        <v>2.7626177708161506</v>
      </c>
      <c r="CL18" s="587"/>
      <c r="CM18" s="588">
        <f t="shared" ref="CM18" si="62">(CM7*$A4+CM11*$A8+CM14*$A12+CM17*$A15)/($A4+$A8+$A12+$A15)</f>
        <v>5.9852767468147645</v>
      </c>
      <c r="CN18" s="588">
        <f t="shared" ref="CN18" si="63">(CN7*$A4+CN11*$A8+CN14*$A12+CN17*$A15)/($A4+$A8+$A12+$A15)</f>
        <v>5.9224558953902999</v>
      </c>
      <c r="CO18" s="588">
        <f t="shared" ref="CO18" si="64">(CO7*$A4+CO11*$A8+CO14*$A12+CO17*$A15)/($A4+$A8+$A12+$A15)</f>
        <v>4.4138571537255711</v>
      </c>
      <c r="CP18" s="588">
        <f t="shared" ref="CP18" si="65">(CP7*$A4+CP11*$A8+CP14*$A12+CP17*$A15)/($A4+$A8+$A12+$A15)</f>
        <v>5.2819294716644336</v>
      </c>
      <c r="CQ18" s="588">
        <f t="shared" ref="CQ18" si="66">(CQ7*$A4+CQ11*$A8+CQ14*$A12+CQ17*$A15)/($A4+$A8+$A12+$A15)</f>
        <v>4.7722958984991015</v>
      </c>
      <c r="CR18" s="588">
        <f t="shared" ref="CR18" si="67">(CR7*$A4+CR11*$A8+CR14*$A12+CR17*$A15)/($A4+$A8+$A12+$A15)</f>
        <v>5.5799667342299966</v>
      </c>
      <c r="CS18" s="588">
        <f t="shared" ref="CS18" si="68">(CS7*$A4+CS11*$A8+CS14*$A12+CS17*$A15)/($A4+$A8+$A12+$A15)</f>
        <v>4.7640262394822486</v>
      </c>
      <c r="CT18" s="588">
        <f t="shared" ref="CT18" si="69">(CT7*$A4+CT11*$A8+CT14*$A12+CT17*$A15)/($A4+$A8+$A12+$A15)</f>
        <v>5.0704790514733773</v>
      </c>
      <c r="CU18" s="588">
        <f t="shared" ref="CU18" si="70">(CU7*$A4+CU11*$A8+CU14*$A12+CU17*$A15)/($A4+$A8+$A12+$A15)</f>
        <v>4.5410330160805934</v>
      </c>
      <c r="CV18" s="588">
        <f t="shared" ref="CV18:CY18" si="71">(CV7*$A4+CV11*$A8+CV14*$A12+CV17*$A15)/($A4+$A8+$A12+$A15)</f>
        <v>5.1255436748740628</v>
      </c>
      <c r="CW18" s="588">
        <f t="shared" si="71"/>
        <v>5.291186790673688</v>
      </c>
      <c r="CX18" s="588">
        <f t="shared" si="71"/>
        <v>4.7074864185389709</v>
      </c>
      <c r="CY18" s="588">
        <f t="shared" si="71"/>
        <v>5.0473485088978496</v>
      </c>
      <c r="CZ18" s="588">
        <f t="shared" ref="CZ18" si="72">(CZ7*$A4+CZ11*$A8+CZ14*$A12+CZ17*$A15)/($A4+$A8+$A12+$A15)</f>
        <v>5.2765610327753709</v>
      </c>
      <c r="DA18" s="588">
        <f t="shared" ref="DA18" si="73">(DA7*$A4+DA11*$A8+DA14*$A12+DA17*$A15)/($A4+$A8+$A12+$A15)</f>
        <v>4.8666985857093428</v>
      </c>
      <c r="DB18" s="588">
        <f t="shared" ref="DB18" si="74">(DB7*$A4+DB11*$A8+DB14*$A12+DB17*$A15)/($A4+$A8+$A12+$A15)</f>
        <v>5.1222520370897815</v>
      </c>
    </row>
    <row r="19" spans="1:106" ht="15.75" customHeight="1" x14ac:dyDescent="0.25">
      <c r="CM19" s="456"/>
      <c r="CN19" s="456"/>
      <c r="CO19" s="456"/>
      <c r="CP19" s="456"/>
      <c r="CQ19" s="456"/>
      <c r="CR19" s="456"/>
      <c r="CS19" s="456"/>
      <c r="CT19" s="456"/>
      <c r="CU19" s="456"/>
      <c r="CV19" s="456"/>
      <c r="CW19" s="456"/>
      <c r="CX19" s="456"/>
      <c r="CY19" s="456"/>
      <c r="CZ19" s="456"/>
      <c r="DA19" s="456"/>
      <c r="DB19" s="456"/>
    </row>
    <row r="20" spans="1:106" ht="15.75" customHeight="1" thickBot="1" x14ac:dyDescent="0.3">
      <c r="CM20" s="456"/>
      <c r="CN20" s="456"/>
      <c r="CO20" s="456"/>
      <c r="CP20" s="456"/>
      <c r="CQ20" s="456"/>
      <c r="CR20" s="456"/>
      <c r="CS20" s="456"/>
      <c r="CT20" s="456"/>
      <c r="CU20" s="456"/>
      <c r="CV20" s="456"/>
      <c r="CW20" s="456"/>
      <c r="CX20" s="456"/>
      <c r="CY20" s="456"/>
      <c r="CZ20" s="456"/>
      <c r="DA20" s="456"/>
      <c r="DB20" s="456"/>
    </row>
    <row r="21" spans="1:106" s="429" customFormat="1" ht="15.75" customHeight="1" thickBot="1" x14ac:dyDescent="0.3">
      <c r="A21" s="639">
        <f>'MD-ratings-year'!A21</f>
        <v>0.25</v>
      </c>
      <c r="B21" s="633" t="str">
        <f>'MD-ratings-year'!B21</f>
        <v>Liquidity</v>
      </c>
      <c r="C21" s="231">
        <f>'MD-ratings-year'!C21</f>
        <v>8.3333333333333329E-2</v>
      </c>
      <c r="D21" s="434" t="str">
        <f>'MD-ratings-year'!D21</f>
        <v>Current Ratio</v>
      </c>
      <c r="E21" s="437" t="str">
        <f>'MD-ratings-year'!E21</f>
        <v>Current Assets ÷ Current Liabilities</v>
      </c>
      <c r="F21" s="439" t="s">
        <v>400</v>
      </c>
      <c r="G21" s="653">
        <v>2016</v>
      </c>
      <c r="I21" s="469">
        <f>('SK-ratings-year'!W21*'MD-ratings-year'!$I21+'SK-ratings-year'!W4*'MD-ratings-year'!$H4)/('MD-ratings-year'!$I21+'MD-ratings-year'!$H4)</f>
        <v>9.8073361827853009</v>
      </c>
      <c r="J21" s="469">
        <f>('SK-ratings-year'!X21*'MD-ratings-year'!$I21+'SK-ratings-year'!X4*'MD-ratings-year'!$H4)/('MD-ratings-year'!$I21+'MD-ratings-year'!$H4)</f>
        <v>9.2745142609820217</v>
      </c>
      <c r="K21" s="469">
        <f>('SK-ratings-year'!Y21*'MD-ratings-year'!$I21+'SK-ratings-year'!Y4*'MD-ratings-year'!$H4)/('MD-ratings-year'!$I21+'MD-ratings-year'!$H4)</f>
        <v>4.2762989923770611</v>
      </c>
      <c r="L21" s="469">
        <f>('SK-ratings-year'!Z21*'MD-ratings-year'!$I21+'SK-ratings-year'!Z4*'MD-ratings-year'!$H4)/('MD-ratings-year'!$I21+'MD-ratings-year'!$H4)</f>
        <v>3.5049983383084578</v>
      </c>
      <c r="M21" s="469">
        <f>('SK-ratings-year'!AA21*'MD-ratings-year'!$I21+'SK-ratings-year'!AA4*'MD-ratings-year'!$H4)/('MD-ratings-year'!$I21+'MD-ratings-year'!$H4)</f>
        <v>2.9121183374071764</v>
      </c>
      <c r="N21" s="469">
        <f>('SK-ratings-year'!AB21*'MD-ratings-year'!$I21+'SK-ratings-year'!AB4*'MD-ratings-year'!$H4)/('MD-ratings-year'!$I21+'MD-ratings-year'!$H4)</f>
        <v>5.4584374585835054</v>
      </c>
      <c r="O21" s="469">
        <f>('SK-ratings-year'!AC21*'MD-ratings-year'!$I21+'SK-ratings-year'!AC4*'MD-ratings-year'!$H4)/('MD-ratings-year'!$I21+'MD-ratings-year'!$H4)</f>
        <v>6.1576890990064621</v>
      </c>
      <c r="P21" s="469">
        <f>('SK-ratings-year'!AD21*'MD-ratings-year'!$I21+'SK-ratings-year'!AD4*'MD-ratings-year'!$H4)/('MD-ratings-year'!$I21+'MD-ratings-year'!$H4)</f>
        <v>5.4528151145620933</v>
      </c>
      <c r="Q21" s="469">
        <f>('SK-ratings-year'!AE21*'MD-ratings-year'!$I21+'SK-ratings-year'!AE4*'MD-ratings-year'!$H4)/('MD-ratings-year'!$I21+'MD-ratings-year'!$H4)</f>
        <v>5.030402518405749</v>
      </c>
      <c r="R21" s="469">
        <f>('SK-ratings-year'!AF21*'MD-ratings-year'!$I21+'SK-ratings-year'!AF4*'MD-ratings-year'!$H4)/('MD-ratings-year'!$I21+'MD-ratings-year'!$H4)</f>
        <v>4.2282189949124058</v>
      </c>
      <c r="S21" s="469">
        <f>('SK-ratings-year'!AG21*'MD-ratings-year'!$I21+'SK-ratings-year'!AG4*'MD-ratings-year'!$H4)/('MD-ratings-year'!$I21+'MD-ratings-year'!$H4)</f>
        <v>5.8844899939515996</v>
      </c>
      <c r="T21" s="469">
        <f>('SK-ratings-year'!AH21*'MD-ratings-year'!$I21+'SK-ratings-year'!AH4*'MD-ratings-year'!$H4)/('MD-ratings-year'!$I21+'MD-ratings-year'!$H4)</f>
        <v>9.7867644106255796</v>
      </c>
      <c r="U21" s="469">
        <f>('SK-ratings-year'!AI21*'MD-ratings-year'!$I21+'SK-ratings-year'!AI4*'MD-ratings-year'!$H4)/('MD-ratings-year'!$I21+'MD-ratings-year'!$H4)</f>
        <v>4.2221485863023824</v>
      </c>
      <c r="V21" s="469">
        <f>('SK-ratings-year'!AJ21*'MD-ratings-year'!$I21+'SK-ratings-year'!AJ4*'MD-ratings-year'!$H4)/('MD-ratings-year'!$I21+'MD-ratings-year'!$H4)</f>
        <v>4.264986736071533</v>
      </c>
      <c r="W21" s="469">
        <f>('SK-ratings-year'!AK21*'MD-ratings-year'!$I21+'SK-ratings-year'!AK4*'MD-ratings-year'!$H4)/('MD-ratings-year'!$I21+'MD-ratings-year'!$H4)</f>
        <v>4.690589341343105</v>
      </c>
      <c r="X21" s="469">
        <f>('SK-ratings-year'!AL21*'MD-ratings-year'!$I21+'SK-ratings-year'!AL4*'MD-ratings-year'!$H4)/('MD-ratings-year'!$I21+'MD-ratings-year'!$H4)</f>
        <v>9.1614916663880255</v>
      </c>
      <c r="Y21" s="469">
        <f>('SK-ratings-year'!AM21*'MD-ratings-year'!$I21+'SK-ratings-year'!AM4*'MD-ratings-year'!$H4)/('MD-ratings-year'!$I21+'MD-ratings-year'!$H4)</f>
        <v>5.7579938914894466</v>
      </c>
      <c r="Z21" s="469">
        <f>('SK-ratings-year'!AN21*'MD-ratings-year'!$I21+'SK-ratings-year'!AN4*'MD-ratings-year'!$H4)/('MD-ratings-year'!$I21+'MD-ratings-year'!$H4)</f>
        <v>4.7897909340247349</v>
      </c>
      <c r="AA21" s="469">
        <f>('SK-ratings-year'!AO21*'MD-ratings-year'!$I21+'SK-ratings-year'!AO4*'MD-ratings-year'!$H4)/('MD-ratings-year'!$I21+'MD-ratings-year'!$H4)</f>
        <v>5.7061698503386751</v>
      </c>
      <c r="AB21" s="469">
        <f>('SK-ratings-year'!AP21*'MD-ratings-year'!$I21+'SK-ratings-year'!AP4*'MD-ratings-year'!$H4)/('MD-ratings-year'!$I21+'MD-ratings-year'!$H4)</f>
        <v>4.0724817749745821</v>
      </c>
      <c r="AC21" s="469">
        <f>('SK-ratings-year'!AQ21*'MD-ratings-year'!$I21+'SK-ratings-year'!AQ4*'MD-ratings-year'!$H4)/('MD-ratings-year'!$I21+'MD-ratings-year'!$H4)</f>
        <v>10</v>
      </c>
      <c r="AD21" s="469">
        <f>('SK-ratings-year'!AR21*'MD-ratings-year'!$I21+'SK-ratings-year'!AR4*'MD-ratings-year'!$H4)/('MD-ratings-year'!$I21+'MD-ratings-year'!$H4)</f>
        <v>8.1242582050226169</v>
      </c>
      <c r="AE21" s="469">
        <f>('SK-ratings-year'!AS21*'MD-ratings-year'!$I21+'SK-ratings-year'!AS4*'MD-ratings-year'!$H4)/('MD-ratings-year'!$I21+'MD-ratings-year'!$H4)</f>
        <v>6.3288881248697413</v>
      </c>
      <c r="AF21" s="469">
        <f>('SK-ratings-year'!AT21*'MD-ratings-year'!$I21+'SK-ratings-year'!AT4*'MD-ratings-year'!$H4)/('MD-ratings-year'!$I21+'MD-ratings-year'!$H4)</f>
        <v>4.0255721434540712</v>
      </c>
      <c r="AG21" s="469">
        <f>('SK-ratings-year'!AU21*'MD-ratings-year'!$I21+'SK-ratings-year'!AU4*'MD-ratings-year'!$H4)/('MD-ratings-year'!$I21+'MD-ratings-year'!$H4)</f>
        <v>4.064004912981992</v>
      </c>
      <c r="AH21" s="469">
        <f>('SK-ratings-year'!AV21*'MD-ratings-year'!$I21+'SK-ratings-year'!AV4*'MD-ratings-year'!$H4)/('MD-ratings-year'!$I21+'MD-ratings-year'!$H4)</f>
        <v>10</v>
      </c>
      <c r="AI21" s="469">
        <f>('SK-ratings-year'!AW21*'MD-ratings-year'!$I21+'SK-ratings-year'!AW4*'MD-ratings-year'!$H4)/('MD-ratings-year'!$I21+'MD-ratings-year'!$H4)</f>
        <v>6.5671640490359788</v>
      </c>
      <c r="AJ21" s="469">
        <f>('SK-ratings-year'!AX21*'MD-ratings-year'!$I21+'SK-ratings-year'!AX4*'MD-ratings-year'!$H4)/('MD-ratings-year'!$I21+'MD-ratings-year'!$H4)</f>
        <v>2.293674507460576</v>
      </c>
      <c r="AK21" s="469">
        <f>('SK-ratings-year'!AY21*'MD-ratings-year'!$I21+'SK-ratings-year'!AY4*'MD-ratings-year'!$H4)/('MD-ratings-year'!$I21+'MD-ratings-year'!$H4)</f>
        <v>7.4962095671870754</v>
      </c>
      <c r="AL21" s="469">
        <f>('SK-ratings-year'!AZ21*'MD-ratings-year'!$I21+'SK-ratings-year'!AZ4*'MD-ratings-year'!$H4)/('MD-ratings-year'!$I21+'MD-ratings-year'!$H4)</f>
        <v>6.5254179205376976</v>
      </c>
      <c r="AM21" s="469">
        <f>('SK-ratings-year'!BA21*'MD-ratings-year'!$I21+'SK-ratings-year'!BA4*'MD-ratings-year'!$H4)/('MD-ratings-year'!$I21+'MD-ratings-year'!$H4)</f>
        <v>1.006468282132712</v>
      </c>
      <c r="AN21" s="469">
        <f>('SK-ratings-year'!BB21*'MD-ratings-year'!$I21+'SK-ratings-year'!BB4*'MD-ratings-year'!$H4)/('MD-ratings-year'!$I21+'MD-ratings-year'!$H4)</f>
        <v>7.7688677226113194</v>
      </c>
      <c r="AO21" s="469">
        <f>('SK-ratings-year'!BC21*'MD-ratings-year'!$I21+'SK-ratings-year'!BC4*'MD-ratings-year'!$H4)/('MD-ratings-year'!$I21+'MD-ratings-year'!$H4)</f>
        <v>5.036682328697994</v>
      </c>
      <c r="AP21" s="469">
        <f>('SK-ratings-year'!BD21*'MD-ratings-year'!$I21+'SK-ratings-year'!BD4*'MD-ratings-year'!$H4)/('MD-ratings-year'!$I21+'MD-ratings-year'!$H4)</f>
        <v>8.0013319164817265</v>
      </c>
      <c r="AQ21" s="469">
        <f>('SK-ratings-year'!BE21*'MD-ratings-year'!$I21+'SK-ratings-year'!BE4*'MD-ratings-year'!$H4)/('MD-ratings-year'!$I21+'MD-ratings-year'!$H4)</f>
        <v>4.9791494427201055</v>
      </c>
      <c r="AR21" s="469">
        <f>('SK-ratings-year'!BF21*'MD-ratings-year'!$I21+'SK-ratings-year'!BF4*'MD-ratings-year'!$H4)/('MD-ratings-year'!$I21+'MD-ratings-year'!$H4)</f>
        <v>7.9028442460450847</v>
      </c>
      <c r="AS21" s="469">
        <f>('SK-ratings-year'!BG21*'MD-ratings-year'!$I21+'SK-ratings-year'!BG4*'MD-ratings-year'!$H4)/('MD-ratings-year'!$I21+'MD-ratings-year'!$H4)</f>
        <v>6.0013380744942042</v>
      </c>
      <c r="AT21" s="469">
        <f>('SK-ratings-year'!BH21*'MD-ratings-year'!$I21+'SK-ratings-year'!BH4*'MD-ratings-year'!$H4)/('MD-ratings-year'!$I21+'MD-ratings-year'!$H4)</f>
        <v>5.1411044442914147</v>
      </c>
      <c r="AU21" s="469">
        <f>('SK-ratings-year'!BI21*'MD-ratings-year'!$I21+'SK-ratings-year'!BI4*'MD-ratings-year'!$H4)/('MD-ratings-year'!$I21+'MD-ratings-year'!$H4)</f>
        <v>3.4227617632714029</v>
      </c>
      <c r="AV21" s="469">
        <f>('SK-ratings-year'!BJ21*'MD-ratings-year'!$I21+'SK-ratings-year'!BJ4*'MD-ratings-year'!$H4)/('MD-ratings-year'!$I21+'MD-ratings-year'!$H4)</f>
        <v>4.4828787668255661</v>
      </c>
      <c r="AW21" s="469">
        <f>('SK-ratings-year'!BK21*'MD-ratings-year'!$I21+'SK-ratings-year'!BK4*'MD-ratings-year'!$H4)/('MD-ratings-year'!$I21+'MD-ratings-year'!$H4)</f>
        <v>4.234367317653664</v>
      </c>
      <c r="AX21" s="469">
        <f>('SK-ratings-year'!BL21*'MD-ratings-year'!$I21+'SK-ratings-year'!BL4*'MD-ratings-year'!$H4)/('MD-ratings-year'!$I21+'MD-ratings-year'!$H4)</f>
        <v>3.3358490637908278</v>
      </c>
      <c r="AY21" s="469">
        <f>('SK-ratings-year'!BM21*'MD-ratings-year'!$I21+'SK-ratings-year'!BM4*'MD-ratings-year'!$H4)/('MD-ratings-year'!$I21+'MD-ratings-year'!$H4)</f>
        <v>9.2140470848862872</v>
      </c>
      <c r="AZ21" s="469">
        <f>('SK-ratings-year'!BN21*'MD-ratings-year'!$I21+'SK-ratings-year'!BN4*'MD-ratings-year'!$H4)/('MD-ratings-year'!$I21+'MD-ratings-year'!$H4)</f>
        <v>5.8352482193055</v>
      </c>
      <c r="BA21" s="469">
        <f>('SK-ratings-year'!BO21*'MD-ratings-year'!$I21+'SK-ratings-year'!BO4*'MD-ratings-year'!$H4)/('MD-ratings-year'!$I21+'MD-ratings-year'!$H4)</f>
        <v>5.043782728138992</v>
      </c>
      <c r="BB21" s="469">
        <f>('SK-ratings-year'!BP21*'MD-ratings-year'!$I21+'SK-ratings-year'!BP4*'MD-ratings-year'!$H4)/('MD-ratings-year'!$I21+'MD-ratings-year'!$H4)</f>
        <v>3.3053315967686094</v>
      </c>
      <c r="BC21" s="469">
        <f>('SK-ratings-year'!BQ21*'MD-ratings-year'!$I21+'SK-ratings-year'!BQ4*'MD-ratings-year'!$H4)/('MD-ratings-year'!$I21+'MD-ratings-year'!$H4)</f>
        <v>9.0749012841093837</v>
      </c>
      <c r="BD21" s="469">
        <f>('SK-ratings-year'!BR21*'MD-ratings-year'!$I21+'SK-ratings-year'!BR4*'MD-ratings-year'!$H4)/('MD-ratings-year'!$I21+'MD-ratings-year'!$H4)</f>
        <v>7.7477610644634263</v>
      </c>
      <c r="BE21" s="469">
        <f>('SK-ratings-year'!BS21*'MD-ratings-year'!$I21+'SK-ratings-year'!BS4*'MD-ratings-year'!$H4)/('MD-ratings-year'!$I21+'MD-ratings-year'!$H4)</f>
        <v>4.0464333111285669</v>
      </c>
      <c r="BF21" s="469">
        <f>('SK-ratings-year'!BT21*'MD-ratings-year'!$I21+'SK-ratings-year'!BT4*'MD-ratings-year'!$H4)/('MD-ratings-year'!$I21+'MD-ratings-year'!$H4)</f>
        <v>2.7460009895290809</v>
      </c>
      <c r="BG21" s="469">
        <f>('SK-ratings-year'!BU21*'MD-ratings-year'!$I21+'SK-ratings-year'!BU4*'MD-ratings-year'!$H4)/('MD-ratings-year'!$I21+'MD-ratings-year'!$H4)</f>
        <v>4.8894526284138999</v>
      </c>
      <c r="BH21" s="469">
        <f>('SK-ratings-year'!BV21*'MD-ratings-year'!$I21+'SK-ratings-year'!BV4*'MD-ratings-year'!$H4)/('MD-ratings-year'!$I21+'MD-ratings-year'!$H4)</f>
        <v>10</v>
      </c>
      <c r="BI21" s="469">
        <f>('SK-ratings-year'!BW21*'MD-ratings-year'!$I21+'SK-ratings-year'!BW4*'MD-ratings-year'!$H4)/('MD-ratings-year'!$I21+'MD-ratings-year'!$H4)</f>
        <v>4.2492461321577988</v>
      </c>
      <c r="BJ21" s="469">
        <f>('SK-ratings-year'!BX21*'MD-ratings-year'!$I21+'SK-ratings-year'!BX4*'MD-ratings-year'!$H4)/('MD-ratings-year'!$I21+'MD-ratings-year'!$H4)</f>
        <v>4.2168919801662792</v>
      </c>
      <c r="BK21" s="469">
        <f>('SK-ratings-year'!BY21*'MD-ratings-year'!$I21+'SK-ratings-year'!BY4*'MD-ratings-year'!$H4)/('MD-ratings-year'!$I21+'MD-ratings-year'!$H4)</f>
        <v>6.4238289089354703</v>
      </c>
      <c r="BL21" s="469">
        <f>('SK-ratings-year'!BZ21*'MD-ratings-year'!$I21+'SK-ratings-year'!BZ4*'MD-ratings-year'!$H4)/('MD-ratings-year'!$I21+'MD-ratings-year'!$H4)</f>
        <v>6.0180361514076015</v>
      </c>
      <c r="BM21" s="469">
        <f>('SK-ratings-year'!CA21*'MD-ratings-year'!$I21+'SK-ratings-year'!CA4*'MD-ratings-year'!$H4)/('MD-ratings-year'!$I21+'MD-ratings-year'!$H4)</f>
        <v>4.346947085076283</v>
      </c>
      <c r="BN21" s="469">
        <f>('SK-ratings-year'!CB21*'MD-ratings-year'!$I21+'SK-ratings-year'!CB4*'MD-ratings-year'!$H4)/('MD-ratings-year'!$I21+'MD-ratings-year'!$H4)</f>
        <v>9.8200826201286553</v>
      </c>
      <c r="BO21" s="469">
        <f>('SK-ratings-year'!CC21*'MD-ratings-year'!$I21+'SK-ratings-year'!CC4*'MD-ratings-year'!$H4)/('MD-ratings-year'!$I21+'MD-ratings-year'!$H4)</f>
        <v>8.729845366756356</v>
      </c>
      <c r="BP21" s="469">
        <f>('SK-ratings-year'!CD21*'MD-ratings-year'!$I21+'SK-ratings-year'!CD4*'MD-ratings-year'!$H4)/('MD-ratings-year'!$I21+'MD-ratings-year'!$H4)</f>
        <v>3.9445304219017081</v>
      </c>
      <c r="BQ21" s="469">
        <f>('SK-ratings-year'!CE21*'MD-ratings-year'!$I21+'SK-ratings-year'!CE4*'MD-ratings-year'!$H4)/('MD-ratings-year'!$I21+'MD-ratings-year'!$H4)</f>
        <v>5.8364663371777699</v>
      </c>
      <c r="BR21" s="469">
        <f>('SK-ratings-year'!CF21*'MD-ratings-year'!$I21+'SK-ratings-year'!CF4*'MD-ratings-year'!$H4)/('MD-ratings-year'!$I21+'MD-ratings-year'!$H4)</f>
        <v>9.1914422860573843</v>
      </c>
      <c r="BS21" s="469">
        <f>('SK-ratings-year'!CG21*'MD-ratings-year'!$I21+'SK-ratings-year'!CG4*'MD-ratings-year'!$H4)/('MD-ratings-year'!$I21+'MD-ratings-year'!$H4)</f>
        <v>7.0508173819318314</v>
      </c>
      <c r="BT21" s="469">
        <f>('SK-ratings-year'!CH21*'MD-ratings-year'!$I21+'SK-ratings-year'!CH4*'MD-ratings-year'!$H4)/('MD-ratings-year'!$I21+'MD-ratings-year'!$H4)</f>
        <v>6.8541832778844531</v>
      </c>
      <c r="BU21" s="469">
        <f>('SK-ratings-year'!CI21*'MD-ratings-year'!$I21+'SK-ratings-year'!CI4*'MD-ratings-year'!$H4)/('MD-ratings-year'!$I21+'MD-ratings-year'!$H4)</f>
        <v>7.0489085509644758</v>
      </c>
      <c r="BV21" s="469">
        <f>('SK-ratings-year'!CJ21*'MD-ratings-year'!$I21+'SK-ratings-year'!CJ4*'MD-ratings-year'!$H4)/('MD-ratings-year'!$I21+'MD-ratings-year'!$H4)</f>
        <v>7.0040456118491061</v>
      </c>
      <c r="BW21" s="469">
        <f>('SK-ratings-year'!CK21*'MD-ratings-year'!$I21+'SK-ratings-year'!CK4*'MD-ratings-year'!$H4)/('MD-ratings-year'!$I21+'MD-ratings-year'!$H4)</f>
        <v>6.5950439148270892</v>
      </c>
      <c r="BX21" s="469">
        <f>('SK-ratings-year'!CL21*'MD-ratings-year'!$I21+'SK-ratings-year'!CL4*'MD-ratings-year'!$H4)/('MD-ratings-year'!$I21+'MD-ratings-year'!$H4)</f>
        <v>4.7494139478361364</v>
      </c>
      <c r="BY21" s="469">
        <f>('SK-ratings-year'!CM21*'MD-ratings-year'!$I21+'SK-ratings-year'!CM4*'MD-ratings-year'!$H4)/('MD-ratings-year'!$I21+'MD-ratings-year'!$H4)</f>
        <v>8.726627722911692</v>
      </c>
      <c r="BZ21" s="469">
        <f>('SK-ratings-year'!CN21*'MD-ratings-year'!$I21+'SK-ratings-year'!CN4*'MD-ratings-year'!$H4)/('MD-ratings-year'!$I21+'MD-ratings-year'!$H4)</f>
        <v>7.8763682952463148</v>
      </c>
      <c r="CA21" s="469">
        <f>('SK-ratings-year'!CO21*'MD-ratings-year'!$I21+'SK-ratings-year'!CO4*'MD-ratings-year'!$H4)/('MD-ratings-year'!$I21+'MD-ratings-year'!$H4)</f>
        <v>4.1784116323143561</v>
      </c>
      <c r="CB21" s="469">
        <f>('SK-ratings-year'!CP21*'MD-ratings-year'!$I21+'SK-ratings-year'!CP4*'MD-ratings-year'!$H4)/('MD-ratings-year'!$I21+'MD-ratings-year'!$H4)</f>
        <v>3.8896732817783137</v>
      </c>
      <c r="CC21" s="469">
        <f>('SK-ratings-year'!CQ21*'MD-ratings-year'!$I21+'SK-ratings-year'!CQ4*'MD-ratings-year'!$H4)/('MD-ratings-year'!$I21+'MD-ratings-year'!$H4)</f>
        <v>0.63895044123978673</v>
      </c>
      <c r="CD21" s="469">
        <f>('SK-ratings-year'!CR21*'MD-ratings-year'!$I21+'SK-ratings-year'!CR4*'MD-ratings-year'!$H4)/('MD-ratings-year'!$I21+'MD-ratings-year'!$H4)</f>
        <v>8.4432788229586464</v>
      </c>
      <c r="CE21" s="469">
        <f>('SK-ratings-year'!CS21*'MD-ratings-year'!$I21+'SK-ratings-year'!CS4*'MD-ratings-year'!$H4)/('MD-ratings-year'!$I21+'MD-ratings-year'!$H4)</f>
        <v>6.1537823854082934</v>
      </c>
      <c r="CF21" s="469">
        <f>('SK-ratings-year'!CT21*'MD-ratings-year'!$I21+'SK-ratings-year'!CT4*'MD-ratings-year'!$H4)/('MD-ratings-year'!$I21+'MD-ratings-year'!$H4)</f>
        <v>4.0542146896404416</v>
      </c>
      <c r="CG21" s="469">
        <f>('SK-ratings-year'!CU21*'MD-ratings-year'!$I21+'SK-ratings-year'!CU4*'MD-ratings-year'!$H4)/('MD-ratings-year'!$I21+'MD-ratings-year'!$H4)</f>
        <v>4.6699872474510338</v>
      </c>
      <c r="CH21" s="469">
        <f>('SK-ratings-year'!CV21*'MD-ratings-year'!$I21+'SK-ratings-year'!CV4*'MD-ratings-year'!$H4)/('MD-ratings-year'!$I21+'MD-ratings-year'!$H4)</f>
        <v>4.2084401487283731</v>
      </c>
      <c r="CI21" s="469">
        <f>('SK-ratings-year'!CW21*'MD-ratings-year'!$I21+'SK-ratings-year'!CW4*'MD-ratings-year'!$H4)/('MD-ratings-year'!$I21+'MD-ratings-year'!$H4)</f>
        <v>3.259874648660138</v>
      </c>
      <c r="CJ21" s="469">
        <f>('SK-ratings-year'!CX21*'MD-ratings-year'!$I21+'SK-ratings-year'!CX4*'MD-ratings-year'!$H4)/('MD-ratings-year'!$I21+'MD-ratings-year'!$H4)</f>
        <v>3.8387311649604183</v>
      </c>
      <c r="CL21" s="558"/>
      <c r="CM21" s="454">
        <f>('SK-ratings-year'!DA21*'MD-ratings-year'!$I21+'SK-ratings-year'!DA4*'MD-ratings-year'!$H4)/('MD-ratings-year'!$I21+'MD-ratings-year'!$H4)</f>
        <v>6.8091537689359116</v>
      </c>
      <c r="CN21" s="454">
        <f>('SK-ratings-year'!DB21*'MD-ratings-year'!$I21+'SK-ratings-year'!DB4*'MD-ratings-year'!$H4)/('MD-ratings-year'!$I21+'MD-ratings-year'!$H4)</f>
        <v>6.399518624586384</v>
      </c>
      <c r="CO21" s="454">
        <f>('SK-ratings-year'!DC21*'MD-ratings-year'!$I21+'SK-ratings-year'!DC4*'MD-ratings-year'!$H4)/('MD-ratings-year'!$I21+'MD-ratings-year'!$H4)</f>
        <v>5.0199752009571297</v>
      </c>
      <c r="CP21" s="454">
        <f>('SK-ratings-year'!DD21*'MD-ratings-year'!$I21+'SK-ratings-year'!DD4*'MD-ratings-year'!$H4)/('MD-ratings-year'!$I21+'MD-ratings-year'!$H4)</f>
        <v>6.4466098222718431</v>
      </c>
      <c r="CQ21" s="454">
        <f>('SK-ratings-year'!DE21*'MD-ratings-year'!$I21+'SK-ratings-year'!DE4*'MD-ratings-year'!$H4)/('MD-ratings-year'!$I21+'MD-ratings-year'!$H4)</f>
        <v>4.1729352142909395</v>
      </c>
      <c r="CR21" s="454">
        <f>('SK-ratings-year'!DF21*'MD-ratings-year'!$I21+'SK-ratings-year'!DF4*'MD-ratings-year'!$H4)/('MD-ratings-year'!$I21+'MD-ratings-year'!$H4)</f>
        <v>7.4396376208476793</v>
      </c>
      <c r="CS21" s="454">
        <f>('SK-ratings-year'!DG21*'MD-ratings-year'!$I21+'SK-ratings-year'!DG4*'MD-ratings-year'!$H4)/('MD-ratings-year'!$I21+'MD-ratings-year'!$H4)</f>
        <v>4.5201372677297256</v>
      </c>
      <c r="CT21" s="454">
        <f>('SK-ratings-year'!DH21*'MD-ratings-year'!$I21+'SK-ratings-year'!DH4*'MD-ratings-year'!$H4)/('MD-ratings-year'!$I21+'MD-ratings-year'!$H4)</f>
        <v>4.894252185440215</v>
      </c>
      <c r="CU21" s="454">
        <f>('SK-ratings-year'!DI21*'MD-ratings-year'!$I21+'SK-ratings-year'!DI4*'MD-ratings-year'!$H4)/('MD-ratings-year'!$I21+'MD-ratings-year'!$H4)</f>
        <v>4.3240758137877844</v>
      </c>
      <c r="CV21" s="454">
        <f>('SK-ratings-year'!DJ21*'MD-ratings-year'!$I21+'SK-ratings-year'!DJ4*'MD-ratings-year'!$H4)/('MD-ratings-year'!$I21+'MD-ratings-year'!$H4)</f>
        <v>3.6611193436202671</v>
      </c>
      <c r="CW21" s="454">
        <f>('SK-ratings-year'!DK21*'MD-ratings-year'!$I21+'SK-ratings-year'!DK4*'MD-ratings-year'!$H4)/('MD-ratings-year'!$I21+'MD-ratings-year'!$H4)</f>
        <v>5.3685860649780697</v>
      </c>
      <c r="CX21" s="454">
        <f>('SK-ratings-year'!DL21*'MD-ratings-year'!$I21+'SK-ratings-year'!DL4*'MD-ratings-year'!$H4)/('MD-ratings-year'!$I21+'MD-ratings-year'!$H4)</f>
        <v>4.960358126236577</v>
      </c>
      <c r="CY21" s="454">
        <f>('SK-ratings-year'!DM21*'MD-ratings-year'!$I21+'SK-ratings-year'!DM4*'MD-ratings-year'!$H4)/('MD-ratings-year'!$I21+'MD-ratings-year'!$H4)</f>
        <v>5.7699779826304782</v>
      </c>
      <c r="CZ21" s="454">
        <f>('SK-ratings-year'!DN21*'MD-ratings-year'!$I21+'SK-ratings-year'!DN4*'MD-ratings-year'!$H4)/('MD-ratings-year'!$I21+'MD-ratings-year'!$H4)</f>
        <v>6.1465394735210648</v>
      </c>
      <c r="DA21" s="454">
        <f>('SK-ratings-year'!DO21*'MD-ratings-year'!$I21+'SK-ratings-year'!DO4*'MD-ratings-year'!$H4)/('MD-ratings-year'!$I21+'MD-ratings-year'!$H4)</f>
        <v>4.5874132531319045</v>
      </c>
      <c r="DB21" s="454">
        <f>('SK-ratings-year'!DP21*'MD-ratings-year'!$I21+'SK-ratings-year'!DP4*'MD-ratings-year'!$H4)/('MD-ratings-year'!$I21+'MD-ratings-year'!$H4)</f>
        <v>5.5533805611469855</v>
      </c>
    </row>
    <row r="22" spans="1:106" s="428" customFormat="1" ht="15.75" customHeight="1" thickBot="1" x14ac:dyDescent="0.3">
      <c r="A22" s="640"/>
      <c r="B22" s="634"/>
      <c r="C22" s="231">
        <f>'MD-ratings-year'!C22</f>
        <v>8.3333333333333329E-2</v>
      </c>
      <c r="D22" s="434" t="str">
        <f>'MD-ratings-year'!D22</f>
        <v>Quick Asset Ratio</v>
      </c>
      <c r="E22" s="437" t="str">
        <f>'MD-ratings-year'!E22</f>
        <v>Cash + Marketable Securities + Accounts Receivable) ÷ Current Liabilities</v>
      </c>
      <c r="F22" s="440" t="s">
        <v>400</v>
      </c>
      <c r="G22" s="653"/>
      <c r="I22" s="470">
        <f>('SK-ratings-year'!W22*'MD-ratings-year'!$I22+'SK-ratings-year'!W5*'MD-ratings-year'!$H5)/('MD-ratings-year'!$I22+'MD-ratings-year'!$H5)</f>
        <v>10</v>
      </c>
      <c r="J22" s="470">
        <f>('SK-ratings-year'!X22*'MD-ratings-year'!$I22+'SK-ratings-year'!X5*'MD-ratings-year'!$H5)/('MD-ratings-year'!$I22+'MD-ratings-year'!$H5)</f>
        <v>9.4338267196531831</v>
      </c>
      <c r="K22" s="470">
        <f>('SK-ratings-year'!Y22*'MD-ratings-year'!$I22+'SK-ratings-year'!Y5*'MD-ratings-year'!$H5)/('MD-ratings-year'!$I22+'MD-ratings-year'!$H5)</f>
        <v>4.500927893517912</v>
      </c>
      <c r="L22" s="470">
        <f>('SK-ratings-year'!Z22*'MD-ratings-year'!$I22+'SK-ratings-year'!Z5*'MD-ratings-year'!$H5)/('MD-ratings-year'!$I22+'MD-ratings-year'!$H5)</f>
        <v>3.6219601994749118</v>
      </c>
      <c r="M22" s="470">
        <f>('SK-ratings-year'!AA22*'MD-ratings-year'!$I22+'SK-ratings-year'!AA5*'MD-ratings-year'!$H5)/('MD-ratings-year'!$I22+'MD-ratings-year'!$H5)</f>
        <v>2.9995100005972861</v>
      </c>
      <c r="N22" s="470">
        <f>('SK-ratings-year'!AB22*'MD-ratings-year'!$I22+'SK-ratings-year'!AB5*'MD-ratings-year'!$H5)/('MD-ratings-year'!$I22+'MD-ratings-year'!$H5)</f>
        <v>5.0495215170094241</v>
      </c>
      <c r="O22" s="470">
        <f>('SK-ratings-year'!AC22*'MD-ratings-year'!$I22+'SK-ratings-year'!AC5*'MD-ratings-year'!$H5)/('MD-ratings-year'!$I22+'MD-ratings-year'!$H5)</f>
        <v>6.3732223661520049</v>
      </c>
      <c r="P22" s="470">
        <f>('SK-ratings-year'!AD22*'MD-ratings-year'!$I22+'SK-ratings-year'!AD5*'MD-ratings-year'!$H5)/('MD-ratings-year'!$I22+'MD-ratings-year'!$H5)</f>
        <v>5.7232482098588289</v>
      </c>
      <c r="Q22" s="470">
        <f>('SK-ratings-year'!AE22*'MD-ratings-year'!$I22+'SK-ratings-year'!AE5*'MD-ratings-year'!$H5)/('MD-ratings-year'!$I22+'MD-ratings-year'!$H5)</f>
        <v>5.2262240588980564</v>
      </c>
      <c r="R22" s="470">
        <f>('SK-ratings-year'!AF22*'MD-ratings-year'!$I22+'SK-ratings-year'!AF5*'MD-ratings-year'!$H5)/('MD-ratings-year'!$I22+'MD-ratings-year'!$H5)</f>
        <v>4.502562889600001</v>
      </c>
      <c r="S22" s="470">
        <f>('SK-ratings-year'!AG22*'MD-ratings-year'!$I22+'SK-ratings-year'!AG5*'MD-ratings-year'!$H5)/('MD-ratings-year'!$I22+'MD-ratings-year'!$H5)</f>
        <v>6.1926978279995115</v>
      </c>
      <c r="T22" s="470">
        <f>('SK-ratings-year'!AH22*'MD-ratings-year'!$I22+'SK-ratings-year'!AH5*'MD-ratings-year'!$H5)/('MD-ratings-year'!$I22+'MD-ratings-year'!$H5)</f>
        <v>10</v>
      </c>
      <c r="U22" s="470">
        <f>('SK-ratings-year'!AI22*'MD-ratings-year'!$I22+'SK-ratings-year'!AI5*'MD-ratings-year'!$H5)/('MD-ratings-year'!$I22+'MD-ratings-year'!$H5)</f>
        <v>4.4538916141876257</v>
      </c>
      <c r="V22" s="470">
        <f>('SK-ratings-year'!AJ22*'MD-ratings-year'!$I22+'SK-ratings-year'!AJ5*'MD-ratings-year'!$H5)/('MD-ratings-year'!$I22+'MD-ratings-year'!$H5)</f>
        <v>4.4163014772555291</v>
      </c>
      <c r="W22" s="470">
        <f>('SK-ratings-year'!AK22*'MD-ratings-year'!$I22+'SK-ratings-year'!AK5*'MD-ratings-year'!$H5)/('MD-ratings-year'!$I22+'MD-ratings-year'!$H5)</f>
        <v>4.9471478902245591</v>
      </c>
      <c r="X22" s="470">
        <f>('SK-ratings-year'!AL22*'MD-ratings-year'!$I22+'SK-ratings-year'!AL5*'MD-ratings-year'!$H5)/('MD-ratings-year'!$I22+'MD-ratings-year'!$H5)</f>
        <v>9.5173894935284284</v>
      </c>
      <c r="Y22" s="470">
        <f>('SK-ratings-year'!AM22*'MD-ratings-year'!$I22+'SK-ratings-year'!AM5*'MD-ratings-year'!$H5)/('MD-ratings-year'!$I22+'MD-ratings-year'!$H5)</f>
        <v>6.1048498368282367</v>
      </c>
      <c r="Z22" s="470">
        <f>('SK-ratings-year'!AN22*'MD-ratings-year'!$I22+'SK-ratings-year'!AN5*'MD-ratings-year'!$H5)/('MD-ratings-year'!$I22+'MD-ratings-year'!$H5)</f>
        <v>4.8966579605019831</v>
      </c>
      <c r="AA22" s="470">
        <f>('SK-ratings-year'!AO22*'MD-ratings-year'!$I22+'SK-ratings-year'!AO5*'MD-ratings-year'!$H5)/('MD-ratings-year'!$I22+'MD-ratings-year'!$H5)</f>
        <v>6.0163583122487525</v>
      </c>
      <c r="AB22" s="470">
        <f>('SK-ratings-year'!AP22*'MD-ratings-year'!$I22+'SK-ratings-year'!AP5*'MD-ratings-year'!$H5)/('MD-ratings-year'!$I22+'MD-ratings-year'!$H5)</f>
        <v>4.3354148605019684</v>
      </c>
      <c r="AC22" s="470">
        <f>('SK-ratings-year'!AQ22*'MD-ratings-year'!$I22+'SK-ratings-year'!AQ5*'MD-ratings-year'!$H5)/('MD-ratings-year'!$I22+'MD-ratings-year'!$H5)</f>
        <v>10</v>
      </c>
      <c r="AD22" s="470">
        <f>('SK-ratings-year'!AR22*'MD-ratings-year'!$I22+'SK-ratings-year'!AR5*'MD-ratings-year'!$H5)/('MD-ratings-year'!$I22+'MD-ratings-year'!$H5)</f>
        <v>7.550656153093251</v>
      </c>
      <c r="AE22" s="470">
        <f>('SK-ratings-year'!AS22*'MD-ratings-year'!$I22+'SK-ratings-year'!AS5*'MD-ratings-year'!$H5)/('MD-ratings-year'!$I22+'MD-ratings-year'!$H5)</f>
        <v>6.0255136982414843</v>
      </c>
      <c r="AF22" s="470">
        <f>('SK-ratings-year'!AT22*'MD-ratings-year'!$I22+'SK-ratings-year'!AT5*'MD-ratings-year'!$H5)/('MD-ratings-year'!$I22+'MD-ratings-year'!$H5)</f>
        <v>4.2022899659298449</v>
      </c>
      <c r="AG22" s="470">
        <f>('SK-ratings-year'!AU22*'MD-ratings-year'!$I22+'SK-ratings-year'!AU5*'MD-ratings-year'!$H5)/('MD-ratings-year'!$I22+'MD-ratings-year'!$H5)</f>
        <v>2.8042196813080968</v>
      </c>
      <c r="AH22" s="470">
        <f>('SK-ratings-year'!AV22*'MD-ratings-year'!$I22+'SK-ratings-year'!AV5*'MD-ratings-year'!$H5)/('MD-ratings-year'!$I22+'MD-ratings-year'!$H5)</f>
        <v>10</v>
      </c>
      <c r="AI22" s="470">
        <f>('SK-ratings-year'!AW22*'MD-ratings-year'!$I22+'SK-ratings-year'!AW5*'MD-ratings-year'!$H5)/('MD-ratings-year'!$I22+'MD-ratings-year'!$H5)</f>
        <v>6.8600677395737719</v>
      </c>
      <c r="AJ22" s="470">
        <f>('SK-ratings-year'!AX22*'MD-ratings-year'!$I22+'SK-ratings-year'!AX5*'MD-ratings-year'!$H5)/('MD-ratings-year'!$I22+'MD-ratings-year'!$H5)</f>
        <v>2.263153844149731</v>
      </c>
      <c r="AK22" s="470">
        <f>('SK-ratings-year'!AY22*'MD-ratings-year'!$I22+'SK-ratings-year'!AY5*'MD-ratings-year'!$H5)/('MD-ratings-year'!$I22+'MD-ratings-year'!$H5)</f>
        <v>7.7031952193342983</v>
      </c>
      <c r="AL22" s="470">
        <f>('SK-ratings-year'!AZ22*'MD-ratings-year'!$I22+'SK-ratings-year'!AZ5*'MD-ratings-year'!$H5)/('MD-ratings-year'!$I22+'MD-ratings-year'!$H5)</f>
        <v>6.8536520467945019</v>
      </c>
      <c r="AM22" s="470">
        <f>('SK-ratings-year'!BA22*'MD-ratings-year'!$I22+'SK-ratings-year'!BA5*'MD-ratings-year'!$H5)/('MD-ratings-year'!$I22+'MD-ratings-year'!$H5)</f>
        <v>0.89998298495723561</v>
      </c>
      <c r="AN22" s="470">
        <f>('SK-ratings-year'!BB22*'MD-ratings-year'!$I22+'SK-ratings-year'!BB5*'MD-ratings-year'!$H5)/('MD-ratings-year'!$I22+'MD-ratings-year'!$H5)</f>
        <v>8.0435629089584033</v>
      </c>
      <c r="AO22" s="470">
        <f>('SK-ratings-year'!BC22*'MD-ratings-year'!$I22+'SK-ratings-year'!BC5*'MD-ratings-year'!$H5)/('MD-ratings-year'!$I22+'MD-ratings-year'!$H5)</f>
        <v>5.3465420298183322</v>
      </c>
      <c r="AP22" s="470">
        <f>('SK-ratings-year'!BD22*'MD-ratings-year'!$I22+'SK-ratings-year'!BD5*'MD-ratings-year'!$H5)/('MD-ratings-year'!$I22+'MD-ratings-year'!$H5)</f>
        <v>6.41403152186568</v>
      </c>
      <c r="AQ22" s="470">
        <f>('SK-ratings-year'!BE22*'MD-ratings-year'!$I22+'SK-ratings-year'!BE5*'MD-ratings-year'!$H5)/('MD-ratings-year'!$I22+'MD-ratings-year'!$H5)</f>
        <v>5.1403854609628876</v>
      </c>
      <c r="AR22" s="470">
        <f>('SK-ratings-year'!BF22*'MD-ratings-year'!$I22+'SK-ratings-year'!BF5*'MD-ratings-year'!$H5)/('MD-ratings-year'!$I22+'MD-ratings-year'!$H5)</f>
        <v>7.9591065717590732</v>
      </c>
      <c r="AS22" s="470">
        <f>('SK-ratings-year'!BG22*'MD-ratings-year'!$I22+'SK-ratings-year'!BG5*'MD-ratings-year'!$H5)/('MD-ratings-year'!$I22+'MD-ratings-year'!$H5)</f>
        <v>6.2221488939780327</v>
      </c>
      <c r="AT22" s="470">
        <f>('SK-ratings-year'!BH22*'MD-ratings-year'!$I22+'SK-ratings-year'!BH5*'MD-ratings-year'!$H5)/('MD-ratings-year'!$I22+'MD-ratings-year'!$H5)</f>
        <v>4.989836732606415</v>
      </c>
      <c r="AU22" s="470">
        <f>('SK-ratings-year'!BI22*'MD-ratings-year'!$I22+'SK-ratings-year'!BI5*'MD-ratings-year'!$H5)/('MD-ratings-year'!$I22+'MD-ratings-year'!$H5)</f>
        <v>3.3087094665988022</v>
      </c>
      <c r="AV22" s="470">
        <f>('SK-ratings-year'!BJ22*'MD-ratings-year'!$I22+'SK-ratings-year'!BJ5*'MD-ratings-year'!$H5)/('MD-ratings-year'!$I22+'MD-ratings-year'!$H5)</f>
        <v>4.5574725777372285</v>
      </c>
      <c r="AW22" s="470">
        <f>('SK-ratings-year'!BK22*'MD-ratings-year'!$I22+'SK-ratings-year'!BK5*'MD-ratings-year'!$H5)/('MD-ratings-year'!$I22+'MD-ratings-year'!$H5)</f>
        <v>4.0755442170747038</v>
      </c>
      <c r="AX22" s="470">
        <f>('SK-ratings-year'!BL22*'MD-ratings-year'!$I22+'SK-ratings-year'!BL5*'MD-ratings-year'!$H5)/('MD-ratings-year'!$I22+'MD-ratings-year'!$H5)</f>
        <v>3.2430827329240453</v>
      </c>
      <c r="AY22" s="470">
        <f>('SK-ratings-year'!BM22*'MD-ratings-year'!$I22+'SK-ratings-year'!BM5*'MD-ratings-year'!$H5)/('MD-ratings-year'!$I22+'MD-ratings-year'!$H5)</f>
        <v>9.5465854598685187</v>
      </c>
      <c r="AZ22" s="470">
        <f>('SK-ratings-year'!BN22*'MD-ratings-year'!$I22+'SK-ratings-year'!BN5*'MD-ratings-year'!$H5)/('MD-ratings-year'!$I22+'MD-ratings-year'!$H5)</f>
        <v>5.5265484156717166</v>
      </c>
      <c r="BA22" s="470">
        <f>('SK-ratings-year'!BO22*'MD-ratings-year'!$I22+'SK-ratings-year'!BO5*'MD-ratings-year'!$H5)/('MD-ratings-year'!$I22+'MD-ratings-year'!$H5)</f>
        <v>5.3494148556747927</v>
      </c>
      <c r="BB22" s="470">
        <f>('SK-ratings-year'!BP22*'MD-ratings-year'!$I22+'SK-ratings-year'!BP5*'MD-ratings-year'!$H5)/('MD-ratings-year'!$I22+'MD-ratings-year'!$H5)</f>
        <v>3.5499650578493376</v>
      </c>
      <c r="BC22" s="470">
        <f>('SK-ratings-year'!BQ22*'MD-ratings-year'!$I22+'SK-ratings-year'!BQ5*'MD-ratings-year'!$H5)/('MD-ratings-year'!$I22+'MD-ratings-year'!$H5)</f>
        <v>9.5419898169778783</v>
      </c>
      <c r="BD22" s="470">
        <f>('SK-ratings-year'!BR22*'MD-ratings-year'!$I22+'SK-ratings-year'!BR5*'MD-ratings-year'!$H5)/('MD-ratings-year'!$I22+'MD-ratings-year'!$H5)</f>
        <v>7.9439214457545457</v>
      </c>
      <c r="BE22" s="470">
        <f>('SK-ratings-year'!BS22*'MD-ratings-year'!$I22+'SK-ratings-year'!BS5*'MD-ratings-year'!$H5)/('MD-ratings-year'!$I22+'MD-ratings-year'!$H5)</f>
        <v>4.3114115724295887</v>
      </c>
      <c r="BF22" s="470">
        <f>('SK-ratings-year'!BT22*'MD-ratings-year'!$I22+'SK-ratings-year'!BT5*'MD-ratings-year'!$H5)/('MD-ratings-year'!$I22+'MD-ratings-year'!$H5)</f>
        <v>2.8740420135271387</v>
      </c>
      <c r="BG22" s="470">
        <f>('SK-ratings-year'!BU22*'MD-ratings-year'!$I22+'SK-ratings-year'!BU5*'MD-ratings-year'!$H5)/('MD-ratings-year'!$I22+'MD-ratings-year'!$H5)</f>
        <v>5.1722805063822692</v>
      </c>
      <c r="BH22" s="470">
        <f>('SK-ratings-year'!BV22*'MD-ratings-year'!$I22+'SK-ratings-year'!BV5*'MD-ratings-year'!$H5)/('MD-ratings-year'!$I22+'MD-ratings-year'!$H5)</f>
        <v>10</v>
      </c>
      <c r="BI22" s="470">
        <f>('SK-ratings-year'!BW22*'MD-ratings-year'!$I22+'SK-ratings-year'!BW5*'MD-ratings-year'!$H5)/('MD-ratings-year'!$I22+'MD-ratings-year'!$H5)</f>
        <v>4.4812448116971257</v>
      </c>
      <c r="BJ22" s="470">
        <f>('SK-ratings-year'!BX22*'MD-ratings-year'!$I22+'SK-ratings-year'!BX5*'MD-ratings-year'!$H5)/('MD-ratings-year'!$I22+'MD-ratings-year'!$H5)</f>
        <v>2.928763096619202</v>
      </c>
      <c r="BK22" s="470">
        <f>('SK-ratings-year'!BY22*'MD-ratings-year'!$I22+'SK-ratings-year'!BY5*'MD-ratings-year'!$H5)/('MD-ratings-year'!$I22+'MD-ratings-year'!$H5)</f>
        <v>6.2695188207135351</v>
      </c>
      <c r="BL22" s="470">
        <f>('SK-ratings-year'!BZ22*'MD-ratings-year'!$I22+'SK-ratings-year'!BZ5*'MD-ratings-year'!$H5)/('MD-ratings-year'!$I22+'MD-ratings-year'!$H5)</f>
        <v>6.1939862700140313</v>
      </c>
      <c r="BM22" s="470">
        <f>('SK-ratings-year'!CA22*'MD-ratings-year'!$I22+'SK-ratings-year'!CA5*'MD-ratings-year'!$H5)/('MD-ratings-year'!$I22+'MD-ratings-year'!$H5)</f>
        <v>4.4281166047239466</v>
      </c>
      <c r="BN22" s="470">
        <f>('SK-ratings-year'!CB22*'MD-ratings-year'!$I22+'SK-ratings-year'!CB5*'MD-ratings-year'!$H5)/('MD-ratings-year'!$I22+'MD-ratings-year'!$H5)</f>
        <v>9.9093070758497852</v>
      </c>
      <c r="BO22" s="470">
        <f>('SK-ratings-year'!CC22*'MD-ratings-year'!$I22+'SK-ratings-year'!CC5*'MD-ratings-year'!$H5)/('MD-ratings-year'!$I22+'MD-ratings-year'!$H5)</f>
        <v>9.2084524547530382</v>
      </c>
      <c r="BP22" s="470">
        <f>('SK-ratings-year'!CD22*'MD-ratings-year'!$I22+'SK-ratings-year'!CD5*'MD-ratings-year'!$H5)/('MD-ratings-year'!$I22+'MD-ratings-year'!$H5)</f>
        <v>4.2019848327318332</v>
      </c>
      <c r="BQ22" s="470">
        <f>('SK-ratings-year'!CE22*'MD-ratings-year'!$I22+'SK-ratings-year'!CE5*'MD-ratings-year'!$H5)/('MD-ratings-year'!$I22+'MD-ratings-year'!$H5)</f>
        <v>6.0396667077503503</v>
      </c>
      <c r="BR22" s="470">
        <f>('SK-ratings-year'!CF22*'MD-ratings-year'!$I22+'SK-ratings-year'!CF5*'MD-ratings-year'!$H5)/('MD-ratings-year'!$I22+'MD-ratings-year'!$H5)</f>
        <v>9.6913800074143239</v>
      </c>
      <c r="BS22" s="470">
        <f>('SK-ratings-year'!CG22*'MD-ratings-year'!$I22+'SK-ratings-year'!CG5*'MD-ratings-year'!$H5)/('MD-ratings-year'!$I22+'MD-ratings-year'!$H5)</f>
        <v>7.4704529611252743</v>
      </c>
      <c r="BT22" s="470">
        <f>('SK-ratings-year'!CH22*'MD-ratings-year'!$I22+'SK-ratings-year'!CH5*'MD-ratings-year'!$H5)/('MD-ratings-year'!$I22+'MD-ratings-year'!$H5)</f>
        <v>7.0109582957497514</v>
      </c>
      <c r="BU22" s="470">
        <f>('SK-ratings-year'!CI22*'MD-ratings-year'!$I22+'SK-ratings-year'!CI5*'MD-ratings-year'!$H5)/('MD-ratings-year'!$I22+'MD-ratings-year'!$H5)</f>
        <v>7.3640920422642688</v>
      </c>
      <c r="BV22" s="470">
        <f>('SK-ratings-year'!CJ22*'MD-ratings-year'!$I22+'SK-ratings-year'!CJ5*'MD-ratings-year'!$H5)/('MD-ratings-year'!$I22+'MD-ratings-year'!$H5)</f>
        <v>7.3500118220500861</v>
      </c>
      <c r="BW22" s="470">
        <f>('SK-ratings-year'!CK22*'MD-ratings-year'!$I22+'SK-ratings-year'!CK5*'MD-ratings-year'!$H5)/('MD-ratings-year'!$I22+'MD-ratings-year'!$H5)</f>
        <v>6.8226874874655987</v>
      </c>
      <c r="BX22" s="470">
        <f>('SK-ratings-year'!CL22*'MD-ratings-year'!$I22+'SK-ratings-year'!CL5*'MD-ratings-year'!$H5)/('MD-ratings-year'!$I22+'MD-ratings-year'!$H5)</f>
        <v>4.7509821408307706</v>
      </c>
      <c r="BY22" s="470">
        <f>('SK-ratings-year'!CM22*'MD-ratings-year'!$I22+'SK-ratings-year'!CM5*'MD-ratings-year'!$H5)/('MD-ratings-year'!$I22+'MD-ratings-year'!$H5)</f>
        <v>9.0188800539877985</v>
      </c>
      <c r="BZ22" s="470">
        <f>('SK-ratings-year'!CN22*'MD-ratings-year'!$I22+'SK-ratings-year'!CN5*'MD-ratings-year'!$H5)/('MD-ratings-year'!$I22+'MD-ratings-year'!$H5)</f>
        <v>8.0641521685586586</v>
      </c>
      <c r="CA22" s="470">
        <f>('SK-ratings-year'!CO22*'MD-ratings-year'!$I22+'SK-ratings-year'!CO5*'MD-ratings-year'!$H5)/('MD-ratings-year'!$I22+'MD-ratings-year'!$H5)</f>
        <v>3.7452705865081453</v>
      </c>
      <c r="CB22" s="470">
        <f>('SK-ratings-year'!CP22*'MD-ratings-year'!$I22+'SK-ratings-year'!CP5*'MD-ratings-year'!$H5)/('MD-ratings-year'!$I22+'MD-ratings-year'!$H5)</f>
        <v>3.8406567472391453</v>
      </c>
      <c r="CC22" s="470">
        <f>('SK-ratings-year'!CQ22*'MD-ratings-year'!$I22+'SK-ratings-year'!CQ5*'MD-ratings-year'!$H5)/('MD-ratings-year'!$I22+'MD-ratings-year'!$H5)</f>
        <v>0.68621466160807565</v>
      </c>
      <c r="CD22" s="470">
        <f>('SK-ratings-year'!CR22*'MD-ratings-year'!$I22+'SK-ratings-year'!CR5*'MD-ratings-year'!$H5)/('MD-ratings-year'!$I22+'MD-ratings-year'!$H5)</f>
        <v>8.8080614870323046</v>
      </c>
      <c r="CE22" s="470">
        <f>('SK-ratings-year'!CS22*'MD-ratings-year'!$I22+'SK-ratings-year'!CS5*'MD-ratings-year'!$H5)/('MD-ratings-year'!$I22+'MD-ratings-year'!$H5)</f>
        <v>6.3986489753215547</v>
      </c>
      <c r="CF22" s="470">
        <f>('SK-ratings-year'!CT22*'MD-ratings-year'!$I22+'SK-ratings-year'!CT5*'MD-ratings-year'!$H5)/('MD-ratings-year'!$I22+'MD-ratings-year'!$H5)</f>
        <v>4.3234094581435532</v>
      </c>
      <c r="CG22" s="470">
        <f>('SK-ratings-year'!CU22*'MD-ratings-year'!$I22+'SK-ratings-year'!CU5*'MD-ratings-year'!$H5)/('MD-ratings-year'!$I22+'MD-ratings-year'!$H5)</f>
        <v>4.9254302005383384</v>
      </c>
      <c r="CH22" s="470">
        <f>('SK-ratings-year'!CV22*'MD-ratings-year'!$I22+'SK-ratings-year'!CV5*'MD-ratings-year'!$H5)/('MD-ratings-year'!$I22+'MD-ratings-year'!$H5)</f>
        <v>4.3220178914776968</v>
      </c>
      <c r="CI22" s="470">
        <f>('SK-ratings-year'!CW22*'MD-ratings-year'!$I22+'SK-ratings-year'!CW5*'MD-ratings-year'!$H5)/('MD-ratings-year'!$I22+'MD-ratings-year'!$H5)</f>
        <v>3.2083971051329283</v>
      </c>
      <c r="CJ22" s="470">
        <f>('SK-ratings-year'!CX22*'MD-ratings-year'!$I22+'SK-ratings-year'!CX5*'MD-ratings-year'!$H5)/('MD-ratings-year'!$I22+'MD-ratings-year'!$H5)</f>
        <v>3.770095548965096</v>
      </c>
      <c r="CL22" s="546"/>
      <c r="CM22" s="455">
        <f>('SK-ratings-year'!DA22*'MD-ratings-year'!$I22+'SK-ratings-year'!DA5*'MD-ratings-year'!$H5)/('MD-ratings-year'!$I22+'MD-ratings-year'!$H5)</f>
        <v>6.5813363974977319</v>
      </c>
      <c r="CN22" s="455">
        <f>('SK-ratings-year'!DB22*'MD-ratings-year'!$I22+'SK-ratings-year'!DB5*'MD-ratings-year'!$H5)/('MD-ratings-year'!$I22+'MD-ratings-year'!$H5)</f>
        <v>6.5648565788710664</v>
      </c>
      <c r="CO22" s="455">
        <f>('SK-ratings-year'!DC22*'MD-ratings-year'!$I22+'SK-ratings-year'!DC5*'MD-ratings-year'!$H5)/('MD-ratings-year'!$I22+'MD-ratings-year'!$H5)</f>
        <v>5.1553594282589135</v>
      </c>
      <c r="CP22" s="455">
        <f>('SK-ratings-year'!DD22*'MD-ratings-year'!$I22+'SK-ratings-year'!DD5*'MD-ratings-year'!$H5)/('MD-ratings-year'!$I22+'MD-ratings-year'!$H5)</f>
        <v>6.5782228317716314</v>
      </c>
      <c r="CQ22" s="455">
        <f>('SK-ratings-year'!DE22*'MD-ratings-year'!$I22+'SK-ratings-year'!DE5*'MD-ratings-year'!$H5)/('MD-ratings-year'!$I22+'MD-ratings-year'!$H5)</f>
        <v>4.415668227429947</v>
      </c>
      <c r="CR22" s="455">
        <f>('SK-ratings-year'!DF22*'MD-ratings-year'!$I22+'SK-ratings-year'!DF5*'MD-ratings-year'!$H5)/('MD-ratings-year'!$I22+'MD-ratings-year'!$H5)</f>
        <v>7.3521632906918244</v>
      </c>
      <c r="CS22" s="455">
        <f>('SK-ratings-year'!DG22*'MD-ratings-year'!$I22+'SK-ratings-year'!DG5*'MD-ratings-year'!$H5)/('MD-ratings-year'!$I22+'MD-ratings-year'!$H5)</f>
        <v>4.330025294380329</v>
      </c>
      <c r="CT22" s="455">
        <f>('SK-ratings-year'!DH22*'MD-ratings-year'!$I22+'SK-ratings-year'!DH5*'MD-ratings-year'!$H5)/('MD-ratings-year'!$I22+'MD-ratings-year'!$H5)</f>
        <v>5.1194785989224352</v>
      </c>
      <c r="CU22" s="455">
        <f>('SK-ratings-year'!DI22*'MD-ratings-year'!$I22+'SK-ratings-year'!DI5*'MD-ratings-year'!$H5)/('MD-ratings-year'!$I22+'MD-ratings-year'!$H5)</f>
        <v>4.3443391630236201</v>
      </c>
      <c r="CV22" s="455">
        <f>('SK-ratings-year'!DJ22*'MD-ratings-year'!$I22+'SK-ratings-year'!DJ5*'MD-ratings-year'!$H5)/('MD-ratings-year'!$I22+'MD-ratings-year'!$H5)</f>
        <v>3.8324607486292357</v>
      </c>
      <c r="CW22" s="455">
        <f>('SK-ratings-year'!DK22*'MD-ratings-year'!$I22+'SK-ratings-year'!DK5*'MD-ratings-year'!$H5)/('MD-ratings-year'!$I22+'MD-ratings-year'!$H5)</f>
        <v>5.3393621303446803</v>
      </c>
      <c r="CX22" s="455">
        <f>('SK-ratings-year'!DL22*'MD-ratings-year'!$I22+'SK-ratings-year'!DL5*'MD-ratings-year'!$H5)/('MD-ratings-year'!$I22+'MD-ratings-year'!$H5)</f>
        <v>5.1365086028280365</v>
      </c>
      <c r="CY22" s="455">
        <f>('SK-ratings-year'!DM22*'MD-ratings-year'!$I22+'SK-ratings-year'!DM5*'MD-ratings-year'!$H5)/('MD-ratings-year'!$I22+'MD-ratings-year'!$H5)</f>
        <v>5.8662602447071492</v>
      </c>
      <c r="CZ22" s="455">
        <f>('SK-ratings-year'!DN22*'MD-ratings-year'!$I22+'SK-ratings-year'!DN5*'MD-ratings-year'!$H5)/('MD-ratings-year'!$I22+'MD-ratings-year'!$H5)</f>
        <v>6.2214456414698942</v>
      </c>
      <c r="DA22" s="455">
        <f>('SK-ratings-year'!DO22*'MD-ratings-year'!$I22+'SK-ratings-year'!DO5*'MD-ratings-year'!$H5)/('MD-ratings-year'!$I22+'MD-ratings-year'!$H5)</f>
        <v>4.5930379070179583</v>
      </c>
      <c r="DB22" s="455">
        <f>('SK-ratings-year'!DP22*'MD-ratings-year'!$I22+'SK-ratings-year'!DP5*'MD-ratings-year'!$H5)/('MD-ratings-year'!$I22+'MD-ratings-year'!$H5)</f>
        <v>5.6021360881503597</v>
      </c>
    </row>
    <row r="23" spans="1:106" s="428" customFormat="1" ht="15.75" customHeight="1" thickBot="1" x14ac:dyDescent="0.3">
      <c r="A23" s="640"/>
      <c r="B23" s="634"/>
      <c r="C23" s="235">
        <f>'MD-ratings-year'!C23</f>
        <v>8.3333333333333329E-2</v>
      </c>
      <c r="D23" s="434" t="str">
        <f>'MD-ratings-year'!D23</f>
        <v>Cash Position Ratio</v>
      </c>
      <c r="E23" s="437" t="str">
        <f>'MD-ratings-year'!E23</f>
        <v>Cash ÷ Current Liabilities</v>
      </c>
      <c r="F23" s="440" t="s">
        <v>400</v>
      </c>
      <c r="G23" s="653"/>
      <c r="I23" s="470">
        <f>('SK-ratings-year'!W23*'MD-ratings-year'!$I23+'SK-ratings-year'!W6*'MD-ratings-year'!$H6)/('MD-ratings-year'!$I23+'MD-ratings-year'!$H6)</f>
        <v>10</v>
      </c>
      <c r="J23" s="470">
        <f>('SK-ratings-year'!X23*'MD-ratings-year'!$I23+'SK-ratings-year'!X6*'MD-ratings-year'!$H6)/('MD-ratings-year'!$I23+'MD-ratings-year'!$H6)</f>
        <v>9.493131309331492</v>
      </c>
      <c r="K23" s="470">
        <f>('SK-ratings-year'!Y23*'MD-ratings-year'!$I23+'SK-ratings-year'!Y6*'MD-ratings-year'!$H6)/('MD-ratings-year'!$I23+'MD-ratings-year'!$H6)</f>
        <v>3.981914267457062</v>
      </c>
      <c r="L23" s="470">
        <f>('SK-ratings-year'!Z23*'MD-ratings-year'!$I23+'SK-ratings-year'!Z6*'MD-ratings-year'!$H6)/('MD-ratings-year'!$I23+'MD-ratings-year'!$H6)</f>
        <v>3.9392048619983697</v>
      </c>
      <c r="M23" s="470">
        <f>('SK-ratings-year'!AA23*'MD-ratings-year'!$I23+'SK-ratings-year'!AA6*'MD-ratings-year'!$H6)/('MD-ratings-year'!$I23+'MD-ratings-year'!$H6)</f>
        <v>2.0260313325901551</v>
      </c>
      <c r="N23" s="470">
        <f>('SK-ratings-year'!AB23*'MD-ratings-year'!$I23+'SK-ratings-year'!AB6*'MD-ratings-year'!$H6)/('MD-ratings-year'!$I23+'MD-ratings-year'!$H6)</f>
        <v>5.7837758139216771</v>
      </c>
      <c r="O23" s="470">
        <f>('SK-ratings-year'!AC23*'MD-ratings-year'!$I23+'SK-ratings-year'!AC6*'MD-ratings-year'!$H6)/('MD-ratings-year'!$I23+'MD-ratings-year'!$H6)</f>
        <v>5.1481883820824441</v>
      </c>
      <c r="P23" s="470">
        <f>('SK-ratings-year'!AD23*'MD-ratings-year'!$I23+'SK-ratings-year'!AD6*'MD-ratings-year'!$H6)/('MD-ratings-year'!$I23+'MD-ratings-year'!$H6)</f>
        <v>3.0409952277439913</v>
      </c>
      <c r="Q23" s="470">
        <f>('SK-ratings-year'!AE23*'MD-ratings-year'!$I23+'SK-ratings-year'!AE6*'MD-ratings-year'!$H6)/('MD-ratings-year'!$I23+'MD-ratings-year'!$H6)</f>
        <v>0.10154608036943065</v>
      </c>
      <c r="R23" s="470">
        <f>('SK-ratings-year'!AF23*'MD-ratings-year'!$I23+'SK-ratings-year'!AF6*'MD-ratings-year'!$H6)/('MD-ratings-year'!$I23+'MD-ratings-year'!$H6)</f>
        <v>3.6519497037655291</v>
      </c>
      <c r="S23" s="470">
        <f>('SK-ratings-year'!AG23*'MD-ratings-year'!$I23+'SK-ratings-year'!AG6*'MD-ratings-year'!$H6)/('MD-ratings-year'!$I23+'MD-ratings-year'!$H6)</f>
        <v>5.127951460173132</v>
      </c>
      <c r="T23" s="470">
        <f>('SK-ratings-year'!AH23*'MD-ratings-year'!$I23+'SK-ratings-year'!AH6*'MD-ratings-year'!$H6)/('MD-ratings-year'!$I23+'MD-ratings-year'!$H6)</f>
        <v>10</v>
      </c>
      <c r="U23" s="470">
        <f>('SK-ratings-year'!AI23*'MD-ratings-year'!$I23+'SK-ratings-year'!AI6*'MD-ratings-year'!$H6)/('MD-ratings-year'!$I23+'MD-ratings-year'!$H6)</f>
        <v>1.9905586388562158</v>
      </c>
      <c r="V23" s="470">
        <f>('SK-ratings-year'!AJ23*'MD-ratings-year'!$I23+'SK-ratings-year'!AJ6*'MD-ratings-year'!$H6)/('MD-ratings-year'!$I23+'MD-ratings-year'!$H6)</f>
        <v>0.9346949654999116</v>
      </c>
      <c r="W23" s="470">
        <f>('SK-ratings-year'!AK23*'MD-ratings-year'!$I23+'SK-ratings-year'!AK6*'MD-ratings-year'!$H6)/('MD-ratings-year'!$I23+'MD-ratings-year'!$H6)</f>
        <v>4.3178207081563214</v>
      </c>
      <c r="X23" s="470">
        <f>('SK-ratings-year'!AL23*'MD-ratings-year'!$I23+'SK-ratings-year'!AL6*'MD-ratings-year'!$H6)/('MD-ratings-year'!$I23+'MD-ratings-year'!$H6)</f>
        <v>5.8947070181053585</v>
      </c>
      <c r="Y23" s="470">
        <f>('SK-ratings-year'!AM23*'MD-ratings-year'!$I23+'SK-ratings-year'!AM6*'MD-ratings-year'!$H6)/('MD-ratings-year'!$I23+'MD-ratings-year'!$H6)</f>
        <v>5.901028144235303</v>
      </c>
      <c r="Z23" s="470">
        <f>('SK-ratings-year'!AN23*'MD-ratings-year'!$I23+'SK-ratings-year'!AN6*'MD-ratings-year'!$H6)/('MD-ratings-year'!$I23+'MD-ratings-year'!$H6)</f>
        <v>4.5312866811585719</v>
      </c>
      <c r="AA23" s="470">
        <f>('SK-ratings-year'!AO23*'MD-ratings-year'!$I23+'SK-ratings-year'!AO6*'MD-ratings-year'!$H6)/('MD-ratings-year'!$I23+'MD-ratings-year'!$H6)</f>
        <v>5.7088890838312336</v>
      </c>
      <c r="AB23" s="470">
        <f>('SK-ratings-year'!AP23*'MD-ratings-year'!$I23+'SK-ratings-year'!AP6*'MD-ratings-year'!$H6)/('MD-ratings-year'!$I23+'MD-ratings-year'!$H6)</f>
        <v>1.324984281229298</v>
      </c>
      <c r="AC23" s="470">
        <f>('SK-ratings-year'!AQ23*'MD-ratings-year'!$I23+'SK-ratings-year'!AQ6*'MD-ratings-year'!$H6)/('MD-ratings-year'!$I23+'MD-ratings-year'!$H6)</f>
        <v>10</v>
      </c>
      <c r="AD23" s="470">
        <f>('SK-ratings-year'!AR23*'MD-ratings-year'!$I23+'SK-ratings-year'!AR6*'MD-ratings-year'!$H6)/('MD-ratings-year'!$I23+'MD-ratings-year'!$H6)</f>
        <v>6.2415155356766414</v>
      </c>
      <c r="AE23" s="470">
        <f>('SK-ratings-year'!AS23*'MD-ratings-year'!$I23+'SK-ratings-year'!AS6*'MD-ratings-year'!$H6)/('MD-ratings-year'!$I23+'MD-ratings-year'!$H6)</f>
        <v>5.0038027027247045</v>
      </c>
      <c r="AF23" s="470">
        <f>('SK-ratings-year'!AT23*'MD-ratings-year'!$I23+'SK-ratings-year'!AT6*'MD-ratings-year'!$H6)/('MD-ratings-year'!$I23+'MD-ratings-year'!$H6)</f>
        <v>1.1643806787937057</v>
      </c>
      <c r="AG23" s="470">
        <f>('SK-ratings-year'!AU23*'MD-ratings-year'!$I23+'SK-ratings-year'!AU6*'MD-ratings-year'!$H6)/('MD-ratings-year'!$I23+'MD-ratings-year'!$H6)</f>
        <v>2.9866700795423142</v>
      </c>
      <c r="AH23" s="470">
        <f>('SK-ratings-year'!AV23*'MD-ratings-year'!$I23+'SK-ratings-year'!AV6*'MD-ratings-year'!$H6)/('MD-ratings-year'!$I23+'MD-ratings-year'!$H6)</f>
        <v>10</v>
      </c>
      <c r="AI23" s="470">
        <f>('SK-ratings-year'!AW23*'MD-ratings-year'!$I23+'SK-ratings-year'!AW6*'MD-ratings-year'!$H6)/('MD-ratings-year'!$I23+'MD-ratings-year'!$H6)</f>
        <v>6.6733731842629203</v>
      </c>
      <c r="AJ23" s="470">
        <f>('SK-ratings-year'!AX23*'MD-ratings-year'!$I23+'SK-ratings-year'!AX6*'MD-ratings-year'!$H6)/('MD-ratings-year'!$I23+'MD-ratings-year'!$H6)</f>
        <v>2.2550272412466015</v>
      </c>
      <c r="AK23" s="470">
        <f>('SK-ratings-year'!AY23*'MD-ratings-year'!$I23+'SK-ratings-year'!AY6*'MD-ratings-year'!$H6)/('MD-ratings-year'!$I23+'MD-ratings-year'!$H6)</f>
        <v>6.5976239716120721</v>
      </c>
      <c r="AL23" s="470">
        <f>('SK-ratings-year'!AZ23*'MD-ratings-year'!$I23+'SK-ratings-year'!AZ6*'MD-ratings-year'!$H6)/('MD-ratings-year'!$I23+'MD-ratings-year'!$H6)</f>
        <v>7.0358264400970905</v>
      </c>
      <c r="AM23" s="470">
        <f>('SK-ratings-year'!BA23*'MD-ratings-year'!$I23+'SK-ratings-year'!BA6*'MD-ratings-year'!$H6)/('MD-ratings-year'!$I23+'MD-ratings-year'!$H6)</f>
        <v>0.49489744288635407</v>
      </c>
      <c r="AN23" s="470">
        <f>('SK-ratings-year'!BB23*'MD-ratings-year'!$I23+'SK-ratings-year'!BB6*'MD-ratings-year'!$H6)/('MD-ratings-year'!$I23+'MD-ratings-year'!$H6)</f>
        <v>7.4602961120571347</v>
      </c>
      <c r="AO23" s="470">
        <f>('SK-ratings-year'!BC23*'MD-ratings-year'!$I23+'SK-ratings-year'!BC6*'MD-ratings-year'!$H6)/('MD-ratings-year'!$I23+'MD-ratings-year'!$H6)</f>
        <v>1.9927270557114372</v>
      </c>
      <c r="AP23" s="470">
        <f>('SK-ratings-year'!BD23*'MD-ratings-year'!$I23+'SK-ratings-year'!BD6*'MD-ratings-year'!$H6)/('MD-ratings-year'!$I23+'MD-ratings-year'!$H6)</f>
        <v>6.2838751936742137</v>
      </c>
      <c r="AQ23" s="470">
        <f>('SK-ratings-year'!BE23*'MD-ratings-year'!$I23+'SK-ratings-year'!BE6*'MD-ratings-year'!$H6)/('MD-ratings-year'!$I23+'MD-ratings-year'!$H6)</f>
        <v>1.9302550771997666</v>
      </c>
      <c r="AR23" s="470">
        <f>('SK-ratings-year'!BF23*'MD-ratings-year'!$I23+'SK-ratings-year'!BF6*'MD-ratings-year'!$H6)/('MD-ratings-year'!$I23+'MD-ratings-year'!$H6)</f>
        <v>7.4409797979902823</v>
      </c>
      <c r="AS23" s="470">
        <f>('SK-ratings-year'!BG23*'MD-ratings-year'!$I23+'SK-ratings-year'!BG6*'MD-ratings-year'!$H6)/('MD-ratings-year'!$I23+'MD-ratings-year'!$H6)</f>
        <v>2.4605694934982787</v>
      </c>
      <c r="AT23" s="470">
        <f>('SK-ratings-year'!BH23*'MD-ratings-year'!$I23+'SK-ratings-year'!BH6*'MD-ratings-year'!$H6)/('MD-ratings-year'!$I23+'MD-ratings-year'!$H6)</f>
        <v>3.2793875690180374</v>
      </c>
      <c r="AU23" s="470">
        <f>('SK-ratings-year'!BI23*'MD-ratings-year'!$I23+'SK-ratings-year'!BI6*'MD-ratings-year'!$H6)/('MD-ratings-year'!$I23+'MD-ratings-year'!$H6)</f>
        <v>0.15043803700408173</v>
      </c>
      <c r="AV23" s="470">
        <f>('SK-ratings-year'!BJ23*'MD-ratings-year'!$I23+'SK-ratings-year'!BJ6*'MD-ratings-year'!$H6)/('MD-ratings-year'!$I23+'MD-ratings-year'!$H6)</f>
        <v>7.7445507699041682E-2</v>
      </c>
      <c r="AW23" s="470">
        <f>('SK-ratings-year'!BK23*'MD-ratings-year'!$I23+'SK-ratings-year'!BK6*'MD-ratings-year'!$H6)/('MD-ratings-year'!$I23+'MD-ratings-year'!$H6)</f>
        <v>3.7626576563676877</v>
      </c>
      <c r="AX23" s="470">
        <f>('SK-ratings-year'!BL23*'MD-ratings-year'!$I23+'SK-ratings-year'!BL6*'MD-ratings-year'!$H6)/('MD-ratings-year'!$I23+'MD-ratings-year'!$H6)</f>
        <v>0.1275550952836487</v>
      </c>
      <c r="AY23" s="470">
        <f>('SK-ratings-year'!BM23*'MD-ratings-year'!$I23+'SK-ratings-year'!BM6*'MD-ratings-year'!$H6)/('MD-ratings-year'!$I23+'MD-ratings-year'!$H6)</f>
        <v>9.5891436593795358</v>
      </c>
      <c r="AZ23" s="470">
        <f>('SK-ratings-year'!BN23*'MD-ratings-year'!$I23+'SK-ratings-year'!BN6*'MD-ratings-year'!$H6)/('MD-ratings-year'!$I23+'MD-ratings-year'!$H6)</f>
        <v>5.3550663005833643</v>
      </c>
      <c r="BA23" s="470">
        <f>('SK-ratings-year'!BO23*'MD-ratings-year'!$I23+'SK-ratings-year'!BO6*'MD-ratings-year'!$H6)/('MD-ratings-year'!$I23+'MD-ratings-year'!$H6)</f>
        <v>4.2032080781214214</v>
      </c>
      <c r="BB23" s="470">
        <f>('SK-ratings-year'!BP23*'MD-ratings-year'!$I23+'SK-ratings-year'!BP6*'MD-ratings-year'!$H6)/('MD-ratings-year'!$I23+'MD-ratings-year'!$H6)</f>
        <v>0.42605396223184894</v>
      </c>
      <c r="BC23" s="470">
        <f>('SK-ratings-year'!BQ23*'MD-ratings-year'!$I23+'SK-ratings-year'!BQ6*'MD-ratings-year'!$H6)/('MD-ratings-year'!$I23+'MD-ratings-year'!$H6)</f>
        <v>9.8294303470242728</v>
      </c>
      <c r="BD23" s="470">
        <f>('SK-ratings-year'!BR23*'MD-ratings-year'!$I23+'SK-ratings-year'!BR6*'MD-ratings-year'!$H6)/('MD-ratings-year'!$I23+'MD-ratings-year'!$H6)</f>
        <v>4.6595943503083914</v>
      </c>
      <c r="BE23" s="470">
        <f>('SK-ratings-year'!BS23*'MD-ratings-year'!$I23+'SK-ratings-year'!BS6*'MD-ratings-year'!$H6)/('MD-ratings-year'!$I23+'MD-ratings-year'!$H6)</f>
        <v>3.468324519521754</v>
      </c>
      <c r="BF23" s="470">
        <f>('SK-ratings-year'!BT23*'MD-ratings-year'!$I23+'SK-ratings-year'!BT6*'MD-ratings-year'!$H6)/('MD-ratings-year'!$I23+'MD-ratings-year'!$H6)</f>
        <v>0.98988165304203135</v>
      </c>
      <c r="BG23" s="470">
        <f>('SK-ratings-year'!BU23*'MD-ratings-year'!$I23+'SK-ratings-year'!BU6*'MD-ratings-year'!$H6)/('MD-ratings-year'!$I23+'MD-ratings-year'!$H6)</f>
        <v>5.2178902342189115</v>
      </c>
      <c r="BH23" s="470">
        <f>('SK-ratings-year'!BV23*'MD-ratings-year'!$I23+'SK-ratings-year'!BV6*'MD-ratings-year'!$H6)/('MD-ratings-year'!$I23+'MD-ratings-year'!$H6)</f>
        <v>10</v>
      </c>
      <c r="BI23" s="470">
        <f>('SK-ratings-year'!BW23*'MD-ratings-year'!$I23+'SK-ratings-year'!BW6*'MD-ratings-year'!$H6)/('MD-ratings-year'!$I23+'MD-ratings-year'!$H6)</f>
        <v>4.5937324846585303</v>
      </c>
      <c r="BJ23" s="470">
        <f>('SK-ratings-year'!BX23*'MD-ratings-year'!$I23+'SK-ratings-year'!BX6*'MD-ratings-year'!$H6)/('MD-ratings-year'!$I23+'MD-ratings-year'!$H6)</f>
        <v>0.91086244317050313</v>
      </c>
      <c r="BK23" s="470">
        <f>('SK-ratings-year'!BY23*'MD-ratings-year'!$I23+'SK-ratings-year'!BY6*'MD-ratings-year'!$H6)/('MD-ratings-year'!$I23+'MD-ratings-year'!$H6)</f>
        <v>5.2211885530906068</v>
      </c>
      <c r="BL23" s="470">
        <f>('SK-ratings-year'!BZ23*'MD-ratings-year'!$I23+'SK-ratings-year'!BZ6*'MD-ratings-year'!$H6)/('MD-ratings-year'!$I23+'MD-ratings-year'!$H6)</f>
        <v>4.8290885538266553</v>
      </c>
      <c r="BM23" s="470">
        <f>('SK-ratings-year'!CA23*'MD-ratings-year'!$I23+'SK-ratings-year'!CA6*'MD-ratings-year'!$H6)/('MD-ratings-year'!$I23+'MD-ratings-year'!$H6)</f>
        <v>3.7933815402329794</v>
      </c>
      <c r="BN23" s="470">
        <f>('SK-ratings-year'!CB23*'MD-ratings-year'!$I23+'SK-ratings-year'!CB6*'MD-ratings-year'!$H6)/('MD-ratings-year'!$I23+'MD-ratings-year'!$H6)</f>
        <v>10</v>
      </c>
      <c r="BO23" s="470">
        <f>('SK-ratings-year'!CC23*'MD-ratings-year'!$I23+'SK-ratings-year'!CC6*'MD-ratings-year'!$H6)/('MD-ratings-year'!$I23+'MD-ratings-year'!$H6)</f>
        <v>9.536588234382835</v>
      </c>
      <c r="BP23" s="470">
        <f>('SK-ratings-year'!CD23*'MD-ratings-year'!$I23+'SK-ratings-year'!CD6*'MD-ratings-year'!$H6)/('MD-ratings-year'!$I23+'MD-ratings-year'!$H6)</f>
        <v>2.6856212007310378</v>
      </c>
      <c r="BQ23" s="470">
        <f>('SK-ratings-year'!CE23*'MD-ratings-year'!$I23+'SK-ratings-year'!CE6*'MD-ratings-year'!$H6)/('MD-ratings-year'!$I23+'MD-ratings-year'!$H6)</f>
        <v>5.2045382161353517</v>
      </c>
      <c r="BR23" s="470">
        <f>('SK-ratings-year'!CF23*'MD-ratings-year'!$I23+'SK-ratings-year'!CF6*'MD-ratings-year'!$H6)/('MD-ratings-year'!$I23+'MD-ratings-year'!$H6)</f>
        <v>9.7807291245778405</v>
      </c>
      <c r="BS23" s="470">
        <f>('SK-ratings-year'!CG23*'MD-ratings-year'!$I23+'SK-ratings-year'!CG6*'MD-ratings-year'!$H6)/('MD-ratings-year'!$I23+'MD-ratings-year'!$H6)</f>
        <v>7.5199477186335892</v>
      </c>
      <c r="BT23" s="470">
        <f>('SK-ratings-year'!CH23*'MD-ratings-year'!$I23+'SK-ratings-year'!CH6*'MD-ratings-year'!$H6)/('MD-ratings-year'!$I23+'MD-ratings-year'!$H6)</f>
        <v>3.857177797949316</v>
      </c>
      <c r="BU23" s="470">
        <f>('SK-ratings-year'!CI23*'MD-ratings-year'!$I23+'SK-ratings-year'!CI6*'MD-ratings-year'!$H6)/('MD-ratings-year'!$I23+'MD-ratings-year'!$H6)</f>
        <v>7.6999413548331956</v>
      </c>
      <c r="BV23" s="470">
        <f>('SK-ratings-year'!CJ23*'MD-ratings-year'!$I23+'SK-ratings-year'!CJ6*'MD-ratings-year'!$H6)/('MD-ratings-year'!$I23+'MD-ratings-year'!$H6)</f>
        <v>7.7961832393758801</v>
      </c>
      <c r="BW23" s="470">
        <f>('SK-ratings-year'!CK23*'MD-ratings-year'!$I23+'SK-ratings-year'!CK6*'MD-ratings-year'!$H6)/('MD-ratings-year'!$I23+'MD-ratings-year'!$H6)</f>
        <v>6.8651124615960821</v>
      </c>
      <c r="BX23" s="470">
        <f>('SK-ratings-year'!CL23*'MD-ratings-year'!$I23+'SK-ratings-year'!CL6*'MD-ratings-year'!$H6)/('MD-ratings-year'!$I23+'MD-ratings-year'!$H6)</f>
        <v>1.1569397072189509</v>
      </c>
      <c r="BY23" s="470">
        <f>('SK-ratings-year'!CM23*'MD-ratings-year'!$I23+'SK-ratings-year'!CM6*'MD-ratings-year'!$H6)/('MD-ratings-year'!$I23+'MD-ratings-year'!$H6)</f>
        <v>9.2109092996217043</v>
      </c>
      <c r="BZ23" s="470">
        <f>('SK-ratings-year'!CN23*'MD-ratings-year'!$I23+'SK-ratings-year'!CN6*'MD-ratings-year'!$H6)/('MD-ratings-year'!$I23+'MD-ratings-year'!$H6)</f>
        <v>6.9614947962701823</v>
      </c>
      <c r="CA23" s="470">
        <f>('SK-ratings-year'!CO23*'MD-ratings-year'!$I23+'SK-ratings-year'!CO6*'MD-ratings-year'!$H6)/('MD-ratings-year'!$I23+'MD-ratings-year'!$H6)</f>
        <v>0.47707057234159311</v>
      </c>
      <c r="CB23" s="470">
        <f>('SK-ratings-year'!CP23*'MD-ratings-year'!$I23+'SK-ratings-year'!CP6*'MD-ratings-year'!$H6)/('MD-ratings-year'!$I23+'MD-ratings-year'!$H6)</f>
        <v>0.78826718073023139</v>
      </c>
      <c r="CC23" s="470">
        <f>('SK-ratings-year'!CQ23*'MD-ratings-year'!$I23+'SK-ratings-year'!CQ6*'MD-ratings-year'!$H6)/('MD-ratings-year'!$I23+'MD-ratings-year'!$H6)</f>
        <v>0.95734885844450368</v>
      </c>
      <c r="CD23" s="470">
        <f>('SK-ratings-year'!CR23*'MD-ratings-year'!$I23+'SK-ratings-year'!CR6*'MD-ratings-year'!$H6)/('MD-ratings-year'!$I23+'MD-ratings-year'!$H6)</f>
        <v>8.3000392609691289</v>
      </c>
      <c r="CE23" s="470">
        <f>('SK-ratings-year'!CS23*'MD-ratings-year'!$I23+'SK-ratings-year'!CS6*'MD-ratings-year'!$H6)/('MD-ratings-year'!$I23+'MD-ratings-year'!$H6)</f>
        <v>5.9254442787677437</v>
      </c>
      <c r="CF23" s="470">
        <f>('SK-ratings-year'!CT23*'MD-ratings-year'!$I23+'SK-ratings-year'!CT6*'MD-ratings-year'!$H6)/('MD-ratings-year'!$I23+'MD-ratings-year'!$H6)</f>
        <v>4.6996029098058916</v>
      </c>
      <c r="CG23" s="470">
        <f>('SK-ratings-year'!CU23*'MD-ratings-year'!$I23+'SK-ratings-year'!CU6*'MD-ratings-year'!$H6)/('MD-ratings-year'!$I23+'MD-ratings-year'!$H6)</f>
        <v>5.7654792459842827</v>
      </c>
      <c r="CH23" s="470">
        <f>('SK-ratings-year'!CV23*'MD-ratings-year'!$I23+'SK-ratings-year'!CV6*'MD-ratings-year'!$H6)/('MD-ratings-year'!$I23+'MD-ratings-year'!$H6)</f>
        <v>3.9239295391896696</v>
      </c>
      <c r="CI23" s="470">
        <f>('SK-ratings-year'!CW23*'MD-ratings-year'!$I23+'SK-ratings-year'!CW6*'MD-ratings-year'!$H6)/('MD-ratings-year'!$I23+'MD-ratings-year'!$H6)</f>
        <v>0.36638686293955741</v>
      </c>
      <c r="CJ23" s="470">
        <f>('SK-ratings-year'!CX23*'MD-ratings-year'!$I23+'SK-ratings-year'!CX6*'MD-ratings-year'!$H6)/('MD-ratings-year'!$I23+'MD-ratings-year'!$H6)</f>
        <v>0.22026484502956331</v>
      </c>
      <c r="CL23" s="546"/>
      <c r="CM23" s="455">
        <f>('SK-ratings-year'!DA23*'MD-ratings-year'!$I23+'SK-ratings-year'!DA6*'MD-ratings-year'!$H6)/('MD-ratings-year'!$I23+'MD-ratings-year'!$H6)</f>
        <v>5.3293786199630109</v>
      </c>
      <c r="CN23" s="455">
        <f>('SK-ratings-year'!DB23*'MD-ratings-year'!$I23+'SK-ratings-year'!DB6*'MD-ratings-year'!$H6)/('MD-ratings-year'!$I23+'MD-ratings-year'!$H6)</f>
        <v>5.0225951702447933</v>
      </c>
      <c r="CO23" s="455">
        <f>('SK-ratings-year'!DC23*'MD-ratings-year'!$I23+'SK-ratings-year'!DC6*'MD-ratings-year'!$H6)/('MD-ratings-year'!$I23+'MD-ratings-year'!$H6)</f>
        <v>3.7414369461593417</v>
      </c>
      <c r="CP23" s="455">
        <f>('SK-ratings-year'!DD23*'MD-ratings-year'!$I23+'SK-ratings-year'!DD6*'MD-ratings-year'!$H6)/('MD-ratings-year'!$I23+'MD-ratings-year'!$H6)</f>
        <v>5.7793811799375794</v>
      </c>
      <c r="CQ23" s="455">
        <f>('SK-ratings-year'!DE23*'MD-ratings-year'!$I23+'SK-ratings-year'!DE6*'MD-ratings-year'!$H6)/('MD-ratings-year'!$I23+'MD-ratings-year'!$H6)</f>
        <v>4.6373059271876089</v>
      </c>
      <c r="CR23" s="455">
        <f>('SK-ratings-year'!DF23*'MD-ratings-year'!$I23+'SK-ratings-year'!DF6*'MD-ratings-year'!$H6)/('MD-ratings-year'!$I23+'MD-ratings-year'!$H6)</f>
        <v>7.2641955600730812</v>
      </c>
      <c r="CS23" s="455">
        <f>('SK-ratings-year'!DG23*'MD-ratings-year'!$I23+'SK-ratings-year'!DG6*'MD-ratings-year'!$H6)/('MD-ratings-year'!$I23+'MD-ratings-year'!$H6)</f>
        <v>1.5239929721699845</v>
      </c>
      <c r="CT23" s="455">
        <f>('SK-ratings-year'!DH23*'MD-ratings-year'!$I23+'SK-ratings-year'!DH6*'MD-ratings-year'!$H6)/('MD-ratings-year'!$I23+'MD-ratings-year'!$H6)</f>
        <v>3.7625011834902202</v>
      </c>
      <c r="CU23" s="455">
        <f>('SK-ratings-year'!DI23*'MD-ratings-year'!$I23+'SK-ratings-year'!DI6*'MD-ratings-year'!$H6)/('MD-ratings-year'!$I23+'MD-ratings-year'!$H6)</f>
        <v>0.7994783690796311</v>
      </c>
      <c r="CV23" s="455">
        <f>('SK-ratings-year'!DJ23*'MD-ratings-year'!$I23+'SK-ratings-year'!DJ6*'MD-ratings-year'!$H6)/('MD-ratings-year'!$I23+'MD-ratings-year'!$H6)</f>
        <v>2.0244901927989423</v>
      </c>
      <c r="CW23" s="455">
        <f>('SK-ratings-year'!DK23*'MD-ratings-year'!$I23+'SK-ratings-year'!DK6*'MD-ratings-year'!$H6)/('MD-ratings-year'!$I23+'MD-ratings-year'!$H6)</f>
        <v>3.1045660997434474</v>
      </c>
      <c r="CX23" s="455">
        <f>('SK-ratings-year'!DL23*'MD-ratings-year'!$I23+'SK-ratings-year'!DL6*'MD-ratings-year'!$H6)/('MD-ratings-year'!$I23+'MD-ratings-year'!$H6)</f>
        <v>3.748372922700042</v>
      </c>
      <c r="CY23" s="455">
        <f>('SK-ratings-year'!DM23*'MD-ratings-year'!$I23+'SK-ratings-year'!DM6*'MD-ratings-year'!$H6)/('MD-ratings-year'!$I23+'MD-ratings-year'!$H6)</f>
        <v>4.1929575915490283</v>
      </c>
      <c r="CZ23" s="455">
        <f>('SK-ratings-year'!DN23*'MD-ratings-year'!$I23+'SK-ratings-year'!DN6*'MD-ratings-year'!$H6)/('MD-ratings-year'!$I23+'MD-ratings-year'!$H6)</f>
        <v>5.2559960392810927</v>
      </c>
      <c r="DA23" s="455">
        <f>('SK-ratings-year'!DO23*'MD-ratings-year'!$I23+'SK-ratings-year'!DO6*'MD-ratings-year'!$H6)/('MD-ratings-year'!$I23+'MD-ratings-year'!$H6)</f>
        <v>2.2733400375297999</v>
      </c>
      <c r="DB23" s="455">
        <f>('SK-ratings-year'!DP23*'MD-ratings-year'!$I23+'SK-ratings-year'!DP6*'MD-ratings-year'!$H6)/('MD-ratings-year'!$I23+'MD-ratings-year'!$H6)</f>
        <v>4.1221401626714451</v>
      </c>
    </row>
    <row r="24" spans="1:106" s="461" customFormat="1" ht="15.75" customHeight="1" thickBot="1" x14ac:dyDescent="0.3">
      <c r="A24" s="641"/>
      <c r="B24" s="635"/>
      <c r="C24" s="677" t="str">
        <f>'MD-ratings-year'!C24:E24</f>
        <v>Liquidity total</v>
      </c>
      <c r="D24" s="678"/>
      <c r="E24" s="682"/>
      <c r="F24" s="589" t="s">
        <v>400</v>
      </c>
      <c r="G24" s="653"/>
      <c r="I24" s="471">
        <f>SUMPRODUCT(I21:I23,$C21:$C23)/SUM($C21:$C23)</f>
        <v>9.9357787275950997</v>
      </c>
      <c r="J24" s="471">
        <f t="shared" ref="J24:BU24" si="75">SUMPRODUCT(J21:J23,$C21:$C23)/SUM($C21:$C23)</f>
        <v>9.4004907633222317</v>
      </c>
      <c r="K24" s="471">
        <f t="shared" si="75"/>
        <v>4.2530470511173446</v>
      </c>
      <c r="L24" s="471">
        <f t="shared" si="75"/>
        <v>3.6887211332605796</v>
      </c>
      <c r="M24" s="471">
        <f t="shared" si="75"/>
        <v>2.6458865568648724</v>
      </c>
      <c r="N24" s="471">
        <f t="shared" si="75"/>
        <v>5.4305782631715349</v>
      </c>
      <c r="O24" s="471">
        <f t="shared" si="75"/>
        <v>5.8930332824136364</v>
      </c>
      <c r="P24" s="471">
        <f t="shared" si="75"/>
        <v>4.7390195173883045</v>
      </c>
      <c r="Q24" s="471">
        <f t="shared" si="75"/>
        <v>3.4527242192244119</v>
      </c>
      <c r="R24" s="471">
        <f t="shared" si="75"/>
        <v>4.1275771960926448</v>
      </c>
      <c r="S24" s="471">
        <f t="shared" si="75"/>
        <v>5.7350464273747477</v>
      </c>
      <c r="T24" s="471">
        <f t="shared" si="75"/>
        <v>9.9289214702085253</v>
      </c>
      <c r="U24" s="471">
        <f t="shared" si="75"/>
        <v>3.5555329464487411</v>
      </c>
      <c r="V24" s="471">
        <f t="shared" si="75"/>
        <v>3.2053277262756579</v>
      </c>
      <c r="W24" s="471">
        <f t="shared" si="75"/>
        <v>4.6518526465746612</v>
      </c>
      <c r="X24" s="471">
        <f t="shared" si="75"/>
        <v>8.191196059340605</v>
      </c>
      <c r="Y24" s="471">
        <f t="shared" si="75"/>
        <v>5.9212906241843282</v>
      </c>
      <c r="Z24" s="471">
        <f t="shared" si="75"/>
        <v>4.7392451918950957</v>
      </c>
      <c r="AA24" s="471">
        <f t="shared" si="75"/>
        <v>5.8104724154728871</v>
      </c>
      <c r="AB24" s="471">
        <f t="shared" si="75"/>
        <v>3.2442936389019494</v>
      </c>
      <c r="AC24" s="471">
        <f t="shared" si="75"/>
        <v>10</v>
      </c>
      <c r="AD24" s="471">
        <f t="shared" si="75"/>
        <v>7.3054766312641695</v>
      </c>
      <c r="AE24" s="471">
        <f t="shared" si="75"/>
        <v>5.7860681752786434</v>
      </c>
      <c r="AF24" s="471">
        <f t="shared" si="75"/>
        <v>3.1307475960592073</v>
      </c>
      <c r="AG24" s="471">
        <f t="shared" si="75"/>
        <v>3.2849648912774674</v>
      </c>
      <c r="AH24" s="471">
        <f t="shared" si="75"/>
        <v>10</v>
      </c>
      <c r="AI24" s="471">
        <f t="shared" si="75"/>
        <v>6.7002016576242234</v>
      </c>
      <c r="AJ24" s="471">
        <f t="shared" si="75"/>
        <v>2.2706185309523024</v>
      </c>
      <c r="AK24" s="471">
        <f t="shared" si="75"/>
        <v>7.265676252711148</v>
      </c>
      <c r="AL24" s="471">
        <f t="shared" si="75"/>
        <v>6.8049654691430961</v>
      </c>
      <c r="AM24" s="471">
        <f t="shared" si="75"/>
        <v>0.80044956999210048</v>
      </c>
      <c r="AN24" s="471">
        <f t="shared" si="75"/>
        <v>7.7575755812089522</v>
      </c>
      <c r="AO24" s="471">
        <f t="shared" si="75"/>
        <v>4.1253171380759213</v>
      </c>
      <c r="AP24" s="471">
        <f t="shared" si="75"/>
        <v>6.8997462106738734</v>
      </c>
      <c r="AQ24" s="471">
        <f t="shared" si="75"/>
        <v>4.0165966602942529</v>
      </c>
      <c r="AR24" s="471">
        <f t="shared" si="75"/>
        <v>7.7676435385981462</v>
      </c>
      <c r="AS24" s="471">
        <f t="shared" si="75"/>
        <v>4.8946854873235051</v>
      </c>
      <c r="AT24" s="471">
        <f t="shared" si="75"/>
        <v>4.4701095819719558</v>
      </c>
      <c r="AU24" s="471">
        <f t="shared" si="75"/>
        <v>2.2939697556247625</v>
      </c>
      <c r="AV24" s="471">
        <f t="shared" si="75"/>
        <v>3.0392656174206119</v>
      </c>
      <c r="AW24" s="471">
        <f t="shared" si="75"/>
        <v>4.024189730365352</v>
      </c>
      <c r="AX24" s="471">
        <f t="shared" si="75"/>
        <v>2.2354956306661737</v>
      </c>
      <c r="AY24" s="471">
        <f t="shared" si="75"/>
        <v>9.4499254013781133</v>
      </c>
      <c r="AZ24" s="471">
        <f t="shared" si="75"/>
        <v>5.5722876451868597</v>
      </c>
      <c r="BA24" s="471">
        <f t="shared" si="75"/>
        <v>4.8654685539784017</v>
      </c>
      <c r="BB24" s="471">
        <f t="shared" si="75"/>
        <v>2.427116872283265</v>
      </c>
      <c r="BC24" s="471">
        <f t="shared" si="75"/>
        <v>9.4821071493705116</v>
      </c>
      <c r="BD24" s="471">
        <f t="shared" si="75"/>
        <v>6.7837589535087872</v>
      </c>
      <c r="BE24" s="471">
        <f t="shared" si="75"/>
        <v>3.9420564676933032</v>
      </c>
      <c r="BF24" s="471">
        <f t="shared" si="75"/>
        <v>2.2033082186994166</v>
      </c>
      <c r="BG24" s="471">
        <f t="shared" si="75"/>
        <v>5.093207789671693</v>
      </c>
      <c r="BH24" s="471">
        <f t="shared" si="75"/>
        <v>10</v>
      </c>
      <c r="BI24" s="471">
        <f t="shared" si="75"/>
        <v>4.4414078095044847</v>
      </c>
      <c r="BJ24" s="471">
        <f t="shared" si="75"/>
        <v>2.685505839985328</v>
      </c>
      <c r="BK24" s="471">
        <f t="shared" si="75"/>
        <v>5.9715120942465374</v>
      </c>
      <c r="BL24" s="471">
        <f t="shared" si="75"/>
        <v>5.6803703250827624</v>
      </c>
      <c r="BM24" s="471">
        <f t="shared" si="75"/>
        <v>4.1894817433444027</v>
      </c>
      <c r="BN24" s="471">
        <f t="shared" si="75"/>
        <v>9.9097965653261468</v>
      </c>
      <c r="BO24" s="471">
        <f t="shared" si="75"/>
        <v>9.1582953519640764</v>
      </c>
      <c r="BP24" s="471">
        <f t="shared" si="75"/>
        <v>3.6107121517881926</v>
      </c>
      <c r="BQ24" s="471">
        <f t="shared" si="75"/>
        <v>5.6935570870211567</v>
      </c>
      <c r="BR24" s="471">
        <f t="shared" si="75"/>
        <v>9.5545171393498496</v>
      </c>
      <c r="BS24" s="471">
        <f t="shared" si="75"/>
        <v>7.3470726872302308</v>
      </c>
      <c r="BT24" s="471">
        <f t="shared" si="75"/>
        <v>5.9074397905278397</v>
      </c>
      <c r="BU24" s="471">
        <f t="shared" si="75"/>
        <v>7.3709806493539798</v>
      </c>
      <c r="BV24" s="471">
        <f t="shared" ref="BV24:CJ24" si="76">SUMPRODUCT(BV21:BV23,$C21:$C23)/SUM($C21:$C23)</f>
        <v>7.3834135577583577</v>
      </c>
      <c r="BW24" s="471">
        <f t="shared" si="76"/>
        <v>6.7609479546295894</v>
      </c>
      <c r="BX24" s="471">
        <f t="shared" si="76"/>
        <v>3.5524452652952858</v>
      </c>
      <c r="BY24" s="471">
        <f t="shared" si="76"/>
        <v>8.9854723588403971</v>
      </c>
      <c r="BZ24" s="471">
        <f t="shared" si="76"/>
        <v>7.6340050866917188</v>
      </c>
      <c r="CA24" s="471">
        <f t="shared" si="76"/>
        <v>2.8002509303880312</v>
      </c>
      <c r="CB24" s="471">
        <f t="shared" si="76"/>
        <v>2.8395324032492297</v>
      </c>
      <c r="CC24" s="471">
        <f t="shared" si="76"/>
        <v>0.76083798709745531</v>
      </c>
      <c r="CD24" s="471">
        <f t="shared" si="76"/>
        <v>8.51712652365336</v>
      </c>
      <c r="CE24" s="471">
        <f t="shared" si="76"/>
        <v>6.15929187983253</v>
      </c>
      <c r="CF24" s="471">
        <f t="shared" si="76"/>
        <v>4.3590756858632957</v>
      </c>
      <c r="CG24" s="471">
        <f t="shared" si="76"/>
        <v>5.1202988979912183</v>
      </c>
      <c r="CH24" s="471">
        <f t="shared" si="76"/>
        <v>4.1514625264652461</v>
      </c>
      <c r="CI24" s="471">
        <f t="shared" si="76"/>
        <v>2.2782195389108746</v>
      </c>
      <c r="CJ24" s="471">
        <f t="shared" si="76"/>
        <v>2.6096971863183587</v>
      </c>
      <c r="CL24" s="585"/>
      <c r="CM24" s="462">
        <f t="shared" ref="CM24" si="77">SUMPRODUCT(CM21:CM23,$C21:$C23)/SUM($C21:$C23)</f>
        <v>6.2399562621322175</v>
      </c>
      <c r="CN24" s="462">
        <f t="shared" ref="CN24" si="78">SUMPRODUCT(CN21:CN23,$C21:$C23)/SUM($C21:$C23)</f>
        <v>5.9956567912340812</v>
      </c>
      <c r="CO24" s="462">
        <f t="shared" ref="CO24" si="79">SUMPRODUCT(CO21:CO23,$C21:$C23)/SUM($C21:$C23)</f>
        <v>4.6389238584584618</v>
      </c>
      <c r="CP24" s="462">
        <f t="shared" ref="CP24" si="80">SUMPRODUCT(CP21:CP23,$C21:$C23)/SUM($C21:$C23)</f>
        <v>6.268071277993684</v>
      </c>
      <c r="CQ24" s="462">
        <f t="shared" ref="CQ24" si="81">SUMPRODUCT(CQ21:CQ23,$C21:$C23)/SUM($C21:$C23)</f>
        <v>4.4086364563028315</v>
      </c>
      <c r="CR24" s="462">
        <f t="shared" ref="CR24" si="82">SUMPRODUCT(CR21:CR23,$C21:$C23)/SUM($C21:$C23)</f>
        <v>7.3519988238708613</v>
      </c>
      <c r="CS24" s="462">
        <f t="shared" ref="CS24" si="83">SUMPRODUCT(CS21:CS23,$C21:$C23)/SUM($C21:$C23)</f>
        <v>3.4580518447600128</v>
      </c>
      <c r="CT24" s="462">
        <f t="shared" ref="CT24" si="84">SUMPRODUCT(CT21:CT23,$C21:$C23)/SUM($C21:$C23)</f>
        <v>4.592077322617623</v>
      </c>
      <c r="CU24" s="462">
        <f t="shared" ref="CU24" si="85">SUMPRODUCT(CU21:CU23,$C21:$C23)/SUM($C21:$C23)</f>
        <v>3.1559644486303449</v>
      </c>
      <c r="CV24" s="462">
        <f t="shared" ref="CV24:CY24" si="86">SUMPRODUCT(CV21:CV23,$C21:$C23)/SUM($C21:$C23)</f>
        <v>3.1726900950161481</v>
      </c>
      <c r="CW24" s="462">
        <f t="shared" si="86"/>
        <v>4.6041714316887319</v>
      </c>
      <c r="CX24" s="462">
        <f t="shared" si="86"/>
        <v>4.6150798839215517</v>
      </c>
      <c r="CY24" s="462">
        <f t="shared" si="86"/>
        <v>5.2763986062955519</v>
      </c>
      <c r="CZ24" s="462">
        <f t="shared" ref="CZ24" si="87">SUMPRODUCT(CZ21:CZ23,$C21:$C23)/SUM($C21:$C23)</f>
        <v>5.87466038475735</v>
      </c>
      <c r="DA24" s="462">
        <f t="shared" ref="DA24" si="88">SUMPRODUCT(DA21:DA23,$C21:$C23)/SUM($C21:$C23)</f>
        <v>3.8179303992265536</v>
      </c>
      <c r="DB24" s="462">
        <f t="shared" ref="DB24" si="89">SUMPRODUCT(DB21:DB23,$C21:$C23)/SUM($C21:$C23)</f>
        <v>5.0925522706562631</v>
      </c>
    </row>
    <row r="25" spans="1:106" s="428" customFormat="1" ht="15.75" customHeight="1" thickBot="1" x14ac:dyDescent="0.3">
      <c r="A25" s="639">
        <f>'MD-ratings-year'!A25</f>
        <v>0.25</v>
      </c>
      <c r="B25" s="633" t="str">
        <f>'MD-ratings-year'!B25</f>
        <v>Profitability</v>
      </c>
      <c r="C25" s="435">
        <f>'MD-ratings-year'!C25</f>
        <v>0.1</v>
      </c>
      <c r="D25" s="436" t="str">
        <f>'MD-ratings-year'!D25</f>
        <v>ROA - Return on Assets</v>
      </c>
      <c r="E25" s="438" t="str">
        <f>'MD-ratings-year'!E25</f>
        <v>Net Profit ÷ Total Assets</v>
      </c>
      <c r="F25" s="440" t="s">
        <v>400</v>
      </c>
      <c r="G25" s="653"/>
      <c r="I25" s="470">
        <f>('SK-ratings-year'!W25*'MD-ratings-year'!$I25+'SK-ratings-year'!W8*'MD-ratings-year'!$H8)/('MD-ratings-year'!$I25+'MD-ratings-year'!$H8)</f>
        <v>5.0680418998776284</v>
      </c>
      <c r="J25" s="470">
        <f>('SK-ratings-year'!X25*'MD-ratings-year'!$I25+'SK-ratings-year'!X8*'MD-ratings-year'!$H8)/('MD-ratings-year'!$I25+'MD-ratings-year'!$H8)</f>
        <v>5.8220585081783947</v>
      </c>
      <c r="K25" s="470">
        <f>('SK-ratings-year'!Y25*'MD-ratings-year'!$I25+'SK-ratings-year'!Y8*'MD-ratings-year'!$H8)/('MD-ratings-year'!$I25+'MD-ratings-year'!$H8)</f>
        <v>6.7218474746481229</v>
      </c>
      <c r="L25" s="470">
        <f>('SK-ratings-year'!Z25*'MD-ratings-year'!$I25+'SK-ratings-year'!Z8*'MD-ratings-year'!$H8)/('MD-ratings-year'!$I25+'MD-ratings-year'!$H8)</f>
        <v>8.2293076407934134</v>
      </c>
      <c r="M25" s="470">
        <f>('SK-ratings-year'!AA25*'MD-ratings-year'!$I25+'SK-ratings-year'!AA8*'MD-ratings-year'!$H8)/('MD-ratings-year'!$I25+'MD-ratings-year'!$H8)</f>
        <v>8.1294433924060456</v>
      </c>
      <c r="N25" s="470">
        <f>('SK-ratings-year'!AB25*'MD-ratings-year'!$I25+'SK-ratings-year'!AB8*'MD-ratings-year'!$H8)/('MD-ratings-year'!$I25+'MD-ratings-year'!$H8)</f>
        <v>4.233437087018225</v>
      </c>
      <c r="O25" s="470">
        <f>('SK-ratings-year'!AC25*'MD-ratings-year'!$I25+'SK-ratings-year'!AC8*'MD-ratings-year'!$H8)/('MD-ratings-year'!$I25+'MD-ratings-year'!$H8)</f>
        <v>7.8217406528070823</v>
      </c>
      <c r="P25" s="470">
        <f>('SK-ratings-year'!AD25*'MD-ratings-year'!$I25+'SK-ratings-year'!AD8*'MD-ratings-year'!$H8)/('MD-ratings-year'!$I25+'MD-ratings-year'!$H8)</f>
        <v>9.9020156716625145</v>
      </c>
      <c r="Q25" s="470">
        <f>('SK-ratings-year'!AE25*'MD-ratings-year'!$I25+'SK-ratings-year'!AE8*'MD-ratings-year'!$H8)/('MD-ratings-year'!$I25+'MD-ratings-year'!$H8)</f>
        <v>8.6070685411267096</v>
      </c>
      <c r="R25" s="470">
        <f>('SK-ratings-year'!AF25*'MD-ratings-year'!$I25+'SK-ratings-year'!AF8*'MD-ratings-year'!$H8)/('MD-ratings-year'!$I25+'MD-ratings-year'!$H8)</f>
        <v>6.6667868194576654</v>
      </c>
      <c r="S25" s="470">
        <f>('SK-ratings-year'!AG25*'MD-ratings-year'!$I25+'SK-ratings-year'!AG8*'MD-ratings-year'!$H8)/('MD-ratings-year'!$I25+'MD-ratings-year'!$H8)</f>
        <v>10</v>
      </c>
      <c r="T25" s="470">
        <f>('SK-ratings-year'!AH25*'MD-ratings-year'!$I25+'SK-ratings-year'!AH8*'MD-ratings-year'!$H8)/('MD-ratings-year'!$I25+'MD-ratings-year'!$H8)</f>
        <v>1.3180993242500312</v>
      </c>
      <c r="U25" s="470">
        <f>('SK-ratings-year'!AI25*'MD-ratings-year'!$I25+'SK-ratings-year'!AI8*'MD-ratings-year'!$H8)/('MD-ratings-year'!$I25+'MD-ratings-year'!$H8)</f>
        <v>9.3307978995288181</v>
      </c>
      <c r="V25" s="470">
        <f>('SK-ratings-year'!AJ25*'MD-ratings-year'!$I25+'SK-ratings-year'!AJ8*'MD-ratings-year'!$H8)/('MD-ratings-year'!$I25+'MD-ratings-year'!$H8)</f>
        <v>9.7994696415167031</v>
      </c>
      <c r="W25" s="470">
        <f>('SK-ratings-year'!AK25*'MD-ratings-year'!$I25+'SK-ratings-year'!AK8*'MD-ratings-year'!$H8)/('MD-ratings-year'!$I25+'MD-ratings-year'!$H8)</f>
        <v>6.5616896974827439</v>
      </c>
      <c r="X25" s="470">
        <f>('SK-ratings-year'!AL25*'MD-ratings-year'!$I25+'SK-ratings-year'!AL8*'MD-ratings-year'!$H8)/('MD-ratings-year'!$I25+'MD-ratings-year'!$H8)</f>
        <v>9.5335814930631102</v>
      </c>
      <c r="Y25" s="470">
        <f>('SK-ratings-year'!AM25*'MD-ratings-year'!$I25+'SK-ratings-year'!AM8*'MD-ratings-year'!$H8)/('MD-ratings-year'!$I25+'MD-ratings-year'!$H8)</f>
        <v>10</v>
      </c>
      <c r="Z25" s="470">
        <f>('SK-ratings-year'!AN25*'MD-ratings-year'!$I25+'SK-ratings-year'!AN8*'MD-ratings-year'!$H8)/('MD-ratings-year'!$I25+'MD-ratings-year'!$H8)</f>
        <v>5.2013640741181053</v>
      </c>
      <c r="AA25" s="470">
        <f>('SK-ratings-year'!AO25*'MD-ratings-year'!$I25+'SK-ratings-year'!AO8*'MD-ratings-year'!$H8)/('MD-ratings-year'!$I25+'MD-ratings-year'!$H8)</f>
        <v>0</v>
      </c>
      <c r="AB25" s="470">
        <f>('SK-ratings-year'!AP25*'MD-ratings-year'!$I25+'SK-ratings-year'!AP8*'MD-ratings-year'!$H8)/('MD-ratings-year'!$I25+'MD-ratings-year'!$H8)</f>
        <v>9.451798083414527</v>
      </c>
      <c r="AC25" s="470">
        <f>('SK-ratings-year'!AQ25*'MD-ratings-year'!$I25+'SK-ratings-year'!AQ8*'MD-ratings-year'!$H8)/('MD-ratings-year'!$I25+'MD-ratings-year'!$H8)</f>
        <v>6.5582534203031537</v>
      </c>
      <c r="AD25" s="470">
        <f>('SK-ratings-year'!AR25*'MD-ratings-year'!$I25+'SK-ratings-year'!AR8*'MD-ratings-year'!$H8)/('MD-ratings-year'!$I25+'MD-ratings-year'!$H8)</f>
        <v>5.7575015177312805</v>
      </c>
      <c r="AE25" s="470">
        <f>('SK-ratings-year'!AS25*'MD-ratings-year'!$I25+'SK-ratings-year'!AS8*'MD-ratings-year'!$H8)/('MD-ratings-year'!$I25+'MD-ratings-year'!$H8)</f>
        <v>6.5214431839483158</v>
      </c>
      <c r="AF25" s="470">
        <f>('SK-ratings-year'!AT25*'MD-ratings-year'!$I25+'SK-ratings-year'!AT8*'MD-ratings-year'!$H8)/('MD-ratings-year'!$I25+'MD-ratings-year'!$H8)</f>
        <v>0.54325309971714419</v>
      </c>
      <c r="AG25" s="470">
        <f>('SK-ratings-year'!AU25*'MD-ratings-year'!$I25+'SK-ratings-year'!AU8*'MD-ratings-year'!$H8)/('MD-ratings-year'!$I25+'MD-ratings-year'!$H8)</f>
        <v>2.284632546042253</v>
      </c>
      <c r="AH25" s="470">
        <f>('SK-ratings-year'!AV25*'MD-ratings-year'!$I25+'SK-ratings-year'!AV8*'MD-ratings-year'!$H8)/('MD-ratings-year'!$I25+'MD-ratings-year'!$H8)</f>
        <v>8.0395056057519785</v>
      </c>
      <c r="AI25" s="470">
        <f>('SK-ratings-year'!AW25*'MD-ratings-year'!$I25+'SK-ratings-year'!AW8*'MD-ratings-year'!$H8)/('MD-ratings-year'!$I25+'MD-ratings-year'!$H8)</f>
        <v>2.4478963214218532</v>
      </c>
      <c r="AJ25" s="470">
        <f>('SK-ratings-year'!AX25*'MD-ratings-year'!$I25+'SK-ratings-year'!AX8*'MD-ratings-year'!$H8)/('MD-ratings-year'!$I25+'MD-ratings-year'!$H8)</f>
        <v>2.2186110680405058</v>
      </c>
      <c r="AK25" s="470">
        <f>('SK-ratings-year'!AY25*'MD-ratings-year'!$I25+'SK-ratings-year'!AY8*'MD-ratings-year'!$H8)/('MD-ratings-year'!$I25+'MD-ratings-year'!$H8)</f>
        <v>3.3060172741998719</v>
      </c>
      <c r="AL25" s="470">
        <f>('SK-ratings-year'!AZ25*'MD-ratings-year'!$I25+'SK-ratings-year'!AZ8*'MD-ratings-year'!$H8)/('MD-ratings-year'!$I25+'MD-ratings-year'!$H8)</f>
        <v>4.8434392702951996</v>
      </c>
      <c r="AM25" s="470">
        <f>('SK-ratings-year'!BA25*'MD-ratings-year'!$I25+'SK-ratings-year'!BA8*'MD-ratings-year'!$H8)/('MD-ratings-year'!$I25+'MD-ratings-year'!$H8)</f>
        <v>2.4695700654739219</v>
      </c>
      <c r="AN25" s="470">
        <f>('SK-ratings-year'!BB25*'MD-ratings-year'!$I25+'SK-ratings-year'!BB8*'MD-ratings-year'!$H8)/('MD-ratings-year'!$I25+'MD-ratings-year'!$H8)</f>
        <v>7.1817386561472505</v>
      </c>
      <c r="AO25" s="470">
        <f>('SK-ratings-year'!BC25*'MD-ratings-year'!$I25+'SK-ratings-year'!BC8*'MD-ratings-year'!$H8)/('MD-ratings-year'!$I25+'MD-ratings-year'!$H8)</f>
        <v>9.2614919399851772</v>
      </c>
      <c r="AP25" s="470">
        <f>('SK-ratings-year'!BD25*'MD-ratings-year'!$I25+'SK-ratings-year'!BD8*'MD-ratings-year'!$H8)/('MD-ratings-year'!$I25+'MD-ratings-year'!$H8)</f>
        <v>8.4794151138682601</v>
      </c>
      <c r="AQ25" s="470">
        <f>('SK-ratings-year'!BE25*'MD-ratings-year'!$I25+'SK-ratings-year'!BE8*'MD-ratings-year'!$H8)/('MD-ratings-year'!$I25+'MD-ratings-year'!$H8)</f>
        <v>5.740769213150382</v>
      </c>
      <c r="AR25" s="470">
        <f>('SK-ratings-year'!BF25*'MD-ratings-year'!$I25+'SK-ratings-year'!BF8*'MD-ratings-year'!$H8)/('MD-ratings-year'!$I25+'MD-ratings-year'!$H8)</f>
        <v>5.1634998857989922</v>
      </c>
      <c r="AS25" s="470">
        <f>('SK-ratings-year'!BG25*'MD-ratings-year'!$I25+'SK-ratings-year'!BG8*'MD-ratings-year'!$H8)/('MD-ratings-year'!$I25+'MD-ratings-year'!$H8)</f>
        <v>10</v>
      </c>
      <c r="AT25" s="470">
        <f>('SK-ratings-year'!BH25*'MD-ratings-year'!$I25+'SK-ratings-year'!BH8*'MD-ratings-year'!$H8)/('MD-ratings-year'!$I25+'MD-ratings-year'!$H8)</f>
        <v>6.7809294783412595</v>
      </c>
      <c r="AU25" s="470">
        <f>('SK-ratings-year'!BI25*'MD-ratings-year'!$I25+'SK-ratings-year'!BI8*'MD-ratings-year'!$H8)/('MD-ratings-year'!$I25+'MD-ratings-year'!$H8)</f>
        <v>7.2142133282538774</v>
      </c>
      <c r="AV25" s="470">
        <f>('SK-ratings-year'!BJ25*'MD-ratings-year'!$I25+'SK-ratings-year'!BJ8*'MD-ratings-year'!$H8)/('MD-ratings-year'!$I25+'MD-ratings-year'!$H8)</f>
        <v>9.1331793175233233</v>
      </c>
      <c r="AW25" s="470">
        <f>('SK-ratings-year'!BK25*'MD-ratings-year'!$I25+'SK-ratings-year'!BK8*'MD-ratings-year'!$H8)/('MD-ratings-year'!$I25+'MD-ratings-year'!$H8)</f>
        <v>0.69683605274751326</v>
      </c>
      <c r="AX25" s="470">
        <f>('SK-ratings-year'!BL25*'MD-ratings-year'!$I25+'SK-ratings-year'!BL8*'MD-ratings-year'!$H8)/('MD-ratings-year'!$I25+'MD-ratings-year'!$H8)</f>
        <v>6.5149733851830991</v>
      </c>
      <c r="AY25" s="470">
        <f>('SK-ratings-year'!BM25*'MD-ratings-year'!$I25+'SK-ratings-year'!BM8*'MD-ratings-year'!$H8)/('MD-ratings-year'!$I25+'MD-ratings-year'!$H8)</f>
        <v>7.0255500914287783</v>
      </c>
      <c r="AZ25" s="470">
        <f>('SK-ratings-year'!BN25*'MD-ratings-year'!$I25+'SK-ratings-year'!BN8*'MD-ratings-year'!$H8)/('MD-ratings-year'!$I25+'MD-ratings-year'!$H8)</f>
        <v>7.5754687881158818</v>
      </c>
      <c r="BA25" s="470">
        <f>('SK-ratings-year'!BO25*'MD-ratings-year'!$I25+'SK-ratings-year'!BO8*'MD-ratings-year'!$H8)/('MD-ratings-year'!$I25+'MD-ratings-year'!$H8)</f>
        <v>10</v>
      </c>
      <c r="BB25" s="470">
        <f>('SK-ratings-year'!BP25*'MD-ratings-year'!$I25+'SK-ratings-year'!BP8*'MD-ratings-year'!$H8)/('MD-ratings-year'!$I25+'MD-ratings-year'!$H8)</f>
        <v>9.9427468963163079</v>
      </c>
      <c r="BC25" s="470">
        <f>('SK-ratings-year'!BQ25*'MD-ratings-year'!$I25+'SK-ratings-year'!BQ8*'MD-ratings-year'!$H8)/('MD-ratings-year'!$I25+'MD-ratings-year'!$H8)</f>
        <v>5.7469515602267984</v>
      </c>
      <c r="BD25" s="470">
        <f>('SK-ratings-year'!BR25*'MD-ratings-year'!$I25+'SK-ratings-year'!BR8*'MD-ratings-year'!$H8)/('MD-ratings-year'!$I25+'MD-ratings-year'!$H8)</f>
        <v>6.7205642639093517</v>
      </c>
      <c r="BE25" s="470">
        <f>('SK-ratings-year'!BS25*'MD-ratings-year'!$I25+'SK-ratings-year'!BS8*'MD-ratings-year'!$H8)/('MD-ratings-year'!$I25+'MD-ratings-year'!$H8)</f>
        <v>8.957186256110365</v>
      </c>
      <c r="BF25" s="470">
        <f>('SK-ratings-year'!BT25*'MD-ratings-year'!$I25+'SK-ratings-year'!BT8*'MD-ratings-year'!$H8)/('MD-ratings-year'!$I25+'MD-ratings-year'!$H8)</f>
        <v>7.808075122519031</v>
      </c>
      <c r="BG25" s="470">
        <f>('SK-ratings-year'!BU25*'MD-ratings-year'!$I25+'SK-ratings-year'!BU8*'MD-ratings-year'!$H8)/('MD-ratings-year'!$I25+'MD-ratings-year'!$H8)</f>
        <v>9.1968319464849078</v>
      </c>
      <c r="BH25" s="470">
        <f>('SK-ratings-year'!BV25*'MD-ratings-year'!$I25+'SK-ratings-year'!BV8*'MD-ratings-year'!$H8)/('MD-ratings-year'!$I25+'MD-ratings-year'!$H8)</f>
        <v>8.5630716172492036</v>
      </c>
      <c r="BI25" s="470">
        <f>('SK-ratings-year'!BW25*'MD-ratings-year'!$I25+'SK-ratings-year'!BW8*'MD-ratings-year'!$H8)/('MD-ratings-year'!$I25+'MD-ratings-year'!$H8)</f>
        <v>6.0669803465989398</v>
      </c>
      <c r="BJ25" s="470">
        <f>('SK-ratings-year'!BX25*'MD-ratings-year'!$I25+'SK-ratings-year'!BX8*'MD-ratings-year'!$H8)/('MD-ratings-year'!$I25+'MD-ratings-year'!$H8)</f>
        <v>6.3114240923323637</v>
      </c>
      <c r="BK25" s="470">
        <f>('SK-ratings-year'!BY25*'MD-ratings-year'!$I25+'SK-ratings-year'!BY8*'MD-ratings-year'!$H8)/('MD-ratings-year'!$I25+'MD-ratings-year'!$H8)</f>
        <v>10</v>
      </c>
      <c r="BL25" s="470">
        <f>('SK-ratings-year'!BZ25*'MD-ratings-year'!$I25+'SK-ratings-year'!BZ8*'MD-ratings-year'!$H8)/('MD-ratings-year'!$I25+'MD-ratings-year'!$H8)</f>
        <v>4.0359838275176489</v>
      </c>
      <c r="BM25" s="470">
        <f>('SK-ratings-year'!CA25*'MD-ratings-year'!$I25+'SK-ratings-year'!CA8*'MD-ratings-year'!$H8)/('MD-ratings-year'!$I25+'MD-ratings-year'!$H8)</f>
        <v>8.97568014045161</v>
      </c>
      <c r="BN25" s="470">
        <f>('SK-ratings-year'!CB25*'MD-ratings-year'!$I25+'SK-ratings-year'!CB8*'MD-ratings-year'!$H8)/('MD-ratings-year'!$I25+'MD-ratings-year'!$H8)</f>
        <v>4.2096771486450226</v>
      </c>
      <c r="BO25" s="470">
        <f>('SK-ratings-year'!CC25*'MD-ratings-year'!$I25+'SK-ratings-year'!CC8*'MD-ratings-year'!$H8)/('MD-ratings-year'!$I25+'MD-ratings-year'!$H8)</f>
        <v>6.1411281857120708</v>
      </c>
      <c r="BP25" s="470">
        <f>('SK-ratings-year'!CD25*'MD-ratings-year'!$I25+'SK-ratings-year'!CD8*'MD-ratings-year'!$H8)/('MD-ratings-year'!$I25+'MD-ratings-year'!$H8)</f>
        <v>9.2455280737769048</v>
      </c>
      <c r="BQ25" s="470">
        <f>('SK-ratings-year'!CE25*'MD-ratings-year'!$I25+'SK-ratings-year'!CE8*'MD-ratings-year'!$H8)/('MD-ratings-year'!$I25+'MD-ratings-year'!$H8)</f>
        <v>7.1289644438676101</v>
      </c>
      <c r="BR25" s="470">
        <f>('SK-ratings-year'!CF25*'MD-ratings-year'!$I25+'SK-ratings-year'!CF8*'MD-ratings-year'!$H8)/('MD-ratings-year'!$I25+'MD-ratings-year'!$H8)</f>
        <v>8.6678964796674531</v>
      </c>
      <c r="BS25" s="470">
        <f>('SK-ratings-year'!CG25*'MD-ratings-year'!$I25+'SK-ratings-year'!CG8*'MD-ratings-year'!$H8)/('MD-ratings-year'!$I25+'MD-ratings-year'!$H8)</f>
        <v>7.8523521144503814</v>
      </c>
      <c r="BT25" s="470">
        <f>('SK-ratings-year'!CH25*'MD-ratings-year'!$I25+'SK-ratings-year'!CH8*'MD-ratings-year'!$H8)/('MD-ratings-year'!$I25+'MD-ratings-year'!$H8)</f>
        <v>8.0254017080408619</v>
      </c>
      <c r="BU25" s="470">
        <f>('SK-ratings-year'!CI25*'MD-ratings-year'!$I25+'SK-ratings-year'!CI8*'MD-ratings-year'!$H8)/('MD-ratings-year'!$I25+'MD-ratings-year'!$H8)</f>
        <v>8.3744461439424533</v>
      </c>
      <c r="BV25" s="470">
        <f>('SK-ratings-year'!CJ25*'MD-ratings-year'!$I25+'SK-ratings-year'!CJ8*'MD-ratings-year'!$H8)/('MD-ratings-year'!$I25+'MD-ratings-year'!$H8)</f>
        <v>10</v>
      </c>
      <c r="BW25" s="470">
        <f>('SK-ratings-year'!CK25*'MD-ratings-year'!$I25+'SK-ratings-year'!CK8*'MD-ratings-year'!$H8)/('MD-ratings-year'!$I25+'MD-ratings-year'!$H8)</f>
        <v>7.2111446587394541</v>
      </c>
      <c r="BX25" s="470">
        <f>('SK-ratings-year'!CL25*'MD-ratings-year'!$I25+'SK-ratings-year'!CL8*'MD-ratings-year'!$H8)/('MD-ratings-year'!$I25+'MD-ratings-year'!$H8)</f>
        <v>9.0235860396721161</v>
      </c>
      <c r="BY25" s="470">
        <f>('SK-ratings-year'!CM25*'MD-ratings-year'!$I25+'SK-ratings-year'!CM8*'MD-ratings-year'!$H8)/('MD-ratings-year'!$I25+'MD-ratings-year'!$H8)</f>
        <v>4.7748054209312087</v>
      </c>
      <c r="BZ25" s="470">
        <f>('SK-ratings-year'!CN25*'MD-ratings-year'!$I25+'SK-ratings-year'!CN8*'MD-ratings-year'!$H8)/('MD-ratings-year'!$I25+'MD-ratings-year'!$H8)</f>
        <v>5.2337247625981211</v>
      </c>
      <c r="CA25" s="470">
        <f>('SK-ratings-year'!CO25*'MD-ratings-year'!$I25+'SK-ratings-year'!CO8*'MD-ratings-year'!$H8)/('MD-ratings-year'!$I25+'MD-ratings-year'!$H8)</f>
        <v>5.5285219196480826</v>
      </c>
      <c r="CB25" s="470">
        <f>('SK-ratings-year'!CP25*'MD-ratings-year'!$I25+'SK-ratings-year'!CP8*'MD-ratings-year'!$H8)/('MD-ratings-year'!$I25+'MD-ratings-year'!$H8)</f>
        <v>8.3138410370747646</v>
      </c>
      <c r="CC25" s="470">
        <f>('SK-ratings-year'!CQ25*'MD-ratings-year'!$I25+'SK-ratings-year'!CQ8*'MD-ratings-year'!$H8)/('MD-ratings-year'!$I25+'MD-ratings-year'!$H8)</f>
        <v>8.2133131410421694</v>
      </c>
      <c r="CD25" s="470">
        <f>('SK-ratings-year'!CR25*'MD-ratings-year'!$I25+'SK-ratings-year'!CR8*'MD-ratings-year'!$H8)/('MD-ratings-year'!$I25+'MD-ratings-year'!$H8)</f>
        <v>8.3135482437024173</v>
      </c>
      <c r="CE25" s="470">
        <f>('SK-ratings-year'!CS25*'MD-ratings-year'!$I25+'SK-ratings-year'!CS8*'MD-ratings-year'!$H8)/('MD-ratings-year'!$I25+'MD-ratings-year'!$H8)</f>
        <v>8.2662998223813222</v>
      </c>
      <c r="CF25" s="470">
        <f>('SK-ratings-year'!CT25*'MD-ratings-year'!$I25+'SK-ratings-year'!CT8*'MD-ratings-year'!$H8)/('MD-ratings-year'!$I25+'MD-ratings-year'!$H8)</f>
        <v>8.7485480223913399</v>
      </c>
      <c r="CG25" s="470">
        <f>('SK-ratings-year'!CU25*'MD-ratings-year'!$I25+'SK-ratings-year'!CU8*'MD-ratings-year'!$H8)/('MD-ratings-year'!$I25+'MD-ratings-year'!$H8)</f>
        <v>3.4716718133266764</v>
      </c>
      <c r="CH25" s="470">
        <f>('SK-ratings-year'!CV25*'MD-ratings-year'!$I25+'SK-ratings-year'!CV8*'MD-ratings-year'!$H8)/('MD-ratings-year'!$I25+'MD-ratings-year'!$H8)</f>
        <v>5.8023861387601583</v>
      </c>
      <c r="CI25" s="470">
        <f>('SK-ratings-year'!CW25*'MD-ratings-year'!$I25+'SK-ratings-year'!CW8*'MD-ratings-year'!$H8)/('MD-ratings-year'!$I25+'MD-ratings-year'!$H8)</f>
        <v>5.0851327176046075</v>
      </c>
      <c r="CJ25" s="470">
        <f>('SK-ratings-year'!CX25*'MD-ratings-year'!$I25+'SK-ratings-year'!CX8*'MD-ratings-year'!$H8)/('MD-ratings-year'!$I25+'MD-ratings-year'!$H8)</f>
        <v>3.884834341667196</v>
      </c>
      <c r="CL25" s="546"/>
      <c r="CM25" s="455">
        <f>('SK-ratings-year'!DA25*'MD-ratings-year'!$I25+'SK-ratings-year'!DA8*'MD-ratings-year'!$H8)/('MD-ratings-year'!$I25+'MD-ratings-year'!$H8)</f>
        <v>6.3232990739253934</v>
      </c>
      <c r="CN25" s="455">
        <f>('SK-ratings-year'!DB25*'MD-ratings-year'!$I25+'SK-ratings-year'!DB8*'MD-ratings-year'!$H8)/('MD-ratings-year'!$I25+'MD-ratings-year'!$H8)</f>
        <v>9.0647280545260092</v>
      </c>
      <c r="CO25" s="455">
        <f>('SK-ratings-year'!DC25*'MD-ratings-year'!$I25+'SK-ratings-year'!DC8*'MD-ratings-year'!$H8)/('MD-ratings-year'!$I25+'MD-ratings-year'!$H8)</f>
        <v>5.3497657456579875</v>
      </c>
      <c r="CP25" s="455">
        <f>('SK-ratings-year'!DD25*'MD-ratings-year'!$I25+'SK-ratings-year'!DD8*'MD-ratings-year'!$H8)/('MD-ratings-year'!$I25+'MD-ratings-year'!$H8)</f>
        <v>5.9792323871281354</v>
      </c>
      <c r="CQ25" s="455">
        <f>('SK-ratings-year'!DE25*'MD-ratings-year'!$I25+'SK-ratings-year'!DE8*'MD-ratings-year'!$H8)/('MD-ratings-year'!$I25+'MD-ratings-year'!$H8)</f>
        <v>7.604079891531085</v>
      </c>
      <c r="CR25" s="455">
        <f>('SK-ratings-year'!DF25*'MD-ratings-year'!$I25+'SK-ratings-year'!DF8*'MD-ratings-year'!$H8)/('MD-ratings-year'!$I25+'MD-ratings-year'!$H8)</f>
        <v>6.6274370879022033</v>
      </c>
      <c r="CS25" s="455">
        <f>('SK-ratings-year'!DG25*'MD-ratings-year'!$I25+'SK-ratings-year'!DG8*'MD-ratings-year'!$H8)/('MD-ratings-year'!$I25+'MD-ratings-year'!$H8)</f>
        <v>8.5307706941304229</v>
      </c>
      <c r="CT25" s="455">
        <f>('SK-ratings-year'!DH25*'MD-ratings-year'!$I25+'SK-ratings-year'!DH8*'MD-ratings-year'!$H8)/('MD-ratings-year'!$I25+'MD-ratings-year'!$H8)</f>
        <v>8.2809131858703644</v>
      </c>
      <c r="CU25" s="455">
        <f>('SK-ratings-year'!DI25*'MD-ratings-year'!$I25+'SK-ratings-year'!DI8*'MD-ratings-year'!$H8)/('MD-ratings-year'!$I25+'MD-ratings-year'!$H8)</f>
        <v>8.3320800271921254</v>
      </c>
      <c r="CV25" s="455">
        <f>('SK-ratings-year'!DJ25*'MD-ratings-year'!$I25+'SK-ratings-year'!DJ8*'MD-ratings-year'!$H8)/('MD-ratings-year'!$I25+'MD-ratings-year'!$H8)</f>
        <v>8.7935957596957</v>
      </c>
      <c r="CW25" s="455">
        <f>('SK-ratings-year'!DK25*'MD-ratings-year'!$I25+'SK-ratings-year'!DK8*'MD-ratings-year'!$H8)/('MD-ratings-year'!$I25+'MD-ratings-year'!$H8)</f>
        <v>8.7730055476815743</v>
      </c>
      <c r="CX25" s="455">
        <f>('SK-ratings-year'!DL25*'MD-ratings-year'!$I25+'SK-ratings-year'!DL8*'MD-ratings-year'!$H8)/('MD-ratings-year'!$I25+'MD-ratings-year'!$H8)</f>
        <v>6.6900504198230424</v>
      </c>
      <c r="CY25" s="455">
        <f>('SK-ratings-year'!DM25*'MD-ratings-year'!$I25+'SK-ratings-year'!DM8*'MD-ratings-year'!$H8)/('MD-ratings-year'!$I25+'MD-ratings-year'!$H8)</f>
        <v>6.7300373084883853</v>
      </c>
      <c r="CZ25" s="455">
        <f>('SK-ratings-year'!DN25*'MD-ratings-year'!$I25+'SK-ratings-year'!DN8*'MD-ratings-year'!$H8)/('MD-ratings-year'!$I25+'MD-ratings-year'!$H8)</f>
        <v>6.783725478341073</v>
      </c>
      <c r="DA25" s="455">
        <f>('SK-ratings-year'!DO25*'MD-ratings-year'!$I25+'SK-ratings-year'!DO8*'MD-ratings-year'!$H8)/('MD-ratings-year'!$I25+'MD-ratings-year'!$H8)</f>
        <v>8.429211755675059</v>
      </c>
      <c r="DB25" s="455">
        <f>('SK-ratings-year'!DP25*'MD-ratings-year'!$I25+'SK-ratings-year'!DP8*'MD-ratings-year'!$H8)/('MD-ratings-year'!$I25+'MD-ratings-year'!$H8)</f>
        <v>7.4100992936696901</v>
      </c>
    </row>
    <row r="26" spans="1:106" ht="15.75" customHeight="1" thickBot="1" x14ac:dyDescent="0.3">
      <c r="A26" s="640"/>
      <c r="B26" s="634"/>
      <c r="C26" s="231">
        <f>'MD-ratings-year'!C26</f>
        <v>0.05</v>
      </c>
      <c r="D26" s="434" t="str">
        <f>'MD-ratings-year'!D26</f>
        <v>ROE - Return on Equity</v>
      </c>
      <c r="E26" s="437" t="str">
        <f>'MD-ratings-year'!E26</f>
        <v>Net Profit ÷ Equity</v>
      </c>
      <c r="F26" s="440" t="s">
        <v>400</v>
      </c>
      <c r="G26" s="653"/>
      <c r="I26" s="472">
        <f>('SK-ratings-year'!W26*'MD-ratings-year'!$I26+'SK-ratings-year'!W9*'MD-ratings-year'!$H9)/('MD-ratings-year'!$I26+'MD-ratings-year'!$H9)</f>
        <v>5.0472748543377888</v>
      </c>
      <c r="J26" s="472">
        <f>('SK-ratings-year'!X26*'MD-ratings-year'!$I26+'SK-ratings-year'!X9*'MD-ratings-year'!$H9)/('MD-ratings-year'!$I26+'MD-ratings-year'!$H9)</f>
        <v>5.4386723617237749</v>
      </c>
      <c r="K26" s="472">
        <f>('SK-ratings-year'!Y26*'MD-ratings-year'!$I26+'SK-ratings-year'!Y9*'MD-ratings-year'!$H9)/('MD-ratings-year'!$I26+'MD-ratings-year'!$H9)</f>
        <v>6.5143921820950421</v>
      </c>
      <c r="L26" s="472">
        <f>('SK-ratings-year'!Z26*'MD-ratings-year'!$I26+'SK-ratings-year'!Z9*'MD-ratings-year'!$H9)/('MD-ratings-year'!$I26+'MD-ratings-year'!$H9)</f>
        <v>8.4860139810511672</v>
      </c>
      <c r="M26" s="472">
        <f>('SK-ratings-year'!AA26*'MD-ratings-year'!$I26+'SK-ratings-year'!AA9*'MD-ratings-year'!$H9)/('MD-ratings-year'!$I26+'MD-ratings-year'!$H9)</f>
        <v>7.7159450666681932</v>
      </c>
      <c r="N26" s="472">
        <f>('SK-ratings-year'!AB26*'MD-ratings-year'!$I26+'SK-ratings-year'!AB9*'MD-ratings-year'!$H9)/('MD-ratings-year'!$I26+'MD-ratings-year'!$H9)</f>
        <v>4.5123883945589158</v>
      </c>
      <c r="O26" s="472">
        <f>('SK-ratings-year'!AC26*'MD-ratings-year'!$I26+'SK-ratings-year'!AC9*'MD-ratings-year'!$H9)/('MD-ratings-year'!$I26+'MD-ratings-year'!$H9)</f>
        <v>7.1026777374471504</v>
      </c>
      <c r="P26" s="472">
        <f>('SK-ratings-year'!AD26*'MD-ratings-year'!$I26+'SK-ratings-year'!AD9*'MD-ratings-year'!$H9)/('MD-ratings-year'!$I26+'MD-ratings-year'!$H9)</f>
        <v>9.4992627679564556</v>
      </c>
      <c r="Q26" s="472">
        <f>('SK-ratings-year'!AE26*'MD-ratings-year'!$I26+'SK-ratings-year'!AE9*'MD-ratings-year'!$H9)/('MD-ratings-year'!$I26+'MD-ratings-year'!$H9)</f>
        <v>8.7677491313045959</v>
      </c>
      <c r="R26" s="472">
        <f>('SK-ratings-year'!AF26*'MD-ratings-year'!$I26+'SK-ratings-year'!AF9*'MD-ratings-year'!$H9)/('MD-ratings-year'!$I26+'MD-ratings-year'!$H9)</f>
        <v>6.2968776860053506</v>
      </c>
      <c r="S26" s="472">
        <f>('SK-ratings-year'!AG26*'MD-ratings-year'!$I26+'SK-ratings-year'!AG9*'MD-ratings-year'!$H9)/('MD-ratings-year'!$I26+'MD-ratings-year'!$H9)</f>
        <v>9.7638251966875611</v>
      </c>
      <c r="T26" s="472">
        <f>('SK-ratings-year'!AH26*'MD-ratings-year'!$I26+'SK-ratings-year'!AH9*'MD-ratings-year'!$H9)/('MD-ratings-year'!$I26+'MD-ratings-year'!$H9)</f>
        <v>2.4223100139623428</v>
      </c>
      <c r="U26" s="472">
        <f>('SK-ratings-year'!AI26*'MD-ratings-year'!$I26+'SK-ratings-year'!AI9*'MD-ratings-year'!$H9)/('MD-ratings-year'!$I26+'MD-ratings-year'!$H9)</f>
        <v>9.1898910153269924</v>
      </c>
      <c r="V26" s="472">
        <f>('SK-ratings-year'!AJ26*'MD-ratings-year'!$I26+'SK-ratings-year'!AJ9*'MD-ratings-year'!$H9)/('MD-ratings-year'!$I26+'MD-ratings-year'!$H9)</f>
        <v>10</v>
      </c>
      <c r="W26" s="472">
        <f>('SK-ratings-year'!AK26*'MD-ratings-year'!$I26+'SK-ratings-year'!AK9*'MD-ratings-year'!$H9)/('MD-ratings-year'!$I26+'MD-ratings-year'!$H9)</f>
        <v>6.4797135638990753</v>
      </c>
      <c r="X26" s="472">
        <f>('SK-ratings-year'!AL26*'MD-ratings-year'!$I26+'SK-ratings-year'!AL9*'MD-ratings-year'!$H9)/('MD-ratings-year'!$I26+'MD-ratings-year'!$H9)</f>
        <v>9.4323881856373823</v>
      </c>
      <c r="Y26" s="472">
        <f>('SK-ratings-year'!AM26*'MD-ratings-year'!$I26+'SK-ratings-year'!AM9*'MD-ratings-year'!$H9)/('MD-ratings-year'!$I26+'MD-ratings-year'!$H9)</f>
        <v>10</v>
      </c>
      <c r="Z26" s="472">
        <f>('SK-ratings-year'!AN26*'MD-ratings-year'!$I26+'SK-ratings-year'!AN9*'MD-ratings-year'!$H9)/('MD-ratings-year'!$I26+'MD-ratings-year'!$H9)</f>
        <v>5.1214694470768736</v>
      </c>
      <c r="AA26" s="472">
        <f>('SK-ratings-year'!AO26*'MD-ratings-year'!$I26+'SK-ratings-year'!AO9*'MD-ratings-year'!$H9)/('MD-ratings-year'!$I26+'MD-ratings-year'!$H9)</f>
        <v>1.0219355432903139</v>
      </c>
      <c r="AB26" s="472">
        <f>('SK-ratings-year'!AP26*'MD-ratings-year'!$I26+'SK-ratings-year'!AP9*'MD-ratings-year'!$H9)/('MD-ratings-year'!$I26+'MD-ratings-year'!$H9)</f>
        <v>10</v>
      </c>
      <c r="AC26" s="472">
        <f>('SK-ratings-year'!AQ26*'MD-ratings-year'!$I26+'SK-ratings-year'!AQ9*'MD-ratings-year'!$H9)/('MD-ratings-year'!$I26+'MD-ratings-year'!$H9)</f>
        <v>7.8067315775021466</v>
      </c>
      <c r="AD26" s="472">
        <f>('SK-ratings-year'!AR26*'MD-ratings-year'!$I26+'SK-ratings-year'!AR9*'MD-ratings-year'!$H9)/('MD-ratings-year'!$I26+'MD-ratings-year'!$H9)</f>
        <v>5.4008239013778097</v>
      </c>
      <c r="AE26" s="472">
        <f>('SK-ratings-year'!AS26*'MD-ratings-year'!$I26+'SK-ratings-year'!AS9*'MD-ratings-year'!$H9)/('MD-ratings-year'!$I26+'MD-ratings-year'!$H9)</f>
        <v>5.9729975469045327</v>
      </c>
      <c r="AF26" s="472">
        <f>('SK-ratings-year'!AT26*'MD-ratings-year'!$I26+'SK-ratings-year'!AT9*'MD-ratings-year'!$H9)/('MD-ratings-year'!$I26+'MD-ratings-year'!$H9)</f>
        <v>1.3281453887230854</v>
      </c>
      <c r="AG26" s="472">
        <f>('SK-ratings-year'!AU26*'MD-ratings-year'!$I26+'SK-ratings-year'!AU9*'MD-ratings-year'!$H9)/('MD-ratings-year'!$I26+'MD-ratings-year'!$H9)</f>
        <v>3.0747071132374728</v>
      </c>
      <c r="AH26" s="472">
        <f>('SK-ratings-year'!AV26*'MD-ratings-year'!$I26+'SK-ratings-year'!AV9*'MD-ratings-year'!$H9)/('MD-ratings-year'!$I26+'MD-ratings-year'!$H9)</f>
        <v>7.0781086623920704</v>
      </c>
      <c r="AI26" s="472">
        <f>('SK-ratings-year'!AW26*'MD-ratings-year'!$I26+'SK-ratings-year'!AW9*'MD-ratings-year'!$H9)/('MD-ratings-year'!$I26+'MD-ratings-year'!$H9)</f>
        <v>3.0737893713934601</v>
      </c>
      <c r="AJ26" s="472">
        <f>('SK-ratings-year'!AX26*'MD-ratings-year'!$I26+'SK-ratings-year'!AX9*'MD-ratings-year'!$H9)/('MD-ratings-year'!$I26+'MD-ratings-year'!$H9)</f>
        <v>3.056504298934049</v>
      </c>
      <c r="AK26" s="472">
        <f>('SK-ratings-year'!AY26*'MD-ratings-year'!$I26+'SK-ratings-year'!AY9*'MD-ratings-year'!$H9)/('MD-ratings-year'!$I26+'MD-ratings-year'!$H9)</f>
        <v>3.827067744740305</v>
      </c>
      <c r="AL26" s="472">
        <f>('SK-ratings-year'!AZ26*'MD-ratings-year'!$I26+'SK-ratings-year'!AZ9*'MD-ratings-year'!$H9)/('MD-ratings-year'!$I26+'MD-ratings-year'!$H9)</f>
        <v>4.7374310819930185</v>
      </c>
      <c r="AM26" s="472">
        <f>('SK-ratings-year'!BA26*'MD-ratings-year'!$I26+'SK-ratings-year'!BA9*'MD-ratings-year'!$H9)/('MD-ratings-year'!$I26+'MD-ratings-year'!$H9)</f>
        <v>0.8117406752082178</v>
      </c>
      <c r="AN26" s="472">
        <f>('SK-ratings-year'!BB26*'MD-ratings-year'!$I26+'SK-ratings-year'!BB9*'MD-ratings-year'!$H9)/('MD-ratings-year'!$I26+'MD-ratings-year'!$H9)</f>
        <v>6.6662794096873297</v>
      </c>
      <c r="AO26" s="472">
        <f>('SK-ratings-year'!BC26*'MD-ratings-year'!$I26+'SK-ratings-year'!BC9*'MD-ratings-year'!$H9)/('MD-ratings-year'!$I26+'MD-ratings-year'!$H9)</f>
        <v>10</v>
      </c>
      <c r="AP26" s="472">
        <f>('SK-ratings-year'!BD26*'MD-ratings-year'!$I26+'SK-ratings-year'!BD9*'MD-ratings-year'!$H9)/('MD-ratings-year'!$I26+'MD-ratings-year'!$H9)</f>
        <v>7.910521964003749</v>
      </c>
      <c r="AQ26" s="472">
        <f>('SK-ratings-year'!BE26*'MD-ratings-year'!$I26+'SK-ratings-year'!BE9*'MD-ratings-year'!$H9)/('MD-ratings-year'!$I26+'MD-ratings-year'!$H9)</f>
        <v>5.7609110328341115</v>
      </c>
      <c r="AR26" s="472">
        <f>('SK-ratings-year'!BF26*'MD-ratings-year'!$I26+'SK-ratings-year'!BF9*'MD-ratings-year'!$H9)/('MD-ratings-year'!$I26+'MD-ratings-year'!$H9)</f>
        <v>5.0878164275471134</v>
      </c>
      <c r="AS26" s="472">
        <f>('SK-ratings-year'!BG26*'MD-ratings-year'!$I26+'SK-ratings-year'!BG9*'MD-ratings-year'!$H9)/('MD-ratings-year'!$I26+'MD-ratings-year'!$H9)</f>
        <v>10</v>
      </c>
      <c r="AT26" s="472">
        <f>('SK-ratings-year'!BH26*'MD-ratings-year'!$I26+'SK-ratings-year'!BH9*'MD-ratings-year'!$H9)/('MD-ratings-year'!$I26+'MD-ratings-year'!$H9)</f>
        <v>6.4662960962705629</v>
      </c>
      <c r="AU26" s="472">
        <f>('SK-ratings-year'!BI26*'MD-ratings-year'!$I26+'SK-ratings-year'!BI9*'MD-ratings-year'!$H9)/('MD-ratings-year'!$I26+'MD-ratings-year'!$H9)</f>
        <v>7.2323503556097153</v>
      </c>
      <c r="AV26" s="472">
        <f>('SK-ratings-year'!BJ26*'MD-ratings-year'!$I26+'SK-ratings-year'!BJ9*'MD-ratings-year'!$H9)/('MD-ratings-year'!$I26+'MD-ratings-year'!$H9)</f>
        <v>10</v>
      </c>
      <c r="AW26" s="472">
        <f>('SK-ratings-year'!BK26*'MD-ratings-year'!$I26+'SK-ratings-year'!BK9*'MD-ratings-year'!$H9)/('MD-ratings-year'!$I26+'MD-ratings-year'!$H9)</f>
        <v>1.7587195117448211</v>
      </c>
      <c r="AX26" s="472">
        <f>('SK-ratings-year'!BL26*'MD-ratings-year'!$I26+'SK-ratings-year'!BL9*'MD-ratings-year'!$H9)/('MD-ratings-year'!$I26+'MD-ratings-year'!$H9)</f>
        <v>6.933922743334187</v>
      </c>
      <c r="AY26" s="472">
        <f>('SK-ratings-year'!BM26*'MD-ratings-year'!$I26+'SK-ratings-year'!BM9*'MD-ratings-year'!$H9)/('MD-ratings-year'!$I26+'MD-ratings-year'!$H9)</f>
        <v>6.3613891686323187</v>
      </c>
      <c r="AZ26" s="472">
        <f>('SK-ratings-year'!BN26*'MD-ratings-year'!$I26+'SK-ratings-year'!BN9*'MD-ratings-year'!$H9)/('MD-ratings-year'!$I26+'MD-ratings-year'!$H9)</f>
        <v>6.9435745012279737</v>
      </c>
      <c r="BA26" s="472">
        <f>('SK-ratings-year'!BO26*'MD-ratings-year'!$I26+'SK-ratings-year'!BO9*'MD-ratings-year'!$H9)/('MD-ratings-year'!$I26+'MD-ratings-year'!$H9)</f>
        <v>9.8002402544195775</v>
      </c>
      <c r="BB26" s="472">
        <f>('SK-ratings-year'!BP26*'MD-ratings-year'!$I26+'SK-ratings-year'!BP9*'MD-ratings-year'!$H9)/('MD-ratings-year'!$I26+'MD-ratings-year'!$H9)</f>
        <v>10</v>
      </c>
      <c r="BC26" s="472">
        <f>('SK-ratings-year'!BQ26*'MD-ratings-year'!$I26+'SK-ratings-year'!BQ9*'MD-ratings-year'!$H9)/('MD-ratings-year'!$I26+'MD-ratings-year'!$H9)</f>
        <v>5.424226864283912</v>
      </c>
      <c r="BD26" s="472">
        <f>('SK-ratings-year'!BR26*'MD-ratings-year'!$I26+'SK-ratings-year'!BR9*'MD-ratings-year'!$H9)/('MD-ratings-year'!$I26+'MD-ratings-year'!$H9)</f>
        <v>6.3243353202889683</v>
      </c>
      <c r="BE26" s="472">
        <f>('SK-ratings-year'!BS26*'MD-ratings-year'!$I26+'SK-ratings-year'!BS9*'MD-ratings-year'!$H9)/('MD-ratings-year'!$I26+'MD-ratings-year'!$H9)</f>
        <v>8.5388463665312333</v>
      </c>
      <c r="BF26" s="472">
        <f>('SK-ratings-year'!BT26*'MD-ratings-year'!$I26+'SK-ratings-year'!BT9*'MD-ratings-year'!$H9)/('MD-ratings-year'!$I26+'MD-ratings-year'!$H9)</f>
        <v>8.0190105119874939</v>
      </c>
      <c r="BG26" s="472">
        <f>('SK-ratings-year'!BU26*'MD-ratings-year'!$I26+'SK-ratings-year'!BU9*'MD-ratings-year'!$H9)/('MD-ratings-year'!$I26+'MD-ratings-year'!$H9)</f>
        <v>8.5452232618603539</v>
      </c>
      <c r="BH26" s="472">
        <f>('SK-ratings-year'!BV26*'MD-ratings-year'!$I26+'SK-ratings-year'!BV9*'MD-ratings-year'!$H9)/('MD-ratings-year'!$I26+'MD-ratings-year'!$H9)</f>
        <v>8.6416373572014145</v>
      </c>
      <c r="BI26" s="472">
        <f>('SK-ratings-year'!BW26*'MD-ratings-year'!$I26+'SK-ratings-year'!BW9*'MD-ratings-year'!$H9)/('MD-ratings-year'!$I26+'MD-ratings-year'!$H9)</f>
        <v>5.9577631416300187</v>
      </c>
      <c r="BJ26" s="472">
        <f>('SK-ratings-year'!BX26*'MD-ratings-year'!$I26+'SK-ratings-year'!BX9*'MD-ratings-year'!$H9)/('MD-ratings-year'!$I26+'MD-ratings-year'!$H9)</f>
        <v>6.3922891180209502</v>
      </c>
      <c r="BK26" s="472">
        <f>('SK-ratings-year'!BY26*'MD-ratings-year'!$I26+'SK-ratings-year'!BY9*'MD-ratings-year'!$H9)/('MD-ratings-year'!$I26+'MD-ratings-year'!$H9)</f>
        <v>9.2230946865532619</v>
      </c>
      <c r="BL26" s="472">
        <f>('SK-ratings-year'!BZ26*'MD-ratings-year'!$I26+'SK-ratings-year'!BZ9*'MD-ratings-year'!$H9)/('MD-ratings-year'!$I26+'MD-ratings-year'!$H9)</f>
        <v>4.2779981198208485</v>
      </c>
      <c r="BM26" s="472">
        <f>('SK-ratings-year'!CA26*'MD-ratings-year'!$I26+'SK-ratings-year'!CA9*'MD-ratings-year'!$H9)/('MD-ratings-year'!$I26+'MD-ratings-year'!$H9)</f>
        <v>8.4176638371150805</v>
      </c>
      <c r="BN26" s="472">
        <f>('SK-ratings-year'!CB26*'MD-ratings-year'!$I26+'SK-ratings-year'!CB9*'MD-ratings-year'!$H9)/('MD-ratings-year'!$I26+'MD-ratings-year'!$H9)</f>
        <v>4.3603006846594621</v>
      </c>
      <c r="BO26" s="472">
        <f>('SK-ratings-year'!CC26*'MD-ratings-year'!$I26+'SK-ratings-year'!CC9*'MD-ratings-year'!$H9)/('MD-ratings-year'!$I26+'MD-ratings-year'!$H9)</f>
        <v>5.6554793882841619</v>
      </c>
      <c r="BP26" s="472">
        <f>('SK-ratings-year'!CD26*'MD-ratings-year'!$I26+'SK-ratings-year'!CD9*'MD-ratings-year'!$H9)/('MD-ratings-year'!$I26+'MD-ratings-year'!$H9)</f>
        <v>8.2841214254441073</v>
      </c>
      <c r="BQ26" s="472">
        <f>('SK-ratings-year'!CE26*'MD-ratings-year'!$I26+'SK-ratings-year'!CE9*'MD-ratings-year'!$H9)/('MD-ratings-year'!$I26+'MD-ratings-year'!$H9)</f>
        <v>6.8344088872705777</v>
      </c>
      <c r="BR26" s="472">
        <f>('SK-ratings-year'!CF26*'MD-ratings-year'!$I26+'SK-ratings-year'!CF9*'MD-ratings-year'!$H9)/('MD-ratings-year'!$I26+'MD-ratings-year'!$H9)</f>
        <v>7.6838316381354916</v>
      </c>
      <c r="BS26" s="472">
        <f>('SK-ratings-year'!CG26*'MD-ratings-year'!$I26+'SK-ratings-year'!CG9*'MD-ratings-year'!$H9)/('MD-ratings-year'!$I26+'MD-ratings-year'!$H9)</f>
        <v>7.2470998062415521</v>
      </c>
      <c r="BT26" s="472">
        <f>('SK-ratings-year'!CH26*'MD-ratings-year'!$I26+'SK-ratings-year'!CH9*'MD-ratings-year'!$H9)/('MD-ratings-year'!$I26+'MD-ratings-year'!$H9)</f>
        <v>7.1464887926140852</v>
      </c>
      <c r="BU26" s="472">
        <f>('SK-ratings-year'!CI26*'MD-ratings-year'!$I26+'SK-ratings-year'!CI9*'MD-ratings-year'!$H9)/('MD-ratings-year'!$I26+'MD-ratings-year'!$H9)</f>
        <v>7.6074540415889924</v>
      </c>
      <c r="BV26" s="472">
        <f>('SK-ratings-year'!CJ26*'MD-ratings-year'!$I26+'SK-ratings-year'!CJ9*'MD-ratings-year'!$H9)/('MD-ratings-year'!$I26+'MD-ratings-year'!$H9)</f>
        <v>10</v>
      </c>
      <c r="BW26" s="472">
        <f>('SK-ratings-year'!CK26*'MD-ratings-year'!$I26+'SK-ratings-year'!CK9*'MD-ratings-year'!$H9)/('MD-ratings-year'!$I26+'MD-ratings-year'!$H9)</f>
        <v>6.4585896320090939</v>
      </c>
      <c r="BX26" s="472">
        <f>('SK-ratings-year'!CL26*'MD-ratings-year'!$I26+'SK-ratings-year'!CL9*'MD-ratings-year'!$H9)/('MD-ratings-year'!$I26+'MD-ratings-year'!$H9)</f>
        <v>10</v>
      </c>
      <c r="BY26" s="472">
        <f>('SK-ratings-year'!CM26*'MD-ratings-year'!$I26+'SK-ratings-year'!CM9*'MD-ratings-year'!$H9)/('MD-ratings-year'!$I26+'MD-ratings-year'!$H9)</f>
        <v>4.8624829548916324</v>
      </c>
      <c r="BZ26" s="472">
        <f>('SK-ratings-year'!CN26*'MD-ratings-year'!$I26+'SK-ratings-year'!CN9*'MD-ratings-year'!$H9)/('MD-ratings-year'!$I26+'MD-ratings-year'!$H9)</f>
        <v>5.2993008221509497</v>
      </c>
      <c r="CA26" s="472">
        <f>('SK-ratings-year'!CO26*'MD-ratings-year'!$I26+'SK-ratings-year'!CO9*'MD-ratings-year'!$H9)/('MD-ratings-year'!$I26+'MD-ratings-year'!$H9)</f>
        <v>5.3260023145121966</v>
      </c>
      <c r="CB26" s="472">
        <f>('SK-ratings-year'!CP26*'MD-ratings-year'!$I26+'SK-ratings-year'!CP9*'MD-ratings-year'!$H9)/('MD-ratings-year'!$I26+'MD-ratings-year'!$H9)</f>
        <v>8.7539130258006157</v>
      </c>
      <c r="CC26" s="472">
        <f>('SK-ratings-year'!CQ26*'MD-ratings-year'!$I26+'SK-ratings-year'!CQ9*'MD-ratings-year'!$H9)/('MD-ratings-year'!$I26+'MD-ratings-year'!$H9)</f>
        <v>7.62669420979537</v>
      </c>
      <c r="CD26" s="472">
        <f>('SK-ratings-year'!CR26*'MD-ratings-year'!$I26+'SK-ratings-year'!CR9*'MD-ratings-year'!$H9)/('MD-ratings-year'!$I26+'MD-ratings-year'!$H9)</f>
        <v>7.482291566026853</v>
      </c>
      <c r="CE26" s="472">
        <f>('SK-ratings-year'!CS26*'MD-ratings-year'!$I26+'SK-ratings-year'!CS9*'MD-ratings-year'!$H9)/('MD-ratings-year'!$I26+'MD-ratings-year'!$H9)</f>
        <v>7.7556499197094579</v>
      </c>
      <c r="CF26" s="472">
        <f>('SK-ratings-year'!CT26*'MD-ratings-year'!$I26+'SK-ratings-year'!CT9*'MD-ratings-year'!$H9)/('MD-ratings-year'!$I26+'MD-ratings-year'!$H9)</f>
        <v>9.1405750773826941</v>
      </c>
      <c r="CG26" s="472">
        <f>('SK-ratings-year'!CU26*'MD-ratings-year'!$I26+'SK-ratings-year'!CU9*'MD-ratings-year'!$H9)/('MD-ratings-year'!$I26+'MD-ratings-year'!$H9)</f>
        <v>3.6318411272933631</v>
      </c>
      <c r="CH26" s="472">
        <f>('SK-ratings-year'!CV26*'MD-ratings-year'!$I26+'SK-ratings-year'!CV9*'MD-ratings-year'!$H9)/('MD-ratings-year'!$I26+'MD-ratings-year'!$H9)</f>
        <v>5.7627830653213152</v>
      </c>
      <c r="CI26" s="472">
        <f>('SK-ratings-year'!CW26*'MD-ratings-year'!$I26+'SK-ratings-year'!CW9*'MD-ratings-year'!$H9)/('MD-ratings-year'!$I26+'MD-ratings-year'!$H9)</f>
        <v>5.1170048392184402</v>
      </c>
      <c r="CJ26" s="472">
        <f>('SK-ratings-year'!CX26*'MD-ratings-year'!$I26+'SK-ratings-year'!CX9*'MD-ratings-year'!$H9)/('MD-ratings-year'!$I26+'MD-ratings-year'!$H9)</f>
        <v>2.7571337910466949</v>
      </c>
      <c r="CM26" s="456">
        <f>('SK-ratings-year'!DA26*'MD-ratings-year'!$I26+'SK-ratings-year'!DA9*'MD-ratings-year'!$H9)/('MD-ratings-year'!$I26+'MD-ratings-year'!$H9)</f>
        <v>5.8445770638979537</v>
      </c>
      <c r="CN26" s="456">
        <f>('SK-ratings-year'!DB26*'MD-ratings-year'!$I26+'SK-ratings-year'!DB9*'MD-ratings-year'!$H9)/('MD-ratings-year'!$I26+'MD-ratings-year'!$H9)</f>
        <v>8.5157355674420483</v>
      </c>
      <c r="CO26" s="456">
        <f>('SK-ratings-year'!DC26*'MD-ratings-year'!$I26+'SK-ratings-year'!DC9*'MD-ratings-year'!$H9)/('MD-ratings-year'!$I26+'MD-ratings-year'!$H9)</f>
        <v>5.1160989859227515</v>
      </c>
      <c r="CP26" s="456">
        <f>('SK-ratings-year'!DD26*'MD-ratings-year'!$I26+'SK-ratings-year'!DD9*'MD-ratings-year'!$H9)/('MD-ratings-year'!$I26+'MD-ratings-year'!$H9)</f>
        <v>5.7849716841135868</v>
      </c>
      <c r="CQ26" s="456">
        <f>('SK-ratings-year'!DE26*'MD-ratings-year'!$I26+'SK-ratings-year'!DE9*'MD-ratings-year'!$H9)/('MD-ratings-year'!$I26+'MD-ratings-year'!$H9)</f>
        <v>7.4561467967457968</v>
      </c>
      <c r="CR26" s="456">
        <f>('SK-ratings-year'!DF26*'MD-ratings-year'!$I26+'SK-ratings-year'!DF9*'MD-ratings-year'!$H9)/('MD-ratings-year'!$I26+'MD-ratings-year'!$H9)</f>
        <v>6.7150881906862407</v>
      </c>
      <c r="CS26" s="456">
        <f>('SK-ratings-year'!DG26*'MD-ratings-year'!$I26+'SK-ratings-year'!DG9*'MD-ratings-year'!$H9)/('MD-ratings-year'!$I26+'MD-ratings-year'!$H9)</f>
        <v>8.7644688334278733</v>
      </c>
      <c r="CT26" s="456">
        <f>('SK-ratings-year'!DH26*'MD-ratings-year'!$I26+'SK-ratings-year'!DH9*'MD-ratings-year'!$H9)/('MD-ratings-year'!$I26+'MD-ratings-year'!$H9)</f>
        <v>8.0851434455373727</v>
      </c>
      <c r="CU26" s="456">
        <f>('SK-ratings-year'!DI26*'MD-ratings-year'!$I26+'SK-ratings-year'!DI9*'MD-ratings-year'!$H9)/('MD-ratings-year'!$I26+'MD-ratings-year'!$H9)</f>
        <v>8.677091345519786</v>
      </c>
      <c r="CV26" s="456">
        <f>('SK-ratings-year'!DJ26*'MD-ratings-year'!$I26+'SK-ratings-year'!DJ9*'MD-ratings-year'!$H9)/('MD-ratings-year'!$I26+'MD-ratings-year'!$H9)</f>
        <v>8.528181856923748</v>
      </c>
      <c r="CW26" s="456">
        <f>('SK-ratings-year'!DK26*'MD-ratings-year'!$I26+'SK-ratings-year'!DK9*'MD-ratings-year'!$H9)/('MD-ratings-year'!$I26+'MD-ratings-year'!$H9)</f>
        <v>8.6531903547206976</v>
      </c>
      <c r="CX26" s="456">
        <f>('SK-ratings-year'!DL26*'MD-ratings-year'!$I26+'SK-ratings-year'!DL9*'MD-ratings-year'!$H9)/('MD-ratings-year'!$I26+'MD-ratings-year'!$H9)</f>
        <v>6.4746828117427659</v>
      </c>
      <c r="CY26" s="456">
        <f>('SK-ratings-year'!DM26*'MD-ratings-year'!$I26+'SK-ratings-year'!DM9*'MD-ratings-year'!$H9)/('MD-ratings-year'!$I26+'MD-ratings-year'!$H9)</f>
        <v>6.7090443039482155</v>
      </c>
      <c r="CZ26" s="456">
        <f>('SK-ratings-year'!DN26*'MD-ratings-year'!$I26+'SK-ratings-year'!DN9*'MD-ratings-year'!$H9)/('MD-ratings-year'!$I26+'MD-ratings-year'!$H9)</f>
        <v>6.5345025494504707</v>
      </c>
      <c r="DA26" s="456">
        <f>('SK-ratings-year'!DO26*'MD-ratings-year'!$I26+'SK-ratings-year'!DO9*'MD-ratings-year'!$H9)/('MD-ratings-year'!$I26+'MD-ratings-year'!$H9)</f>
        <v>8.4959416677695785</v>
      </c>
      <c r="DB26" s="456">
        <f>('SK-ratings-year'!DP26*'MD-ratings-year'!$I26+'SK-ratings-year'!DP9*'MD-ratings-year'!$H9)/('MD-ratings-year'!$I26+'MD-ratings-year'!$H9)</f>
        <v>7.2814646257475033</v>
      </c>
    </row>
    <row r="27" spans="1:106" ht="15.75" customHeight="1" thickBot="1" x14ac:dyDescent="0.3">
      <c r="A27" s="640"/>
      <c r="B27" s="634"/>
      <c r="C27" s="235">
        <f>'MD-ratings-year'!C27</f>
        <v>0.1</v>
      </c>
      <c r="D27" s="434" t="str">
        <f>'MD-ratings-year'!D27</f>
        <v>ROS – Return on Sales</v>
      </c>
      <c r="E27" s="437" t="str">
        <f>'MD-ratings-year'!E27</f>
        <v>Net Profit ÷ Sales</v>
      </c>
      <c r="F27" s="440" t="s">
        <v>400</v>
      </c>
      <c r="G27" s="653"/>
      <c r="I27" s="472">
        <f>('SK-ratings-year'!W27*'MD-ratings-year'!$I27+'SK-ratings-year'!W10*'MD-ratings-year'!$H10)/('MD-ratings-year'!$I27+'MD-ratings-year'!$H10)</f>
        <v>5.1741152803496728</v>
      </c>
      <c r="J27" s="472">
        <f>('SK-ratings-year'!X27*'MD-ratings-year'!$I27+'SK-ratings-year'!X10*'MD-ratings-year'!$H10)/('MD-ratings-year'!$I27+'MD-ratings-year'!$H10)</f>
        <v>6.7754385183960109</v>
      </c>
      <c r="K27" s="472">
        <f>('SK-ratings-year'!Y27*'MD-ratings-year'!$I27+'SK-ratings-year'!Y10*'MD-ratings-year'!$H10)/('MD-ratings-year'!$I27+'MD-ratings-year'!$H10)</f>
        <v>6.5347190741175085</v>
      </c>
      <c r="L27" s="472">
        <f>('SK-ratings-year'!Z27*'MD-ratings-year'!$I27+'SK-ratings-year'!Z10*'MD-ratings-year'!$H10)/('MD-ratings-year'!$I27+'MD-ratings-year'!$H10)</f>
        <v>8.087743766766831</v>
      </c>
      <c r="M27" s="472">
        <f>('SK-ratings-year'!AA27*'MD-ratings-year'!$I27+'SK-ratings-year'!AA10*'MD-ratings-year'!$H10)/('MD-ratings-year'!$I27+'MD-ratings-year'!$H10)</f>
        <v>8.9524553940175444</v>
      </c>
      <c r="N27" s="472">
        <f>('SK-ratings-year'!AB27*'MD-ratings-year'!$I27+'SK-ratings-year'!AB10*'MD-ratings-year'!$H10)/('MD-ratings-year'!$I27+'MD-ratings-year'!$H10)</f>
        <v>4.1733307535182815</v>
      </c>
      <c r="O27" s="472">
        <f>('SK-ratings-year'!AC27*'MD-ratings-year'!$I27+'SK-ratings-year'!AC10*'MD-ratings-year'!$H10)/('MD-ratings-year'!$I27+'MD-ratings-year'!$H10)</f>
        <v>7.6975195686989313</v>
      </c>
      <c r="P27" s="472">
        <f>('SK-ratings-year'!AD27*'MD-ratings-year'!$I27+'SK-ratings-year'!AD10*'MD-ratings-year'!$H10)/('MD-ratings-year'!$I27+'MD-ratings-year'!$H10)</f>
        <v>8.3361621550400269</v>
      </c>
      <c r="Q27" s="472">
        <f>('SK-ratings-year'!AE27*'MD-ratings-year'!$I27+'SK-ratings-year'!AE10*'MD-ratings-year'!$H10)/('MD-ratings-year'!$I27+'MD-ratings-year'!$H10)</f>
        <v>6.3778919621441217</v>
      </c>
      <c r="R27" s="472">
        <f>('SK-ratings-year'!AF27*'MD-ratings-year'!$I27+'SK-ratings-year'!AF10*'MD-ratings-year'!$H10)/('MD-ratings-year'!$I27+'MD-ratings-year'!$H10)</f>
        <v>5.8306682302070545</v>
      </c>
      <c r="S27" s="472">
        <f>('SK-ratings-year'!AG27*'MD-ratings-year'!$I27+'SK-ratings-year'!AG10*'MD-ratings-year'!$H10)/('MD-ratings-year'!$I27+'MD-ratings-year'!$H10)</f>
        <v>8.9561952617476432</v>
      </c>
      <c r="T27" s="472">
        <f>('SK-ratings-year'!AH27*'MD-ratings-year'!$I27+'SK-ratings-year'!AH10*'MD-ratings-year'!$H10)/('MD-ratings-year'!$I27+'MD-ratings-year'!$H10)</f>
        <v>0</v>
      </c>
      <c r="U27" s="472">
        <f>('SK-ratings-year'!AI27*'MD-ratings-year'!$I27+'SK-ratings-year'!AI10*'MD-ratings-year'!$H10)/('MD-ratings-year'!$I27+'MD-ratings-year'!$H10)</f>
        <v>8.2690452133479138</v>
      </c>
      <c r="V27" s="472">
        <f>('SK-ratings-year'!AJ27*'MD-ratings-year'!$I27+'SK-ratings-year'!AJ10*'MD-ratings-year'!$H10)/('MD-ratings-year'!$I27+'MD-ratings-year'!$H10)</f>
        <v>7.4042389825687769</v>
      </c>
      <c r="W27" s="472">
        <f>('SK-ratings-year'!AK27*'MD-ratings-year'!$I27+'SK-ratings-year'!AK10*'MD-ratings-year'!$H10)/('MD-ratings-year'!$I27+'MD-ratings-year'!$H10)</f>
        <v>7.5404942805073887</v>
      </c>
      <c r="X27" s="472">
        <f>('SK-ratings-year'!AL27*'MD-ratings-year'!$I27+'SK-ratings-year'!AL10*'MD-ratings-year'!$H10)/('MD-ratings-year'!$I27+'MD-ratings-year'!$H10)</f>
        <v>10</v>
      </c>
      <c r="Y27" s="472">
        <f>('SK-ratings-year'!AM27*'MD-ratings-year'!$I27+'SK-ratings-year'!AM10*'MD-ratings-year'!$H10)/('MD-ratings-year'!$I27+'MD-ratings-year'!$H10)</f>
        <v>9.5243291044874105</v>
      </c>
      <c r="Z27" s="472">
        <f>('SK-ratings-year'!AN27*'MD-ratings-year'!$I27+'SK-ratings-year'!AN10*'MD-ratings-year'!$H10)/('MD-ratings-year'!$I27+'MD-ratings-year'!$H10)</f>
        <v>4.9240246283523108</v>
      </c>
      <c r="AA27" s="472">
        <f>('SK-ratings-year'!AO27*'MD-ratings-year'!$I27+'SK-ratings-year'!AO10*'MD-ratings-year'!$H10)/('MD-ratings-year'!$I27+'MD-ratings-year'!$H10)</f>
        <v>0</v>
      </c>
      <c r="AB27" s="472">
        <f>('SK-ratings-year'!AP27*'MD-ratings-year'!$I27+'SK-ratings-year'!AP10*'MD-ratings-year'!$H10)/('MD-ratings-year'!$I27+'MD-ratings-year'!$H10)</f>
        <v>6.7595068720223779</v>
      </c>
      <c r="AC27" s="472">
        <f>('SK-ratings-year'!AQ27*'MD-ratings-year'!$I27+'SK-ratings-year'!AQ10*'MD-ratings-year'!$H10)/('MD-ratings-year'!$I27+'MD-ratings-year'!$H10)</f>
        <v>10</v>
      </c>
      <c r="AD27" s="472">
        <f>('SK-ratings-year'!AR27*'MD-ratings-year'!$I27+'SK-ratings-year'!AR10*'MD-ratings-year'!$H10)/('MD-ratings-year'!$I27+'MD-ratings-year'!$H10)</f>
        <v>6.6668611378014022</v>
      </c>
      <c r="AE27" s="472">
        <f>('SK-ratings-year'!AS27*'MD-ratings-year'!$I27+'SK-ratings-year'!AS10*'MD-ratings-year'!$H10)/('MD-ratings-year'!$I27+'MD-ratings-year'!$H10)</f>
        <v>7.7413698998424048</v>
      </c>
      <c r="AF27" s="472">
        <f>('SK-ratings-year'!AT27*'MD-ratings-year'!$I27+'SK-ratings-year'!AT10*'MD-ratings-year'!$H10)/('MD-ratings-year'!$I27+'MD-ratings-year'!$H10)</f>
        <v>1.2837355941260991</v>
      </c>
      <c r="AG27" s="472">
        <f>('SK-ratings-year'!AU27*'MD-ratings-year'!$I27+'SK-ratings-year'!AU10*'MD-ratings-year'!$H10)/('MD-ratings-year'!$I27+'MD-ratings-year'!$H10)</f>
        <v>1.2154682772500764</v>
      </c>
      <c r="AH27" s="472">
        <f>('SK-ratings-year'!AV27*'MD-ratings-year'!$I27+'SK-ratings-year'!AV10*'MD-ratings-year'!$H10)/('MD-ratings-year'!$I27+'MD-ratings-year'!$H10)</f>
        <v>10</v>
      </c>
      <c r="AI27" s="472">
        <f>('SK-ratings-year'!AW27*'MD-ratings-year'!$I27+'SK-ratings-year'!AW10*'MD-ratings-year'!$H10)/('MD-ratings-year'!$I27+'MD-ratings-year'!$H10)</f>
        <v>0</v>
      </c>
      <c r="AJ27" s="472">
        <f>('SK-ratings-year'!AX27*'MD-ratings-year'!$I27+'SK-ratings-year'!AX10*'MD-ratings-year'!$H10)/('MD-ratings-year'!$I27+'MD-ratings-year'!$H10)</f>
        <v>0</v>
      </c>
      <c r="AK27" s="472">
        <f>('SK-ratings-year'!AY27*'MD-ratings-year'!$I27+'SK-ratings-year'!AY10*'MD-ratings-year'!$H10)/('MD-ratings-year'!$I27+'MD-ratings-year'!$H10)</f>
        <v>0.69573666206810558</v>
      </c>
      <c r="AL27" s="472">
        <f>('SK-ratings-year'!AZ27*'MD-ratings-year'!$I27+'SK-ratings-year'!AZ10*'MD-ratings-year'!$H10)/('MD-ratings-year'!$I27+'MD-ratings-year'!$H10)</f>
        <v>4.6083130723728303</v>
      </c>
      <c r="AM27" s="472">
        <f>('SK-ratings-year'!BA27*'MD-ratings-year'!$I27+'SK-ratings-year'!BA10*'MD-ratings-year'!$H10)/('MD-ratings-year'!$I27+'MD-ratings-year'!$H10)</f>
        <v>0</v>
      </c>
      <c r="AN27" s="472">
        <f>('SK-ratings-year'!BB27*'MD-ratings-year'!$I27+'SK-ratings-year'!BB10*'MD-ratings-year'!$H10)/('MD-ratings-year'!$I27+'MD-ratings-year'!$H10)</f>
        <v>7.2293561734880569</v>
      </c>
      <c r="AO27" s="472">
        <f>('SK-ratings-year'!BC27*'MD-ratings-year'!$I27+'SK-ratings-year'!BC10*'MD-ratings-year'!$H10)/('MD-ratings-year'!$I27+'MD-ratings-year'!$H10)</f>
        <v>6.5128289707626639</v>
      </c>
      <c r="AP27" s="472">
        <f>('SK-ratings-year'!BD27*'MD-ratings-year'!$I27+'SK-ratings-year'!BD10*'MD-ratings-year'!$H10)/('MD-ratings-year'!$I27+'MD-ratings-year'!$H10)</f>
        <v>8.2936386241874089</v>
      </c>
      <c r="AQ27" s="472">
        <f>('SK-ratings-year'!BE27*'MD-ratings-year'!$I27+'SK-ratings-year'!BE10*'MD-ratings-year'!$H10)/('MD-ratings-year'!$I27+'MD-ratings-year'!$H10)</f>
        <v>8.9509937395309809</v>
      </c>
      <c r="AR27" s="472">
        <f>('SK-ratings-year'!BF27*'MD-ratings-year'!$I27+'SK-ratings-year'!BF10*'MD-ratings-year'!$H10)/('MD-ratings-year'!$I27+'MD-ratings-year'!$H10)</f>
        <v>5.1546723869922833</v>
      </c>
      <c r="AS27" s="472">
        <f>('SK-ratings-year'!BG27*'MD-ratings-year'!$I27+'SK-ratings-year'!BG10*'MD-ratings-year'!$H10)/('MD-ratings-year'!$I27+'MD-ratings-year'!$H10)</f>
        <v>8.631688025858395</v>
      </c>
      <c r="AT27" s="472">
        <f>('SK-ratings-year'!BH27*'MD-ratings-year'!$I27+'SK-ratings-year'!BH10*'MD-ratings-year'!$H10)/('MD-ratings-year'!$I27+'MD-ratings-year'!$H10)</f>
        <v>6.5955190529613787</v>
      </c>
      <c r="AU27" s="472">
        <f>('SK-ratings-year'!BI27*'MD-ratings-year'!$I27+'SK-ratings-year'!BI10*'MD-ratings-year'!$H10)/('MD-ratings-year'!$I27+'MD-ratings-year'!$H10)</f>
        <v>7.048356199412753</v>
      </c>
      <c r="AV27" s="472">
        <f>('SK-ratings-year'!BJ27*'MD-ratings-year'!$I27+'SK-ratings-year'!BJ10*'MD-ratings-year'!$H10)/('MD-ratings-year'!$I27+'MD-ratings-year'!$H10)</f>
        <v>6.7276602577147875</v>
      </c>
      <c r="AW27" s="472">
        <f>('SK-ratings-year'!BK27*'MD-ratings-year'!$I27+'SK-ratings-year'!BK10*'MD-ratings-year'!$H10)/('MD-ratings-year'!$I27+'MD-ratings-year'!$H10)</f>
        <v>0</v>
      </c>
      <c r="AX27" s="472">
        <f>('SK-ratings-year'!BL27*'MD-ratings-year'!$I27+'SK-ratings-year'!BL10*'MD-ratings-year'!$H10)/('MD-ratings-year'!$I27+'MD-ratings-year'!$H10)</f>
        <v>5.3615348188658061</v>
      </c>
      <c r="AY27" s="472">
        <f>('SK-ratings-year'!BM27*'MD-ratings-year'!$I27+'SK-ratings-year'!BM10*'MD-ratings-year'!$H10)/('MD-ratings-year'!$I27+'MD-ratings-year'!$H10)</f>
        <v>5.7484192393321853</v>
      </c>
      <c r="AZ27" s="472">
        <f>('SK-ratings-year'!BN27*'MD-ratings-year'!$I27+'SK-ratings-year'!BN10*'MD-ratings-year'!$H10)/('MD-ratings-year'!$I27+'MD-ratings-year'!$H10)</f>
        <v>6.091747472662683</v>
      </c>
      <c r="BA27" s="472">
        <f>('SK-ratings-year'!BO27*'MD-ratings-year'!$I27+'SK-ratings-year'!BO10*'MD-ratings-year'!$H10)/('MD-ratings-year'!$I27+'MD-ratings-year'!$H10)</f>
        <v>9.1078132103877376</v>
      </c>
      <c r="BB27" s="472">
        <f>('SK-ratings-year'!BP27*'MD-ratings-year'!$I27+'SK-ratings-year'!BP10*'MD-ratings-year'!$H10)/('MD-ratings-year'!$I27+'MD-ratings-year'!$H10)</f>
        <v>8.2079279218297678</v>
      </c>
      <c r="BC27" s="472">
        <f>('SK-ratings-year'!BQ27*'MD-ratings-year'!$I27+'SK-ratings-year'!BQ10*'MD-ratings-year'!$H10)/('MD-ratings-year'!$I27+'MD-ratings-year'!$H10)</f>
        <v>5.7150411398082692</v>
      </c>
      <c r="BD27" s="472">
        <f>('SK-ratings-year'!BR27*'MD-ratings-year'!$I27+'SK-ratings-year'!BR10*'MD-ratings-year'!$H10)/('MD-ratings-year'!$I27+'MD-ratings-year'!$H10)</f>
        <v>7.7317528398831721</v>
      </c>
      <c r="BE27" s="472">
        <f>('SK-ratings-year'!BS27*'MD-ratings-year'!$I27+'SK-ratings-year'!BS10*'MD-ratings-year'!$H10)/('MD-ratings-year'!$I27+'MD-ratings-year'!$H10)</f>
        <v>8.0972956223333341</v>
      </c>
      <c r="BF27" s="472">
        <f>('SK-ratings-year'!BT27*'MD-ratings-year'!$I27+'SK-ratings-year'!BT10*'MD-ratings-year'!$H10)/('MD-ratings-year'!$I27+'MD-ratings-year'!$H10)</f>
        <v>7.7216529932262716</v>
      </c>
      <c r="BG27" s="472">
        <f>('SK-ratings-year'!BU27*'MD-ratings-year'!$I27+'SK-ratings-year'!BU10*'MD-ratings-year'!$H10)/('MD-ratings-year'!$I27+'MD-ratings-year'!$H10)</f>
        <v>9.957028410272855</v>
      </c>
      <c r="BH27" s="472">
        <f>('SK-ratings-year'!BV27*'MD-ratings-year'!$I27+'SK-ratings-year'!BV10*'MD-ratings-year'!$H10)/('MD-ratings-year'!$I27+'MD-ratings-year'!$H10)</f>
        <v>10</v>
      </c>
      <c r="BI27" s="472">
        <f>('SK-ratings-year'!BW27*'MD-ratings-year'!$I27+'SK-ratings-year'!BW10*'MD-ratings-year'!$H10)/('MD-ratings-year'!$I27+'MD-ratings-year'!$H10)</f>
        <v>6.0385833911572764</v>
      </c>
      <c r="BJ27" s="472">
        <f>('SK-ratings-year'!BX27*'MD-ratings-year'!$I27+'SK-ratings-year'!BX10*'MD-ratings-year'!$H10)/('MD-ratings-year'!$I27+'MD-ratings-year'!$H10)</f>
        <v>7.4987570350607324</v>
      </c>
      <c r="BK27" s="472">
        <f>('SK-ratings-year'!BY27*'MD-ratings-year'!$I27+'SK-ratings-year'!BY10*'MD-ratings-year'!$H10)/('MD-ratings-year'!$I27+'MD-ratings-year'!$H10)</f>
        <v>10</v>
      </c>
      <c r="BL27" s="472">
        <f>('SK-ratings-year'!BZ27*'MD-ratings-year'!$I27+'SK-ratings-year'!BZ10*'MD-ratings-year'!$H10)/('MD-ratings-year'!$I27+'MD-ratings-year'!$H10)</f>
        <v>0.97709361750010726</v>
      </c>
      <c r="BM27" s="472">
        <f>('SK-ratings-year'!CA27*'MD-ratings-year'!$I27+'SK-ratings-year'!CA10*'MD-ratings-year'!$H10)/('MD-ratings-year'!$I27+'MD-ratings-year'!$H10)</f>
        <v>9.030944124652688</v>
      </c>
      <c r="BN27" s="472">
        <f>('SK-ratings-year'!CB27*'MD-ratings-year'!$I27+'SK-ratings-year'!CB10*'MD-ratings-year'!$H10)/('MD-ratings-year'!$I27+'MD-ratings-year'!$H10)</f>
        <v>3.9011566634305308</v>
      </c>
      <c r="BO27" s="472">
        <f>('SK-ratings-year'!CC27*'MD-ratings-year'!$I27+'SK-ratings-year'!CC10*'MD-ratings-year'!$H10)/('MD-ratings-year'!$I27+'MD-ratings-year'!$H10)</f>
        <v>8.9116818346306026</v>
      </c>
      <c r="BP27" s="472">
        <f>('SK-ratings-year'!CD27*'MD-ratings-year'!$I27+'SK-ratings-year'!CD10*'MD-ratings-year'!$H10)/('MD-ratings-year'!$I27+'MD-ratings-year'!$H10)</f>
        <v>9.4410830886260868</v>
      </c>
      <c r="BQ27" s="472">
        <f>('SK-ratings-year'!CE27*'MD-ratings-year'!$I27+'SK-ratings-year'!CE10*'MD-ratings-year'!$H10)/('MD-ratings-year'!$I27+'MD-ratings-year'!$H10)</f>
        <v>6.8085345625164839</v>
      </c>
      <c r="BR27" s="472">
        <f>('SK-ratings-year'!CF27*'MD-ratings-year'!$I27+'SK-ratings-year'!CF10*'MD-ratings-year'!$H10)/('MD-ratings-year'!$I27+'MD-ratings-year'!$H10)</f>
        <v>8.6091248323261489</v>
      </c>
      <c r="BS27" s="472">
        <f>('SK-ratings-year'!CG27*'MD-ratings-year'!$I27+'SK-ratings-year'!CG10*'MD-ratings-year'!$H10)/('MD-ratings-year'!$I27+'MD-ratings-year'!$H10)</f>
        <v>6.9717624113026417</v>
      </c>
      <c r="BT27" s="472">
        <f>('SK-ratings-year'!CH27*'MD-ratings-year'!$I27+'SK-ratings-year'!CH10*'MD-ratings-year'!$H10)/('MD-ratings-year'!$I27+'MD-ratings-year'!$H10)</f>
        <v>8.5001691968113153</v>
      </c>
      <c r="BU27" s="472">
        <f>('SK-ratings-year'!CI27*'MD-ratings-year'!$I27+'SK-ratings-year'!CI10*'MD-ratings-year'!$H10)/('MD-ratings-year'!$I27+'MD-ratings-year'!$H10)</f>
        <v>8.4535516322714805</v>
      </c>
      <c r="BV27" s="472">
        <f>('SK-ratings-year'!CJ27*'MD-ratings-year'!$I27+'SK-ratings-year'!CJ10*'MD-ratings-year'!$H10)/('MD-ratings-year'!$I27+'MD-ratings-year'!$H10)</f>
        <v>7.0544150250975965</v>
      </c>
      <c r="BW27" s="472">
        <f>('SK-ratings-year'!CK27*'MD-ratings-year'!$I27+'SK-ratings-year'!CK10*'MD-ratings-year'!$H10)/('MD-ratings-year'!$I27+'MD-ratings-year'!$H10)</f>
        <v>9.3262838666807291</v>
      </c>
      <c r="BX27" s="472">
        <f>('SK-ratings-year'!CL27*'MD-ratings-year'!$I27+'SK-ratings-year'!CL10*'MD-ratings-year'!$H10)/('MD-ratings-year'!$I27+'MD-ratings-year'!$H10)</f>
        <v>6.5815358964130422</v>
      </c>
      <c r="BY27" s="472">
        <f>('SK-ratings-year'!CM27*'MD-ratings-year'!$I27+'SK-ratings-year'!CM10*'MD-ratings-year'!$H10)/('MD-ratings-year'!$I27+'MD-ratings-year'!$H10)</f>
        <v>4.2857142857142856</v>
      </c>
      <c r="BZ27" s="472">
        <f>('SK-ratings-year'!CN27*'MD-ratings-year'!$I27+'SK-ratings-year'!CN10*'MD-ratings-year'!$H10)/('MD-ratings-year'!$I27+'MD-ratings-year'!$H10)</f>
        <v>6.5060883845778932</v>
      </c>
      <c r="CA27" s="472">
        <f>('SK-ratings-year'!CO27*'MD-ratings-year'!$I27+'SK-ratings-year'!CO10*'MD-ratings-year'!$H10)/('MD-ratings-year'!$I27+'MD-ratings-year'!$H10)</f>
        <v>6.3945025907922766</v>
      </c>
      <c r="CB27" s="472">
        <f>('SK-ratings-year'!CP27*'MD-ratings-year'!$I27+'SK-ratings-year'!CP10*'MD-ratings-year'!$H10)/('MD-ratings-year'!$I27+'MD-ratings-year'!$H10)</f>
        <v>6.7417249774726669</v>
      </c>
      <c r="CC27" s="472">
        <f>('SK-ratings-year'!CQ27*'MD-ratings-year'!$I27+'SK-ratings-year'!CQ10*'MD-ratings-year'!$H10)/('MD-ratings-year'!$I27+'MD-ratings-year'!$H10)</f>
        <v>10</v>
      </c>
      <c r="CD27" s="472">
        <f>('SK-ratings-year'!CR27*'MD-ratings-year'!$I27+'SK-ratings-year'!CR10*'MD-ratings-year'!$H10)/('MD-ratings-year'!$I27+'MD-ratings-year'!$H10)</f>
        <v>8.2411387882665341</v>
      </c>
      <c r="CE27" s="472">
        <f>('SK-ratings-year'!CS27*'MD-ratings-year'!$I27+'SK-ratings-year'!CS10*'MD-ratings-year'!$H10)/('MD-ratings-year'!$I27+'MD-ratings-year'!$H10)</f>
        <v>7.6732977503147408</v>
      </c>
      <c r="CF27" s="472">
        <f>('SK-ratings-year'!CT27*'MD-ratings-year'!$I27+'SK-ratings-year'!CT10*'MD-ratings-year'!$H10)/('MD-ratings-year'!$I27+'MD-ratings-year'!$H10)</f>
        <v>10</v>
      </c>
      <c r="CG27" s="472">
        <f>('SK-ratings-year'!CU27*'MD-ratings-year'!$I27+'SK-ratings-year'!CU10*'MD-ratings-year'!$H10)/('MD-ratings-year'!$I27+'MD-ratings-year'!$H10)</f>
        <v>2.4357837512824809</v>
      </c>
      <c r="CH27" s="472">
        <f>('SK-ratings-year'!CV27*'MD-ratings-year'!$I27+'SK-ratings-year'!CV10*'MD-ratings-year'!$H10)/('MD-ratings-year'!$I27+'MD-ratings-year'!$H10)</f>
        <v>8.7506878214816144</v>
      </c>
      <c r="CI27" s="472">
        <f>('SK-ratings-year'!CW27*'MD-ratings-year'!$I27+'SK-ratings-year'!CW10*'MD-ratings-year'!$H10)/('MD-ratings-year'!$I27+'MD-ratings-year'!$H10)</f>
        <v>5.0754678586694473</v>
      </c>
      <c r="CJ27" s="472">
        <f>('SK-ratings-year'!CX27*'MD-ratings-year'!$I27+'SK-ratings-year'!CX10*'MD-ratings-year'!$H10)/('MD-ratings-year'!$I27+'MD-ratings-year'!$H10)</f>
        <v>2.2076756645448383</v>
      </c>
      <c r="CM27" s="456">
        <f>('SK-ratings-year'!DA27*'MD-ratings-year'!$I27+'SK-ratings-year'!DA10*'MD-ratings-year'!$H10)/('MD-ratings-year'!$I27+'MD-ratings-year'!$H10)</f>
        <v>6.8920077517496496</v>
      </c>
      <c r="CN27" s="456">
        <f>('SK-ratings-year'!DB27*'MD-ratings-year'!$I27+'SK-ratings-year'!DB10*'MD-ratings-year'!$H10)/('MD-ratings-year'!$I27+'MD-ratings-year'!$H10)</f>
        <v>9.4881784027283889</v>
      </c>
      <c r="CO27" s="456">
        <f>('SK-ratings-year'!DC27*'MD-ratings-year'!$I27+'SK-ratings-year'!DC10*'MD-ratings-year'!$H10)/('MD-ratings-year'!$I27+'MD-ratings-year'!$H10)</f>
        <v>5.8867315596943257</v>
      </c>
      <c r="CP27" s="456">
        <f>('SK-ratings-year'!DD27*'MD-ratings-year'!$I27+'SK-ratings-year'!DD10*'MD-ratings-year'!$H10)/('MD-ratings-year'!$I27+'MD-ratings-year'!$H10)</f>
        <v>5.7715434495446223</v>
      </c>
      <c r="CQ27" s="456">
        <f>('SK-ratings-year'!DE27*'MD-ratings-year'!$I27+'SK-ratings-year'!DE10*'MD-ratings-year'!$H10)/('MD-ratings-year'!$I27+'MD-ratings-year'!$H10)</f>
        <v>8.3697000176737681</v>
      </c>
      <c r="CR27" s="456">
        <f>('SK-ratings-year'!DF27*'MD-ratings-year'!$I27+'SK-ratings-year'!DF10*'MD-ratings-year'!$H10)/('MD-ratings-year'!$I27+'MD-ratings-year'!$H10)</f>
        <v>6.0180726554741444</v>
      </c>
      <c r="CS27" s="456">
        <f>('SK-ratings-year'!DG27*'MD-ratings-year'!$I27+'SK-ratings-year'!DG10*'MD-ratings-year'!$H10)/('MD-ratings-year'!$I27+'MD-ratings-year'!$H10)</f>
        <v>7.3403688047928624</v>
      </c>
      <c r="CT27" s="456">
        <f>('SK-ratings-year'!DH27*'MD-ratings-year'!$I27+'SK-ratings-year'!DH10*'MD-ratings-year'!$H10)/('MD-ratings-year'!$I27+'MD-ratings-year'!$H10)</f>
        <v>7.7780562324914113</v>
      </c>
      <c r="CU27" s="456">
        <f>('SK-ratings-year'!DI27*'MD-ratings-year'!$I27+'SK-ratings-year'!DI10*'MD-ratings-year'!$H10)/('MD-ratings-year'!$I27+'MD-ratings-year'!$H10)</f>
        <v>6.9789598601073441</v>
      </c>
      <c r="CV27" s="456">
        <f>('SK-ratings-year'!DJ27*'MD-ratings-year'!$I27+'SK-ratings-year'!DJ10*'MD-ratings-year'!$H10)/('MD-ratings-year'!$I27+'MD-ratings-year'!$H10)</f>
        <v>8.5239140097455444</v>
      </c>
      <c r="CW27" s="456">
        <f>('SK-ratings-year'!DK27*'MD-ratings-year'!$I27+'SK-ratings-year'!DK10*'MD-ratings-year'!$H10)/('MD-ratings-year'!$I27+'MD-ratings-year'!$H10)</f>
        <v>8.3122704339933637</v>
      </c>
      <c r="CX27" s="456">
        <f>('SK-ratings-year'!DL27*'MD-ratings-year'!$I27+'SK-ratings-year'!DL10*'MD-ratings-year'!$H10)/('MD-ratings-year'!$I27+'MD-ratings-year'!$H10)</f>
        <v>6.7529341384900983</v>
      </c>
      <c r="CY27" s="456">
        <f>('SK-ratings-year'!DM27*'MD-ratings-year'!$I27+'SK-ratings-year'!DM10*'MD-ratings-year'!$H10)/('MD-ratings-year'!$I27+'MD-ratings-year'!$H10)</f>
        <v>6.1572122925233828</v>
      </c>
      <c r="CZ27" s="456">
        <f>('SK-ratings-year'!DN27*'MD-ratings-year'!$I27+'SK-ratings-year'!DN10*'MD-ratings-year'!$H10)/('MD-ratings-year'!$I27+'MD-ratings-year'!$H10)</f>
        <v>6.9587584946956298</v>
      </c>
      <c r="DA27" s="456">
        <f>('SK-ratings-year'!DO27*'MD-ratings-year'!$I27+'SK-ratings-year'!DO10*'MD-ratings-year'!$H10)/('MD-ratings-year'!$I27+'MD-ratings-year'!$H10)</f>
        <v>7.5154317412301026</v>
      </c>
      <c r="DB27" s="456">
        <f>('SK-ratings-year'!DP27*'MD-ratings-year'!$I27+'SK-ratings-year'!DP10*'MD-ratings-year'!$H10)/('MD-ratings-year'!$I27+'MD-ratings-year'!$H10)</f>
        <v>7.1715496492385791</v>
      </c>
    </row>
    <row r="28" spans="1:106" s="463" customFormat="1" ht="15.75" customHeight="1" thickBot="1" x14ac:dyDescent="0.3">
      <c r="A28" s="641"/>
      <c r="B28" s="635"/>
      <c r="C28" s="677" t="str">
        <f>'MD-ratings-year'!C28:E28</f>
        <v>Profitability total</v>
      </c>
      <c r="D28" s="678"/>
      <c r="E28" s="682"/>
      <c r="F28" s="590" t="s">
        <v>400</v>
      </c>
      <c r="G28" s="653"/>
      <c r="I28" s="471">
        <f>SUMPRODUCT(I25:I27,$C25:$C27)/SUM($C25:$C27)</f>
        <v>5.1063178429584788</v>
      </c>
      <c r="J28" s="471">
        <f t="shared" ref="J28:BU28" si="90">SUMPRODUCT(J25:J27,$C25:$C27)/SUM($C25:$C27)</f>
        <v>6.1267332829745174</v>
      </c>
      <c r="K28" s="471">
        <f t="shared" si="90"/>
        <v>6.6055050559252617</v>
      </c>
      <c r="L28" s="471">
        <f t="shared" si="90"/>
        <v>8.2240233592343319</v>
      </c>
      <c r="M28" s="471">
        <f t="shared" si="90"/>
        <v>8.3759485279030752</v>
      </c>
      <c r="N28" s="471">
        <f t="shared" si="90"/>
        <v>4.2651848151263856</v>
      </c>
      <c r="O28" s="471">
        <f t="shared" si="90"/>
        <v>7.6282396360918359</v>
      </c>
      <c r="P28" s="471">
        <f t="shared" si="90"/>
        <v>9.1951236842723088</v>
      </c>
      <c r="Q28" s="471">
        <f t="shared" si="90"/>
        <v>7.7475340275692526</v>
      </c>
      <c r="R28" s="471">
        <f t="shared" si="90"/>
        <v>6.2583575570669581</v>
      </c>
      <c r="S28" s="471">
        <f t="shared" si="90"/>
        <v>9.5352431440365706</v>
      </c>
      <c r="T28" s="471">
        <f t="shared" si="90"/>
        <v>1.0117017324924811</v>
      </c>
      <c r="U28" s="471">
        <f t="shared" si="90"/>
        <v>8.8779154482160916</v>
      </c>
      <c r="V28" s="471">
        <f t="shared" si="90"/>
        <v>8.8814834496341923</v>
      </c>
      <c r="W28" s="471">
        <f t="shared" si="90"/>
        <v>6.9368163039758688</v>
      </c>
      <c r="X28" s="471">
        <f t="shared" si="90"/>
        <v>9.6999102343527213</v>
      </c>
      <c r="Y28" s="471">
        <f t="shared" si="90"/>
        <v>9.8097316417949649</v>
      </c>
      <c r="Z28" s="471">
        <f t="shared" si="90"/>
        <v>5.0744493704035412</v>
      </c>
      <c r="AA28" s="471">
        <f t="shared" si="90"/>
        <v>0.20438710865806278</v>
      </c>
      <c r="AB28" s="471">
        <f t="shared" si="90"/>
        <v>8.4845219821747619</v>
      </c>
      <c r="AC28" s="471">
        <f t="shared" si="90"/>
        <v>8.1846476836216908</v>
      </c>
      <c r="AD28" s="471">
        <f t="shared" si="90"/>
        <v>6.0499098424886357</v>
      </c>
      <c r="AE28" s="471">
        <f t="shared" si="90"/>
        <v>6.8997247428971953</v>
      </c>
      <c r="AF28" s="471">
        <f t="shared" si="90"/>
        <v>0.99642455528191443</v>
      </c>
      <c r="AG28" s="471">
        <f t="shared" si="90"/>
        <v>2.0149817519644264</v>
      </c>
      <c r="AH28" s="471">
        <f t="shared" si="90"/>
        <v>8.6314239747792065</v>
      </c>
      <c r="AI28" s="471">
        <f t="shared" si="90"/>
        <v>1.5939164028474333</v>
      </c>
      <c r="AJ28" s="471">
        <f t="shared" si="90"/>
        <v>1.498745287003012</v>
      </c>
      <c r="AK28" s="471">
        <f t="shared" si="90"/>
        <v>2.3661151234552524</v>
      </c>
      <c r="AL28" s="471">
        <f t="shared" si="90"/>
        <v>4.7281871534658162</v>
      </c>
      <c r="AM28" s="471">
        <f t="shared" si="90"/>
        <v>1.1501761612312125</v>
      </c>
      <c r="AN28" s="471">
        <f t="shared" si="90"/>
        <v>7.0976938137915893</v>
      </c>
      <c r="AO28" s="471">
        <f t="shared" si="90"/>
        <v>8.3097283642991364</v>
      </c>
      <c r="AP28" s="471">
        <f t="shared" si="90"/>
        <v>8.2913258880230174</v>
      </c>
      <c r="AQ28" s="471">
        <f t="shared" si="90"/>
        <v>7.0288873876393678</v>
      </c>
      <c r="AR28" s="471">
        <f t="shared" si="90"/>
        <v>5.1448321946259332</v>
      </c>
      <c r="AS28" s="471">
        <f t="shared" si="90"/>
        <v>9.452675210343358</v>
      </c>
      <c r="AT28" s="471">
        <f t="shared" si="90"/>
        <v>6.6438386317751679</v>
      </c>
      <c r="AU28" s="471">
        <f t="shared" si="90"/>
        <v>7.1514978821885951</v>
      </c>
      <c r="AV28" s="471">
        <f t="shared" si="90"/>
        <v>8.344335830095245</v>
      </c>
      <c r="AW28" s="471">
        <f t="shared" si="90"/>
        <v>0.63047832344796961</v>
      </c>
      <c r="AX28" s="471">
        <f t="shared" si="90"/>
        <v>6.1373878302864</v>
      </c>
      <c r="AY28" s="471">
        <f t="shared" si="90"/>
        <v>6.3818655660308492</v>
      </c>
      <c r="AZ28" s="471">
        <f t="shared" si="90"/>
        <v>6.8556014045570208</v>
      </c>
      <c r="BA28" s="471">
        <f t="shared" si="90"/>
        <v>9.6031733350390098</v>
      </c>
      <c r="BB28" s="471">
        <f t="shared" si="90"/>
        <v>9.260269927258431</v>
      </c>
      <c r="BC28" s="471">
        <f t="shared" si="90"/>
        <v>5.6696424528708089</v>
      </c>
      <c r="BD28" s="471">
        <f t="shared" si="90"/>
        <v>7.0457939055748033</v>
      </c>
      <c r="BE28" s="471">
        <f t="shared" si="90"/>
        <v>8.5295620246837274</v>
      </c>
      <c r="BF28" s="471">
        <f t="shared" si="90"/>
        <v>7.8156933486956213</v>
      </c>
      <c r="BG28" s="471">
        <f t="shared" si="90"/>
        <v>9.3705887950751769</v>
      </c>
      <c r="BH28" s="471">
        <f t="shared" si="90"/>
        <v>9.1535561183399636</v>
      </c>
      <c r="BI28" s="471">
        <f t="shared" si="90"/>
        <v>6.0337781234284904</v>
      </c>
      <c r="BJ28" s="471">
        <f t="shared" si="90"/>
        <v>6.8025302745614287</v>
      </c>
      <c r="BK28" s="471">
        <f t="shared" si="90"/>
        <v>9.8446189373106527</v>
      </c>
      <c r="BL28" s="471">
        <f t="shared" si="90"/>
        <v>2.8608306019712724</v>
      </c>
      <c r="BM28" s="471">
        <f t="shared" si="90"/>
        <v>8.8861824734647357</v>
      </c>
      <c r="BN28" s="471">
        <f t="shared" si="90"/>
        <v>4.116393661762114</v>
      </c>
      <c r="BO28" s="471">
        <f t="shared" si="90"/>
        <v>7.1522198857939019</v>
      </c>
      <c r="BP28" s="471">
        <f t="shared" si="90"/>
        <v>9.1314687500500185</v>
      </c>
      <c r="BQ28" s="471">
        <f t="shared" si="90"/>
        <v>6.9418813800077537</v>
      </c>
      <c r="BR28" s="471">
        <f t="shared" si="90"/>
        <v>8.4475748524245411</v>
      </c>
      <c r="BS28" s="471">
        <f t="shared" si="90"/>
        <v>7.37906577154952</v>
      </c>
      <c r="BT28" s="471">
        <f t="shared" si="90"/>
        <v>8.0395261204636874</v>
      </c>
      <c r="BU28" s="471">
        <f t="shared" si="90"/>
        <v>8.2526899188033731</v>
      </c>
      <c r="BV28" s="471">
        <f t="shared" ref="BV28:CJ28" si="91">SUMPRODUCT(BV25:BV27,$C25:$C27)/SUM($C25:$C27)</f>
        <v>8.8217660100390383</v>
      </c>
      <c r="BW28" s="471">
        <f t="shared" si="91"/>
        <v>7.906689336569892</v>
      </c>
      <c r="BX28" s="471">
        <f t="shared" si="91"/>
        <v>8.242048774434064</v>
      </c>
      <c r="BY28" s="471">
        <f t="shared" si="91"/>
        <v>4.5967044736365246</v>
      </c>
      <c r="BZ28" s="471">
        <f t="shared" si="91"/>
        <v>5.7557854233005958</v>
      </c>
      <c r="CA28" s="471">
        <f t="shared" si="91"/>
        <v>5.8344102670785833</v>
      </c>
      <c r="CB28" s="471">
        <f t="shared" si="91"/>
        <v>7.7730090109790959</v>
      </c>
      <c r="CC28" s="471">
        <f t="shared" si="91"/>
        <v>8.8106640983759412</v>
      </c>
      <c r="CD28" s="471">
        <f t="shared" si="91"/>
        <v>8.118333125992951</v>
      </c>
      <c r="CE28" s="471">
        <f t="shared" si="91"/>
        <v>7.926969013020317</v>
      </c>
      <c r="CF28" s="471">
        <f t="shared" si="91"/>
        <v>9.3275342244330748</v>
      </c>
      <c r="CG28" s="471">
        <f t="shared" si="91"/>
        <v>3.0893504513023355</v>
      </c>
      <c r="CH28" s="471">
        <f t="shared" si="91"/>
        <v>6.9737861971609725</v>
      </c>
      <c r="CI28" s="471">
        <f t="shared" si="91"/>
        <v>5.0876411983533103</v>
      </c>
      <c r="CJ28" s="471">
        <f t="shared" si="91"/>
        <v>2.9884307606941527</v>
      </c>
      <c r="CL28" s="584"/>
      <c r="CM28" s="464">
        <f t="shared" ref="CM28" si="92">SUMPRODUCT(CM25:CM27,$C25:$C27)/SUM($C25:$C27)</f>
        <v>6.4550381430496078</v>
      </c>
      <c r="CN28" s="464">
        <f t="shared" ref="CN28" si="93">SUMPRODUCT(CN25:CN27,$C25:$C27)/SUM($C25:$C27)</f>
        <v>9.1243096963901689</v>
      </c>
      <c r="CO28" s="464">
        <f t="shared" ref="CO28" si="94">SUMPRODUCT(CO25:CO27,$C25:$C27)/SUM($C25:$C27)</f>
        <v>5.5178187193254757</v>
      </c>
      <c r="CP28" s="464">
        <f t="shared" ref="CP28" si="95">SUMPRODUCT(CP25:CP27,$C25:$C27)/SUM($C25:$C27)</f>
        <v>5.8573046714918213</v>
      </c>
      <c r="CQ28" s="464">
        <f t="shared" ref="CQ28" si="96">SUMPRODUCT(CQ25:CQ27,$C25:$C27)/SUM($C25:$C27)</f>
        <v>7.880741323031101</v>
      </c>
      <c r="CR28" s="464">
        <f t="shared" ref="CR28" si="97">SUMPRODUCT(CR25:CR27,$C25:$C27)/SUM($C25:$C27)</f>
        <v>6.4012215354877879</v>
      </c>
      <c r="CS28" s="464">
        <f t="shared" ref="CS28" si="98">SUMPRODUCT(CS25:CS27,$C25:$C27)/SUM($C25:$C27)</f>
        <v>8.1013495662548891</v>
      </c>
      <c r="CT28" s="464">
        <f t="shared" ref="CT28" si="99">SUMPRODUCT(CT25:CT27,$C25:$C27)/SUM($C25:$C27)</f>
        <v>8.0406164564521845</v>
      </c>
      <c r="CU28" s="464">
        <f t="shared" ref="CU28" si="100">SUMPRODUCT(CU25:CU27,$C25:$C27)/SUM($C25:$C27)</f>
        <v>7.8598342240237447</v>
      </c>
      <c r="CV28" s="464">
        <f t="shared" ref="CV28:CY28" si="101">SUMPRODUCT(CV25:CV27,$C25:$C27)/SUM($C25:$C27)</f>
        <v>8.6326402791612473</v>
      </c>
      <c r="CW28" s="464">
        <f t="shared" si="101"/>
        <v>8.5647484636141158</v>
      </c>
      <c r="CX28" s="464">
        <f t="shared" si="101"/>
        <v>6.6721303856738103</v>
      </c>
      <c r="CY28" s="464">
        <f t="shared" si="101"/>
        <v>6.4967087011943505</v>
      </c>
      <c r="CZ28" s="464">
        <f t="shared" ref="CZ28" si="102">SUMPRODUCT(CZ25:CZ27,$C25:$C27)/SUM($C25:$C27)</f>
        <v>6.8038940991047756</v>
      </c>
      <c r="DA28" s="464">
        <f t="shared" ref="DA28" si="103">SUMPRODUCT(DA25:DA27,$C25:$C27)/SUM($C25:$C27)</f>
        <v>8.0770457323159803</v>
      </c>
      <c r="DB28" s="464">
        <f t="shared" ref="DB28" si="104">SUMPRODUCT(DB25:DB27,$C25:$C27)/SUM($C25:$C27)</f>
        <v>7.2889525023128092</v>
      </c>
    </row>
    <row r="29" spans="1:106" s="429" customFormat="1" ht="15.75" customHeight="1" thickBot="1" x14ac:dyDescent="0.3">
      <c r="A29" s="639">
        <f>'MD-ratings-year'!A29</f>
        <v>0.3</v>
      </c>
      <c r="B29" s="633" t="str">
        <f>'MD-ratings-year'!B29</f>
        <v>Leverage</v>
      </c>
      <c r="C29" s="460">
        <f>'MD-ratings-year'!C29</f>
        <v>0.15</v>
      </c>
      <c r="D29" s="434" t="str">
        <f>'MD-ratings-year'!D29</f>
        <v>Total Debt to Total Assets</v>
      </c>
      <c r="E29" s="437" t="str">
        <f>'MD-ratings-year'!E29</f>
        <v>Total Debt ÷ Total Assets</v>
      </c>
      <c r="F29" s="439" t="s">
        <v>400</v>
      </c>
      <c r="G29" s="653"/>
      <c r="I29" s="469">
        <f>('SK-ratings-year'!W29*'MD-ratings-year'!$I29+'SK-ratings-year'!W12*'MD-ratings-year'!$H12)/('MD-ratings-year'!$I29+'MD-ratings-year'!$H12)</f>
        <v>3.5020340028057575</v>
      </c>
      <c r="J29" s="469">
        <f>('SK-ratings-year'!X29*'MD-ratings-year'!$I29+'SK-ratings-year'!X12*'MD-ratings-year'!$H12)/('MD-ratings-year'!$I29+'MD-ratings-year'!$H12)</f>
        <v>6.2387713632304935</v>
      </c>
      <c r="K29" s="469">
        <f>('SK-ratings-year'!Y29*'MD-ratings-year'!$I29+'SK-ratings-year'!Y12*'MD-ratings-year'!$H12)/('MD-ratings-year'!$I29+'MD-ratings-year'!$H12)</f>
        <v>0</v>
      </c>
      <c r="L29" s="469">
        <f>('SK-ratings-year'!Z29*'MD-ratings-year'!$I29+'SK-ratings-year'!Z12*'MD-ratings-year'!$H12)/('MD-ratings-year'!$I29+'MD-ratings-year'!$H12)</f>
        <v>0</v>
      </c>
      <c r="M29" s="469">
        <f>('SK-ratings-year'!AA29*'MD-ratings-year'!$I29+'SK-ratings-year'!AA12*'MD-ratings-year'!$H12)/('MD-ratings-year'!$I29+'MD-ratings-year'!$H12)</f>
        <v>3.689913487037038E-2</v>
      </c>
      <c r="N29" s="469">
        <f>('SK-ratings-year'!AB29*'MD-ratings-year'!$I29+'SK-ratings-year'!AB12*'MD-ratings-year'!$H12)/('MD-ratings-year'!$I29+'MD-ratings-year'!$H12)</f>
        <v>3.3339063265530124</v>
      </c>
      <c r="O29" s="469">
        <f>('SK-ratings-year'!AC29*'MD-ratings-year'!$I29+'SK-ratings-year'!AC12*'MD-ratings-year'!$H12)/('MD-ratings-year'!$I29+'MD-ratings-year'!$H12)</f>
        <v>1.6834309977065449</v>
      </c>
      <c r="P29" s="469">
        <f>('SK-ratings-year'!AD29*'MD-ratings-year'!$I29+'SK-ratings-year'!AD12*'MD-ratings-year'!$H12)/('MD-ratings-year'!$I29+'MD-ratings-year'!$H12)</f>
        <v>0.26088326828197111</v>
      </c>
      <c r="Q29" s="469">
        <f>('SK-ratings-year'!AE29*'MD-ratings-year'!$I29+'SK-ratings-year'!AE12*'MD-ratings-year'!$H12)/('MD-ratings-year'!$I29+'MD-ratings-year'!$H12)</f>
        <v>0</v>
      </c>
      <c r="R29" s="469">
        <f>('SK-ratings-year'!AF29*'MD-ratings-year'!$I29+'SK-ratings-year'!AF12*'MD-ratings-year'!$H12)/('MD-ratings-year'!$I29+'MD-ratings-year'!$H12)</f>
        <v>0</v>
      </c>
      <c r="S29" s="469">
        <f>('SK-ratings-year'!AG29*'MD-ratings-year'!$I29+'SK-ratings-year'!AG12*'MD-ratings-year'!$H12)/('MD-ratings-year'!$I29+'MD-ratings-year'!$H12)</f>
        <v>9.6181958807724149E-2</v>
      </c>
      <c r="T29" s="469">
        <f>('SK-ratings-year'!AH29*'MD-ratings-year'!$I29+'SK-ratings-year'!AH12*'MD-ratings-year'!$H12)/('MD-ratings-year'!$I29+'MD-ratings-year'!$H12)</f>
        <v>9.0599400031045274</v>
      </c>
      <c r="U29" s="469">
        <f>('SK-ratings-year'!AI29*'MD-ratings-year'!$I29+'SK-ratings-year'!AI12*'MD-ratings-year'!$H12)/('MD-ratings-year'!$I29+'MD-ratings-year'!$H12)</f>
        <v>0</v>
      </c>
      <c r="V29" s="469">
        <f>('SK-ratings-year'!AJ29*'MD-ratings-year'!$I29+'SK-ratings-year'!AJ12*'MD-ratings-year'!$H12)/('MD-ratings-year'!$I29+'MD-ratings-year'!$H12)</f>
        <v>0</v>
      </c>
      <c r="W29" s="469">
        <f>('SK-ratings-year'!AK29*'MD-ratings-year'!$I29+'SK-ratings-year'!AK12*'MD-ratings-year'!$H12)/('MD-ratings-year'!$I29+'MD-ratings-year'!$H12)</f>
        <v>0</v>
      </c>
      <c r="X29" s="469">
        <f>('SK-ratings-year'!AL29*'MD-ratings-year'!$I29+'SK-ratings-year'!AL12*'MD-ratings-year'!$H12)/('MD-ratings-year'!$I29+'MD-ratings-year'!$H12)</f>
        <v>0</v>
      </c>
      <c r="Y29" s="469">
        <f>('SK-ratings-year'!AM29*'MD-ratings-year'!$I29+'SK-ratings-year'!AM12*'MD-ratings-year'!$H12)/('MD-ratings-year'!$I29+'MD-ratings-year'!$H12)</f>
        <v>0</v>
      </c>
      <c r="Z29" s="469">
        <f>('SK-ratings-year'!AN29*'MD-ratings-year'!$I29+'SK-ratings-year'!AN12*'MD-ratings-year'!$H12)/('MD-ratings-year'!$I29+'MD-ratings-year'!$H12)</f>
        <v>4.3519909125620329</v>
      </c>
      <c r="AA29" s="469">
        <f>('SK-ratings-year'!AO29*'MD-ratings-year'!$I29+'SK-ratings-year'!AO12*'MD-ratings-year'!$H12)/('MD-ratings-year'!$I29+'MD-ratings-year'!$H12)</f>
        <v>5.8880909040747493</v>
      </c>
      <c r="AB29" s="469">
        <f>('SK-ratings-year'!AP29*'MD-ratings-year'!$I29+'SK-ratings-year'!AP12*'MD-ratings-year'!$H12)/('MD-ratings-year'!$I29+'MD-ratings-year'!$H12)</f>
        <v>0</v>
      </c>
      <c r="AC29" s="469">
        <f>('SK-ratings-year'!AQ29*'MD-ratings-year'!$I29+'SK-ratings-year'!AQ12*'MD-ratings-year'!$H12)/('MD-ratings-year'!$I29+'MD-ratings-year'!$H12)</f>
        <v>0</v>
      </c>
      <c r="AD29" s="469">
        <f>('SK-ratings-year'!AR29*'MD-ratings-year'!$I29+'SK-ratings-year'!AR12*'MD-ratings-year'!$H12)/('MD-ratings-year'!$I29+'MD-ratings-year'!$H12)</f>
        <v>5.993064774213523</v>
      </c>
      <c r="AE29" s="469">
        <f>('SK-ratings-year'!AS29*'MD-ratings-year'!$I29+'SK-ratings-year'!AS12*'MD-ratings-year'!$H12)/('MD-ratings-year'!$I29+'MD-ratings-year'!$H12)</f>
        <v>3.5307955764333365</v>
      </c>
      <c r="AF29" s="469">
        <f>('SK-ratings-year'!AT29*'MD-ratings-year'!$I29+'SK-ratings-year'!AT12*'MD-ratings-year'!$H12)/('MD-ratings-year'!$I29+'MD-ratings-year'!$H12)</f>
        <v>1.3454311215197445</v>
      </c>
      <c r="AG29" s="469">
        <f>('SK-ratings-year'!AU29*'MD-ratings-year'!$I29+'SK-ratings-year'!AU12*'MD-ratings-year'!$H12)/('MD-ratings-year'!$I29+'MD-ratings-year'!$H12)</f>
        <v>2.5043614250358286</v>
      </c>
      <c r="AH29" s="469">
        <f>('SK-ratings-year'!AV29*'MD-ratings-year'!$I29+'SK-ratings-year'!AV12*'MD-ratings-year'!$H12)/('MD-ratings-year'!$I29+'MD-ratings-year'!$H12)</f>
        <v>5.2475327767196047</v>
      </c>
      <c r="AI29" s="469">
        <f>('SK-ratings-year'!AW29*'MD-ratings-year'!$I29+'SK-ratings-year'!AW12*'MD-ratings-year'!$H12)/('MD-ratings-year'!$I29+'MD-ratings-year'!$H12)</f>
        <v>1.3872104775583514</v>
      </c>
      <c r="AJ29" s="469">
        <f>('SK-ratings-year'!AX29*'MD-ratings-year'!$I29+'SK-ratings-year'!AX12*'MD-ratings-year'!$H12)/('MD-ratings-year'!$I29+'MD-ratings-year'!$H12)</f>
        <v>3.6720219209400327</v>
      </c>
      <c r="AK29" s="469">
        <f>('SK-ratings-year'!AY29*'MD-ratings-year'!$I29+'SK-ratings-year'!AY12*'MD-ratings-year'!$H12)/('MD-ratings-year'!$I29+'MD-ratings-year'!$H12)</f>
        <v>7.5561342704287764</v>
      </c>
      <c r="AL29" s="469">
        <f>('SK-ratings-year'!AZ29*'MD-ratings-year'!$I29+'SK-ratings-year'!AZ12*'MD-ratings-year'!$H12)/('MD-ratings-year'!$I29+'MD-ratings-year'!$H12)</f>
        <v>2.2563634778967985</v>
      </c>
      <c r="AM29" s="469">
        <f>('SK-ratings-year'!BA29*'MD-ratings-year'!$I29+'SK-ratings-year'!BA12*'MD-ratings-year'!$H12)/('MD-ratings-year'!$I29+'MD-ratings-year'!$H12)</f>
        <v>3.829438108673497</v>
      </c>
      <c r="AN29" s="469">
        <f>('SK-ratings-year'!BB29*'MD-ratings-year'!$I29+'SK-ratings-year'!BB12*'MD-ratings-year'!$H12)/('MD-ratings-year'!$I29+'MD-ratings-year'!$H12)</f>
        <v>0.94913524167073382</v>
      </c>
      <c r="AO29" s="469">
        <f>('SK-ratings-year'!BC29*'MD-ratings-year'!$I29+'SK-ratings-year'!BC12*'MD-ratings-year'!$H12)/('MD-ratings-year'!$I29+'MD-ratings-year'!$H12)</f>
        <v>0</v>
      </c>
      <c r="AP29" s="469">
        <f>('SK-ratings-year'!BD29*'MD-ratings-year'!$I29+'SK-ratings-year'!BD12*'MD-ratings-year'!$H12)/('MD-ratings-year'!$I29+'MD-ratings-year'!$H12)</f>
        <v>0.32198777947776719</v>
      </c>
      <c r="AQ29" s="469">
        <f>('SK-ratings-year'!BE29*'MD-ratings-year'!$I29+'SK-ratings-year'!BE12*'MD-ratings-year'!$H12)/('MD-ratings-year'!$I29+'MD-ratings-year'!$H12)</f>
        <v>4.108031271240951</v>
      </c>
      <c r="AR29" s="469">
        <f>('SK-ratings-year'!BF29*'MD-ratings-year'!$I29+'SK-ratings-year'!BF12*'MD-ratings-year'!$H12)/('MD-ratings-year'!$I29+'MD-ratings-year'!$H12)</f>
        <v>2.9293716913903651</v>
      </c>
      <c r="AS29" s="469">
        <f>('SK-ratings-year'!BG29*'MD-ratings-year'!$I29+'SK-ratings-year'!BG12*'MD-ratings-year'!$H12)/('MD-ratings-year'!$I29+'MD-ratings-year'!$H12)</f>
        <v>5.4373367194398066E-2</v>
      </c>
      <c r="AT29" s="469">
        <f>('SK-ratings-year'!BH29*'MD-ratings-year'!$I29+'SK-ratings-year'!BH12*'MD-ratings-year'!$H12)/('MD-ratings-year'!$I29+'MD-ratings-year'!$H12)</f>
        <v>2.048664388119898</v>
      </c>
      <c r="AU29" s="469">
        <f>('SK-ratings-year'!BI29*'MD-ratings-year'!$I29+'SK-ratings-year'!BI12*'MD-ratings-year'!$H12)/('MD-ratings-year'!$I29+'MD-ratings-year'!$H12)</f>
        <v>0</v>
      </c>
      <c r="AV29" s="469">
        <f>('SK-ratings-year'!BJ29*'MD-ratings-year'!$I29+'SK-ratings-year'!BJ12*'MD-ratings-year'!$H12)/('MD-ratings-year'!$I29+'MD-ratings-year'!$H12)</f>
        <v>0</v>
      </c>
      <c r="AW29" s="469">
        <f>('SK-ratings-year'!BK29*'MD-ratings-year'!$I29+'SK-ratings-year'!BK12*'MD-ratings-year'!$H12)/('MD-ratings-year'!$I29+'MD-ratings-year'!$H12)</f>
        <v>3.7150536653296662</v>
      </c>
      <c r="AX29" s="469">
        <f>('SK-ratings-year'!BL29*'MD-ratings-year'!$I29+'SK-ratings-year'!BL12*'MD-ratings-year'!$H12)/('MD-ratings-year'!$I29+'MD-ratings-year'!$H12)</f>
        <v>0</v>
      </c>
      <c r="AY29" s="469">
        <f>('SK-ratings-year'!BM29*'MD-ratings-year'!$I29+'SK-ratings-year'!BM12*'MD-ratings-year'!$H12)/('MD-ratings-year'!$I29+'MD-ratings-year'!$H12)</f>
        <v>3.2755981250987545</v>
      </c>
      <c r="AZ29" s="469">
        <f>('SK-ratings-year'!BN29*'MD-ratings-year'!$I29+'SK-ratings-year'!BN12*'MD-ratings-year'!$H12)/('MD-ratings-year'!$I29+'MD-ratings-year'!$H12)</f>
        <v>1.2080850588197281</v>
      </c>
      <c r="BA29" s="469">
        <f>('SK-ratings-year'!BO29*'MD-ratings-year'!$I29+'SK-ratings-year'!BO12*'MD-ratings-year'!$H12)/('MD-ratings-year'!$I29+'MD-ratings-year'!$H12)</f>
        <v>0</v>
      </c>
      <c r="BB29" s="469">
        <f>('SK-ratings-year'!BP29*'MD-ratings-year'!$I29+'SK-ratings-year'!BP12*'MD-ratings-year'!$H12)/('MD-ratings-year'!$I29+'MD-ratings-year'!$H12)</f>
        <v>0</v>
      </c>
      <c r="BC29" s="469">
        <f>('SK-ratings-year'!BQ29*'MD-ratings-year'!$I29+'SK-ratings-year'!BQ12*'MD-ratings-year'!$H12)/('MD-ratings-year'!$I29+'MD-ratings-year'!$H12)</f>
        <v>3.0790125580611147</v>
      </c>
      <c r="BD29" s="469">
        <f>('SK-ratings-year'!BR29*'MD-ratings-year'!$I29+'SK-ratings-year'!BR12*'MD-ratings-year'!$H12)/('MD-ratings-year'!$I29+'MD-ratings-year'!$H12)</f>
        <v>0.47743586166032009</v>
      </c>
      <c r="BE29" s="469">
        <f>('SK-ratings-year'!BS29*'MD-ratings-year'!$I29+'SK-ratings-year'!BS12*'MD-ratings-year'!$H12)/('MD-ratings-year'!$I29+'MD-ratings-year'!$H12)</f>
        <v>6.7946465075410759E-2</v>
      </c>
      <c r="BF29" s="469">
        <f>('SK-ratings-year'!BT29*'MD-ratings-year'!$I29+'SK-ratings-year'!BT12*'MD-ratings-year'!$H12)/('MD-ratings-year'!$I29+'MD-ratings-year'!$H12)</f>
        <v>0</v>
      </c>
      <c r="BG29" s="469">
        <f>('SK-ratings-year'!BU29*'MD-ratings-year'!$I29+'SK-ratings-year'!BU12*'MD-ratings-year'!$H12)/('MD-ratings-year'!$I29+'MD-ratings-year'!$H12)</f>
        <v>1.4499341961143932</v>
      </c>
      <c r="BH29" s="469">
        <f>('SK-ratings-year'!BV29*'MD-ratings-year'!$I29+'SK-ratings-year'!BV12*'MD-ratings-year'!$H12)/('MD-ratings-year'!$I29+'MD-ratings-year'!$H12)</f>
        <v>0</v>
      </c>
      <c r="BI29" s="469">
        <f>('SK-ratings-year'!BW29*'MD-ratings-year'!$I29+'SK-ratings-year'!BW12*'MD-ratings-year'!$H12)/('MD-ratings-year'!$I29+'MD-ratings-year'!$H12)</f>
        <v>0</v>
      </c>
      <c r="BJ29" s="469">
        <f>('SK-ratings-year'!BX29*'MD-ratings-year'!$I29+'SK-ratings-year'!BX12*'MD-ratings-year'!$H12)/('MD-ratings-year'!$I29+'MD-ratings-year'!$H12)</f>
        <v>0</v>
      </c>
      <c r="BK29" s="469">
        <f>('SK-ratings-year'!BY29*'MD-ratings-year'!$I29+'SK-ratings-year'!BY12*'MD-ratings-year'!$H12)/('MD-ratings-year'!$I29+'MD-ratings-year'!$H12)</f>
        <v>2.3395017283839934</v>
      </c>
      <c r="BL29" s="469">
        <f>('SK-ratings-year'!BZ29*'MD-ratings-year'!$I29+'SK-ratings-year'!BZ12*'MD-ratings-year'!$H12)/('MD-ratings-year'!$I29+'MD-ratings-year'!$H12)</f>
        <v>2.5536885548368171</v>
      </c>
      <c r="BM29" s="469">
        <f>('SK-ratings-year'!CA29*'MD-ratings-year'!$I29+'SK-ratings-year'!CA12*'MD-ratings-year'!$H12)/('MD-ratings-year'!$I29+'MD-ratings-year'!$H12)</f>
        <v>0.24261182902659378</v>
      </c>
      <c r="BN29" s="469">
        <f>('SK-ratings-year'!CB29*'MD-ratings-year'!$I29+'SK-ratings-year'!CB12*'MD-ratings-year'!$H12)/('MD-ratings-year'!$I29+'MD-ratings-year'!$H12)</f>
        <v>3.7050165936270298</v>
      </c>
      <c r="BO29" s="469">
        <f>('SK-ratings-year'!CC29*'MD-ratings-year'!$I29+'SK-ratings-year'!CC12*'MD-ratings-year'!$H12)/('MD-ratings-year'!$I29+'MD-ratings-year'!$H12)</f>
        <v>4.7282624798879738</v>
      </c>
      <c r="BP29" s="469">
        <f>('SK-ratings-year'!CD29*'MD-ratings-year'!$I29+'SK-ratings-year'!CD12*'MD-ratings-year'!$H12)/('MD-ratings-year'!$I29+'MD-ratings-year'!$H12)</f>
        <v>2.4006176049444798</v>
      </c>
      <c r="BQ29" s="469">
        <f>('SK-ratings-year'!CE29*'MD-ratings-year'!$I29+'SK-ratings-year'!CE12*'MD-ratings-year'!$H12)/('MD-ratings-year'!$I29+'MD-ratings-year'!$H12)</f>
        <v>2.4571243240525526E-2</v>
      </c>
      <c r="BR29" s="469">
        <f>('SK-ratings-year'!CF29*'MD-ratings-year'!$I29+'SK-ratings-year'!CF12*'MD-ratings-year'!$H12)/('MD-ratings-year'!$I29+'MD-ratings-year'!$H12)</f>
        <v>3.5446060298069164</v>
      </c>
      <c r="BS29" s="469">
        <f>('SK-ratings-year'!CG29*'MD-ratings-year'!$I29+'SK-ratings-year'!CG12*'MD-ratings-year'!$H12)/('MD-ratings-year'!$I29+'MD-ratings-year'!$H12)</f>
        <v>0.75774665678856912</v>
      </c>
      <c r="BT29" s="469">
        <f>('SK-ratings-year'!CH29*'MD-ratings-year'!$I29+'SK-ratings-year'!CH12*'MD-ratings-year'!$H12)/('MD-ratings-year'!$I29+'MD-ratings-year'!$H12)</f>
        <v>3.8669756188160318</v>
      </c>
      <c r="BU29" s="469">
        <f>('SK-ratings-year'!CI29*'MD-ratings-year'!$I29+'SK-ratings-year'!CI12*'MD-ratings-year'!$H12)/('MD-ratings-year'!$I29+'MD-ratings-year'!$H12)</f>
        <v>1.4115082944468322</v>
      </c>
      <c r="BV29" s="469">
        <f>('SK-ratings-year'!CJ29*'MD-ratings-year'!$I29+'SK-ratings-year'!CJ12*'MD-ratings-year'!$H12)/('MD-ratings-year'!$I29+'MD-ratings-year'!$H12)</f>
        <v>0</v>
      </c>
      <c r="BW29" s="469">
        <f>('SK-ratings-year'!CK29*'MD-ratings-year'!$I29+'SK-ratings-year'!CK12*'MD-ratings-year'!$H12)/('MD-ratings-year'!$I29+'MD-ratings-year'!$H12)</f>
        <v>3.7722420419542995</v>
      </c>
      <c r="BX29" s="469">
        <f>('SK-ratings-year'!CL29*'MD-ratings-year'!$I29+'SK-ratings-year'!CL12*'MD-ratings-year'!$H12)/('MD-ratings-year'!$I29+'MD-ratings-year'!$H12)</f>
        <v>0</v>
      </c>
      <c r="BY29" s="469">
        <f>('SK-ratings-year'!CM29*'MD-ratings-year'!$I29+'SK-ratings-year'!CM12*'MD-ratings-year'!$H12)/('MD-ratings-year'!$I29+'MD-ratings-year'!$H12)</f>
        <v>9.5486485915330537</v>
      </c>
      <c r="BZ29" s="469">
        <f>('SK-ratings-year'!CN29*'MD-ratings-year'!$I29+'SK-ratings-year'!CN12*'MD-ratings-year'!$H12)/('MD-ratings-year'!$I29+'MD-ratings-year'!$H12)</f>
        <v>6.94869902652656E-2</v>
      </c>
      <c r="CA29" s="469">
        <f>('SK-ratings-year'!CO29*'MD-ratings-year'!$I29+'SK-ratings-year'!CO12*'MD-ratings-year'!$H12)/('MD-ratings-year'!$I29+'MD-ratings-year'!$H12)</f>
        <v>3.1459845983799548</v>
      </c>
      <c r="CB29" s="469">
        <f>('SK-ratings-year'!CP29*'MD-ratings-year'!$I29+'SK-ratings-year'!CP12*'MD-ratings-year'!$H12)/('MD-ratings-year'!$I29+'MD-ratings-year'!$H12)</f>
        <v>0</v>
      </c>
      <c r="CC29" s="469">
        <f>('SK-ratings-year'!CQ29*'MD-ratings-year'!$I29+'SK-ratings-year'!CQ12*'MD-ratings-year'!$H12)/('MD-ratings-year'!$I29+'MD-ratings-year'!$H12)</f>
        <v>0.52034086136187185</v>
      </c>
      <c r="CD29" s="469">
        <f>('SK-ratings-year'!CR29*'MD-ratings-year'!$I29+'SK-ratings-year'!CR12*'MD-ratings-year'!$H12)/('MD-ratings-year'!$I29+'MD-ratings-year'!$H12)</f>
        <v>2.6022358783879946</v>
      </c>
      <c r="CE29" s="469">
        <f>('SK-ratings-year'!CS29*'MD-ratings-year'!$I29+'SK-ratings-year'!CS12*'MD-ratings-year'!$H12)/('MD-ratings-year'!$I29+'MD-ratings-year'!$H12)</f>
        <v>0.20311355205027176</v>
      </c>
      <c r="CF29" s="469">
        <f>('SK-ratings-year'!CT29*'MD-ratings-year'!$I29+'SK-ratings-year'!CT12*'MD-ratings-year'!$H12)/('MD-ratings-year'!$I29+'MD-ratings-year'!$H12)</f>
        <v>0</v>
      </c>
      <c r="CG29" s="469">
        <f>('SK-ratings-year'!CU29*'MD-ratings-year'!$I29+'SK-ratings-year'!CU12*'MD-ratings-year'!$H12)/('MD-ratings-year'!$I29+'MD-ratings-year'!$H12)</f>
        <v>2.7826440042081058</v>
      </c>
      <c r="CH29" s="469">
        <f>('SK-ratings-year'!CV29*'MD-ratings-year'!$I29+'SK-ratings-year'!CV12*'MD-ratings-year'!$H12)/('MD-ratings-year'!$I29+'MD-ratings-year'!$H12)</f>
        <v>3.5973740168848258</v>
      </c>
      <c r="CI29" s="469">
        <f>('SK-ratings-year'!CW29*'MD-ratings-year'!$I29+'SK-ratings-year'!CW12*'MD-ratings-year'!$H12)/('MD-ratings-year'!$I29+'MD-ratings-year'!$H12)</f>
        <v>0</v>
      </c>
      <c r="CJ29" s="469">
        <f>('SK-ratings-year'!CX29*'MD-ratings-year'!$I29+'SK-ratings-year'!CX12*'MD-ratings-year'!$H12)/('MD-ratings-year'!$I29+'MD-ratings-year'!$H12)</f>
        <v>0</v>
      </c>
      <c r="CL29" s="558"/>
      <c r="CM29" s="454">
        <f>('SK-ratings-year'!DA29*'MD-ratings-year'!$I29+'SK-ratings-year'!DA12*'MD-ratings-year'!$H12)/('MD-ratings-year'!$I29+'MD-ratings-year'!$H12)</f>
        <v>3.7464488060466929</v>
      </c>
      <c r="CN29" s="454">
        <f>('SK-ratings-year'!DB29*'MD-ratings-year'!$I29+'SK-ratings-year'!DB12*'MD-ratings-year'!$H12)/('MD-ratings-year'!$I29+'MD-ratings-year'!$H12)</f>
        <v>1.4149992187650529</v>
      </c>
      <c r="CO29" s="454">
        <f>('SK-ratings-year'!DC29*'MD-ratings-year'!$I29+'SK-ratings-year'!DC12*'MD-ratings-year'!$H12)/('MD-ratings-year'!$I29+'MD-ratings-year'!$H12)</f>
        <v>2.1200808055153031</v>
      </c>
      <c r="CP29" s="454">
        <f>('SK-ratings-year'!DD29*'MD-ratings-year'!$I29+'SK-ratings-year'!DD12*'MD-ratings-year'!$H12)/('MD-ratings-year'!$I29+'MD-ratings-year'!$H12)</f>
        <v>2.1192951873107648</v>
      </c>
      <c r="CQ29" s="454">
        <f>('SK-ratings-year'!DE29*'MD-ratings-year'!$I29+'SK-ratings-year'!DE12*'MD-ratings-year'!$H12)/('MD-ratings-year'!$I29+'MD-ratings-year'!$H12)</f>
        <v>0.99758465486101378</v>
      </c>
      <c r="CR29" s="454">
        <f>('SK-ratings-year'!DF29*'MD-ratings-year'!$I29+'SK-ratings-year'!DF12*'MD-ratings-year'!$H12)/('MD-ratings-year'!$I29+'MD-ratings-year'!$H12)</f>
        <v>1.9324094246662544</v>
      </c>
      <c r="CS29" s="454">
        <f>('SK-ratings-year'!DG29*'MD-ratings-year'!$I29+'SK-ratings-year'!DG12*'MD-ratings-year'!$H12)/('MD-ratings-year'!$I29+'MD-ratings-year'!$H12)</f>
        <v>1.7328518565680618E-2</v>
      </c>
      <c r="CT29" s="454">
        <f>('SK-ratings-year'!DH29*'MD-ratings-year'!$I29+'SK-ratings-year'!DH12*'MD-ratings-year'!$H12)/('MD-ratings-year'!$I29+'MD-ratings-year'!$H12)</f>
        <v>0.42313683777599964</v>
      </c>
      <c r="CU29" s="454">
        <f>('SK-ratings-year'!DI29*'MD-ratings-year'!$I29+'SK-ratings-year'!DI12*'MD-ratings-year'!$H12)/('MD-ratings-year'!$I29+'MD-ratings-year'!$H12)</f>
        <v>1.3030432308399672E-2</v>
      </c>
      <c r="CV29" s="454">
        <f>('SK-ratings-year'!DJ29*'MD-ratings-year'!$I29+'SK-ratings-year'!DJ12*'MD-ratings-year'!$H12)/('MD-ratings-year'!$I29+'MD-ratings-year'!$H12)</f>
        <v>1.7644268339165704E-2</v>
      </c>
      <c r="CW29" s="454">
        <f>('SK-ratings-year'!DK29*'MD-ratings-year'!$I29+'SK-ratings-year'!DK12*'MD-ratings-year'!$H12)/('MD-ratings-year'!$I29+'MD-ratings-year'!$H12)</f>
        <v>0.64945487796862245</v>
      </c>
      <c r="CX29" s="454">
        <f>('SK-ratings-year'!DL29*'MD-ratings-year'!$I29+'SK-ratings-year'!DL12*'MD-ratings-year'!$H12)/('MD-ratings-year'!$I29+'MD-ratings-year'!$H12)</f>
        <v>1.3461074929068673</v>
      </c>
      <c r="CY29" s="454">
        <f>('SK-ratings-year'!DM29*'MD-ratings-year'!$I29+'SK-ratings-year'!DM12*'MD-ratings-year'!$H12)/('MD-ratings-year'!$I29+'MD-ratings-year'!$H12)</f>
        <v>1.4484276923676407</v>
      </c>
      <c r="CZ29" s="454">
        <f>('SK-ratings-year'!DN29*'MD-ratings-year'!$I29+'SK-ratings-year'!DN12*'MD-ratings-year'!$H12)/('MD-ratings-year'!$I29+'MD-ratings-year'!$H12)</f>
        <v>1.9742404099464039</v>
      </c>
      <c r="DA29" s="454">
        <f>('SK-ratings-year'!DO29*'MD-ratings-year'!$I29+'SK-ratings-year'!DO12*'MD-ratings-year'!$H12)/('MD-ratings-year'!$I29+'MD-ratings-year'!$H12)</f>
        <v>0.16428295396308507</v>
      </c>
      <c r="DB29" s="454">
        <f>('SK-ratings-year'!DP29*'MD-ratings-year'!$I29+'SK-ratings-year'!DP12*'MD-ratings-year'!$H12)/('MD-ratings-year'!$I29+'MD-ratings-year'!$H12)</f>
        <v>1.2868148310069967</v>
      </c>
    </row>
    <row r="30" spans="1:106" s="428" customFormat="1" ht="15.75" customHeight="1" thickBot="1" x14ac:dyDescent="0.3">
      <c r="A30" s="640"/>
      <c r="B30" s="634"/>
      <c r="C30" s="235">
        <f>'MD-ratings-year'!C30</f>
        <v>0.15</v>
      </c>
      <c r="D30" s="434" t="str">
        <f>'MD-ratings-year'!D30</f>
        <v>Debt-to-EBITDA Ratio</v>
      </c>
      <c r="E30" s="437" t="str">
        <f>'MD-ratings-year'!E30</f>
        <v>Total Debt / Earnings Before Interest Taxes Depreciation &amp; Amortization</v>
      </c>
      <c r="F30" s="440" t="s">
        <v>400</v>
      </c>
      <c r="G30" s="653"/>
      <c r="I30" s="470">
        <f>('SK-ratings-year'!W30*'MD-ratings-year'!$I30+'SK-ratings-year'!W13*'MD-ratings-year'!$H13)/('MD-ratings-year'!$I30+'MD-ratings-year'!$H13)</f>
        <v>6.8200107865774457</v>
      </c>
      <c r="J30" s="470">
        <f>('SK-ratings-year'!X30*'MD-ratings-year'!$I30+'SK-ratings-year'!X13*'MD-ratings-year'!$H13)/('MD-ratings-year'!$I30+'MD-ratings-year'!$H13)</f>
        <v>7.9505424525970723</v>
      </c>
      <c r="K30" s="470">
        <f>('SK-ratings-year'!Y30*'MD-ratings-year'!$I30+'SK-ratings-year'!Y13*'MD-ratings-year'!$H13)/('MD-ratings-year'!$I30+'MD-ratings-year'!$H13)</f>
        <v>5.4774960894147382</v>
      </c>
      <c r="L30" s="470">
        <f>('SK-ratings-year'!Z30*'MD-ratings-year'!$I30+'SK-ratings-year'!Z13*'MD-ratings-year'!$H13)/('MD-ratings-year'!$I30+'MD-ratings-year'!$H13)</f>
        <v>5.8981445113827533</v>
      </c>
      <c r="M30" s="470">
        <f>('SK-ratings-year'!AA30*'MD-ratings-year'!$I30+'SK-ratings-year'!AA13*'MD-ratings-year'!$H13)/('MD-ratings-year'!$I30+'MD-ratings-year'!$H13)</f>
        <v>5.3766242978923584</v>
      </c>
      <c r="N30" s="470">
        <f>('SK-ratings-year'!AB30*'MD-ratings-year'!$I30+'SK-ratings-year'!AB13*'MD-ratings-year'!$H13)/('MD-ratings-year'!$I30+'MD-ratings-year'!$H13)</f>
        <v>4.4094009841059263</v>
      </c>
      <c r="O30" s="470">
        <f>('SK-ratings-year'!AC30*'MD-ratings-year'!$I30+'SK-ratings-year'!AC13*'MD-ratings-year'!$H13)/('MD-ratings-year'!$I30+'MD-ratings-year'!$H13)</f>
        <v>8.0279436337729813</v>
      </c>
      <c r="P30" s="470">
        <f>('SK-ratings-year'!AD30*'MD-ratings-year'!$I30+'SK-ratings-year'!AD13*'MD-ratings-year'!$H13)/('MD-ratings-year'!$I30+'MD-ratings-year'!$H13)</f>
        <v>6.710124976641465</v>
      </c>
      <c r="Q30" s="470">
        <f>('SK-ratings-year'!AE30*'MD-ratings-year'!$I30+'SK-ratings-year'!AE13*'MD-ratings-year'!$H13)/('MD-ratings-year'!$I30+'MD-ratings-year'!$H13)</f>
        <v>4.2652997939438322</v>
      </c>
      <c r="R30" s="470">
        <f>('SK-ratings-year'!AF30*'MD-ratings-year'!$I30+'SK-ratings-year'!AF13*'MD-ratings-year'!$H13)/('MD-ratings-year'!$I30+'MD-ratings-year'!$H13)</f>
        <v>4.2201525705935756</v>
      </c>
      <c r="S30" s="470">
        <f>('SK-ratings-year'!AG30*'MD-ratings-year'!$I30+'SK-ratings-year'!AG13*'MD-ratings-year'!$H13)/('MD-ratings-year'!$I30+'MD-ratings-year'!$H13)</f>
        <v>7.4374041065174179</v>
      </c>
      <c r="T30" s="470">
        <f>('SK-ratings-year'!AH30*'MD-ratings-year'!$I30+'SK-ratings-year'!AH13*'MD-ratings-year'!$H13)/('MD-ratings-year'!$I30+'MD-ratings-year'!$H13)</f>
        <v>4.5071812294029296</v>
      </c>
      <c r="U30" s="470">
        <f>('SK-ratings-year'!AI30*'MD-ratings-year'!$I30+'SK-ratings-year'!AI13*'MD-ratings-year'!$H13)/('MD-ratings-year'!$I30+'MD-ratings-year'!$H13)</f>
        <v>6.3669088878987292</v>
      </c>
      <c r="V30" s="470">
        <f>('SK-ratings-year'!AJ30*'MD-ratings-year'!$I30+'SK-ratings-year'!AJ13*'MD-ratings-year'!$H13)/('MD-ratings-year'!$I30+'MD-ratings-year'!$H13)</f>
        <v>5.8970247868957317</v>
      </c>
      <c r="W30" s="470">
        <f>('SK-ratings-year'!AK30*'MD-ratings-year'!$I30+'SK-ratings-year'!AK13*'MD-ratings-year'!$H13)/('MD-ratings-year'!$I30+'MD-ratings-year'!$H13)</f>
        <v>5.7232635137181216</v>
      </c>
      <c r="X30" s="470">
        <f>('SK-ratings-year'!AL30*'MD-ratings-year'!$I30+'SK-ratings-year'!AL13*'MD-ratings-year'!$H13)/('MD-ratings-year'!$I30+'MD-ratings-year'!$H13)</f>
        <v>5.8251575142734087</v>
      </c>
      <c r="Y30" s="470">
        <f>('SK-ratings-year'!AM30*'MD-ratings-year'!$I30+'SK-ratings-year'!AM13*'MD-ratings-year'!$H13)/('MD-ratings-year'!$I30+'MD-ratings-year'!$H13)</f>
        <v>7.6260038646034456</v>
      </c>
      <c r="Z30" s="470">
        <f>('SK-ratings-year'!AN30*'MD-ratings-year'!$I30+'SK-ratings-year'!AN13*'MD-ratings-year'!$H13)/('MD-ratings-year'!$I30+'MD-ratings-year'!$H13)</f>
        <v>2.1311289816425552</v>
      </c>
      <c r="AA30" s="470">
        <f>('SK-ratings-year'!AO30*'MD-ratings-year'!$I30+'SK-ratings-year'!AO13*'MD-ratings-year'!$H13)/('MD-ratings-year'!$I30+'MD-ratings-year'!$H13)</f>
        <v>4.1378411495557517</v>
      </c>
      <c r="AB30" s="470">
        <f>('SK-ratings-year'!AP30*'MD-ratings-year'!$I30+'SK-ratings-year'!AP13*'MD-ratings-year'!$H13)/('MD-ratings-year'!$I30+'MD-ratings-year'!$H13)</f>
        <v>4.7331770566716882</v>
      </c>
      <c r="AC30" s="470">
        <f>('SK-ratings-year'!AQ30*'MD-ratings-year'!$I30+'SK-ratings-year'!AQ13*'MD-ratings-year'!$H13)/('MD-ratings-year'!$I30+'MD-ratings-year'!$H13)</f>
        <v>2.6006465924092117</v>
      </c>
      <c r="AD30" s="470">
        <f>('SK-ratings-year'!AR30*'MD-ratings-year'!$I30+'SK-ratings-year'!AR13*'MD-ratings-year'!$H13)/('MD-ratings-year'!$I30+'MD-ratings-year'!$H13)</f>
        <v>7.6898067699063359</v>
      </c>
      <c r="AE30" s="470">
        <f>('SK-ratings-year'!AS30*'MD-ratings-year'!$I30+'SK-ratings-year'!AS13*'MD-ratings-year'!$H13)/('MD-ratings-year'!$I30+'MD-ratings-year'!$H13)</f>
        <v>6.0227582973576164</v>
      </c>
      <c r="AF30" s="470">
        <f>('SK-ratings-year'!AT30*'MD-ratings-year'!$I30+'SK-ratings-year'!AT13*'MD-ratings-year'!$H13)/('MD-ratings-year'!$I30+'MD-ratings-year'!$H13)</f>
        <v>2.1954907281037483</v>
      </c>
      <c r="AG30" s="470">
        <f>('SK-ratings-year'!AU30*'MD-ratings-year'!$I30+'SK-ratings-year'!AU13*'MD-ratings-year'!$H13)/('MD-ratings-year'!$I30+'MD-ratings-year'!$H13)</f>
        <v>3.2605202439543004</v>
      </c>
      <c r="AH30" s="470">
        <f>('SK-ratings-year'!AV30*'MD-ratings-year'!$I30+'SK-ratings-year'!AV13*'MD-ratings-year'!$H13)/('MD-ratings-year'!$I30+'MD-ratings-year'!$H13)</f>
        <v>8.4592867563790826</v>
      </c>
      <c r="AI30" s="470">
        <f>('SK-ratings-year'!AW30*'MD-ratings-year'!$I30+'SK-ratings-year'!AW13*'MD-ratings-year'!$H13)/('MD-ratings-year'!$I30+'MD-ratings-year'!$H13)</f>
        <v>3.6744302658170471</v>
      </c>
      <c r="AJ30" s="470">
        <f>('SK-ratings-year'!AX30*'MD-ratings-year'!$I30+'SK-ratings-year'!AX13*'MD-ratings-year'!$H13)/('MD-ratings-year'!$I30+'MD-ratings-year'!$H13)</f>
        <v>2.6783608534221943</v>
      </c>
      <c r="AK30" s="470">
        <f>('SK-ratings-year'!AY30*'MD-ratings-year'!$I30+'SK-ratings-year'!AY13*'MD-ratings-year'!$H13)/('MD-ratings-year'!$I30+'MD-ratings-year'!$H13)</f>
        <v>6.3685988836667091</v>
      </c>
      <c r="AL30" s="470">
        <f>('SK-ratings-year'!AZ30*'MD-ratings-year'!$I30+'SK-ratings-year'!AZ13*'MD-ratings-year'!$H13)/('MD-ratings-year'!$I30+'MD-ratings-year'!$H13)</f>
        <v>5.9508951899235436</v>
      </c>
      <c r="AM30" s="470">
        <f>('SK-ratings-year'!BA30*'MD-ratings-year'!$I30+'SK-ratings-year'!BA13*'MD-ratings-year'!$H13)/('MD-ratings-year'!$I30+'MD-ratings-year'!$H13)</f>
        <v>6.7705480175604622</v>
      </c>
      <c r="AN30" s="470">
        <f>('SK-ratings-year'!BB30*'MD-ratings-year'!$I30+'SK-ratings-year'!BB13*'MD-ratings-year'!$H13)/('MD-ratings-year'!$I30+'MD-ratings-year'!$H13)</f>
        <v>6.6012324643121314</v>
      </c>
      <c r="AO30" s="470">
        <f>('SK-ratings-year'!BC30*'MD-ratings-year'!$I30+'SK-ratings-year'!BC13*'MD-ratings-year'!$H13)/('MD-ratings-year'!$I30+'MD-ratings-year'!$H13)</f>
        <v>4.8214981029647666</v>
      </c>
      <c r="AP30" s="470">
        <f>('SK-ratings-year'!BD30*'MD-ratings-year'!$I30+'SK-ratings-year'!BD13*'MD-ratings-year'!$H13)/('MD-ratings-year'!$I30+'MD-ratings-year'!$H13)</f>
        <v>6.1674574368196824</v>
      </c>
      <c r="AQ30" s="470">
        <f>('SK-ratings-year'!BE30*'MD-ratings-year'!$I30+'SK-ratings-year'!BE13*'MD-ratings-year'!$H13)/('MD-ratings-year'!$I30+'MD-ratings-year'!$H13)</f>
        <v>5.7755364788698795</v>
      </c>
      <c r="AR30" s="470">
        <f>('SK-ratings-year'!BF30*'MD-ratings-year'!$I30+'SK-ratings-year'!BF13*'MD-ratings-year'!$H13)/('MD-ratings-year'!$I30+'MD-ratings-year'!$H13)</f>
        <v>5.757971379723644</v>
      </c>
      <c r="AS30" s="470">
        <f>('SK-ratings-year'!BG30*'MD-ratings-year'!$I30+'SK-ratings-year'!BG13*'MD-ratings-year'!$H13)/('MD-ratings-year'!$I30+'MD-ratings-year'!$H13)</f>
        <v>7.3228595956713445</v>
      </c>
      <c r="AT30" s="470">
        <f>('SK-ratings-year'!BH30*'MD-ratings-year'!$I30+'SK-ratings-year'!BH13*'MD-ratings-year'!$H13)/('MD-ratings-year'!$I30+'MD-ratings-year'!$H13)</f>
        <v>6.8815680281991431</v>
      </c>
      <c r="AU30" s="470">
        <f>('SK-ratings-year'!BI30*'MD-ratings-year'!$I30+'SK-ratings-year'!BI13*'MD-ratings-year'!$H13)/('MD-ratings-year'!$I30+'MD-ratings-year'!$H13)</f>
        <v>4.8712833355129259</v>
      </c>
      <c r="AV30" s="470">
        <f>('SK-ratings-year'!BJ30*'MD-ratings-year'!$I30+'SK-ratings-year'!BJ13*'MD-ratings-year'!$H13)/('MD-ratings-year'!$I30+'MD-ratings-year'!$H13)</f>
        <v>4.9533303443745993</v>
      </c>
      <c r="AW30" s="470">
        <f>('SK-ratings-year'!BK30*'MD-ratings-year'!$I30+'SK-ratings-year'!BK13*'MD-ratings-year'!$H13)/('MD-ratings-year'!$I30+'MD-ratings-year'!$H13)</f>
        <v>3.2368084183608121</v>
      </c>
      <c r="AX30" s="470">
        <f>('SK-ratings-year'!BL30*'MD-ratings-year'!$I30+'SK-ratings-year'!BL13*'MD-ratings-year'!$H13)/('MD-ratings-year'!$I30+'MD-ratings-year'!$H13)</f>
        <v>2.5683836023425277</v>
      </c>
      <c r="AY30" s="470">
        <f>('SK-ratings-year'!BM30*'MD-ratings-year'!$I30+'SK-ratings-year'!BM13*'MD-ratings-year'!$H13)/('MD-ratings-year'!$I30+'MD-ratings-year'!$H13)</f>
        <v>7.4387730494309148</v>
      </c>
      <c r="AZ30" s="470">
        <f>('SK-ratings-year'!BN30*'MD-ratings-year'!$I30+'SK-ratings-year'!BN13*'MD-ratings-year'!$H13)/('MD-ratings-year'!$I30+'MD-ratings-year'!$H13)</f>
        <v>6.1185010309705552</v>
      </c>
      <c r="BA30" s="470">
        <f>('SK-ratings-year'!BO30*'MD-ratings-year'!$I30+'SK-ratings-year'!BO13*'MD-ratings-year'!$H13)/('MD-ratings-year'!$I30+'MD-ratings-year'!$H13)</f>
        <v>6.7785429294897162</v>
      </c>
      <c r="BB30" s="470">
        <f>('SK-ratings-year'!BP30*'MD-ratings-year'!$I30+'SK-ratings-year'!BP13*'MD-ratings-year'!$H13)/('MD-ratings-year'!$I30+'MD-ratings-year'!$H13)</f>
        <v>5.5220660333748697</v>
      </c>
      <c r="BC30" s="470">
        <f>('SK-ratings-year'!BQ30*'MD-ratings-year'!$I30+'SK-ratings-year'!BQ13*'MD-ratings-year'!$H13)/('MD-ratings-year'!$I30+'MD-ratings-year'!$H13)</f>
        <v>2.1223305740279375</v>
      </c>
      <c r="BD30" s="470">
        <f>('SK-ratings-year'!BR30*'MD-ratings-year'!$I30+'SK-ratings-year'!BR13*'MD-ratings-year'!$H13)/('MD-ratings-year'!$I30+'MD-ratings-year'!$H13)</f>
        <v>5.4871148186973722</v>
      </c>
      <c r="BE30" s="470">
        <f>('SK-ratings-year'!BS30*'MD-ratings-year'!$I30+'SK-ratings-year'!BS13*'MD-ratings-year'!$H13)/('MD-ratings-year'!$I30+'MD-ratings-year'!$H13)</f>
        <v>6.1091791969561688</v>
      </c>
      <c r="BF30" s="470">
        <f>('SK-ratings-year'!BT30*'MD-ratings-year'!$I30+'SK-ratings-year'!BT13*'MD-ratings-year'!$H13)/('MD-ratings-year'!$I30+'MD-ratings-year'!$H13)</f>
        <v>5.5867511070795572</v>
      </c>
      <c r="BG30" s="470">
        <f>('SK-ratings-year'!BU30*'MD-ratings-year'!$I30+'SK-ratings-year'!BU13*'MD-ratings-year'!$H13)/('MD-ratings-year'!$I30+'MD-ratings-year'!$H13)</f>
        <v>6.7776421228749841</v>
      </c>
      <c r="BH30" s="470">
        <f>('SK-ratings-year'!BV30*'MD-ratings-year'!$I30+'SK-ratings-year'!BV13*'MD-ratings-year'!$H13)/('MD-ratings-year'!$I30+'MD-ratings-year'!$H13)</f>
        <v>4.1185297299087473</v>
      </c>
      <c r="BI30" s="470">
        <f>('SK-ratings-year'!BW30*'MD-ratings-year'!$I30+'SK-ratings-year'!BW13*'MD-ratings-year'!$H13)/('MD-ratings-year'!$I30+'MD-ratings-year'!$H13)</f>
        <v>1.5902794573144494</v>
      </c>
      <c r="BJ30" s="470">
        <f>('SK-ratings-year'!BX30*'MD-ratings-year'!$I30+'SK-ratings-year'!BX13*'MD-ratings-year'!$H13)/('MD-ratings-year'!$I30+'MD-ratings-year'!$H13)</f>
        <v>4.2151057701873471</v>
      </c>
      <c r="BK30" s="470">
        <f>('SK-ratings-year'!BY30*'MD-ratings-year'!$I30+'SK-ratings-year'!BY13*'MD-ratings-year'!$H13)/('MD-ratings-year'!$I30+'MD-ratings-year'!$H13)</f>
        <v>7.8555719168281124</v>
      </c>
      <c r="BL30" s="470">
        <f>('SK-ratings-year'!BZ30*'MD-ratings-year'!$I30+'SK-ratings-year'!BZ13*'MD-ratings-year'!$H13)/('MD-ratings-year'!$I30+'MD-ratings-year'!$H13)</f>
        <v>4.4311926229536747</v>
      </c>
      <c r="BM30" s="470">
        <f>('SK-ratings-year'!CA30*'MD-ratings-year'!$I30+'SK-ratings-year'!CA13*'MD-ratings-year'!$H13)/('MD-ratings-year'!$I30+'MD-ratings-year'!$H13)</f>
        <v>7.0754644357076169</v>
      </c>
      <c r="BN30" s="470">
        <f>('SK-ratings-year'!CB30*'MD-ratings-year'!$I30+'SK-ratings-year'!CB13*'MD-ratings-year'!$H13)/('MD-ratings-year'!$I30+'MD-ratings-year'!$H13)</f>
        <v>6.1224784298558017</v>
      </c>
      <c r="BO30" s="470">
        <f>('SK-ratings-year'!CC30*'MD-ratings-year'!$I30+'SK-ratings-year'!CC13*'MD-ratings-year'!$H13)/('MD-ratings-year'!$I30+'MD-ratings-year'!$H13)</f>
        <v>6.9333850644563313</v>
      </c>
      <c r="BP30" s="470">
        <f>('SK-ratings-year'!CD30*'MD-ratings-year'!$I30+'SK-ratings-year'!CD13*'MD-ratings-year'!$H13)/('MD-ratings-year'!$I30+'MD-ratings-year'!$H13)</f>
        <v>7.1169353754408027</v>
      </c>
      <c r="BQ30" s="470">
        <f>('SK-ratings-year'!CE30*'MD-ratings-year'!$I30+'SK-ratings-year'!CE13*'MD-ratings-year'!$H13)/('MD-ratings-year'!$I30+'MD-ratings-year'!$H13)</f>
        <v>5.3790184197682702</v>
      </c>
      <c r="BR30" s="470">
        <f>('SK-ratings-year'!CF30*'MD-ratings-year'!$I30+'SK-ratings-year'!CF13*'MD-ratings-year'!$H13)/('MD-ratings-year'!$I30+'MD-ratings-year'!$H13)</f>
        <v>7.8252881477910137</v>
      </c>
      <c r="BS30" s="470">
        <f>('SK-ratings-year'!CG30*'MD-ratings-year'!$I30+'SK-ratings-year'!CG13*'MD-ratings-year'!$H13)/('MD-ratings-year'!$I30+'MD-ratings-year'!$H13)</f>
        <v>5.8068370567860432</v>
      </c>
      <c r="BT30" s="470">
        <f>('SK-ratings-year'!CH30*'MD-ratings-year'!$I30+'SK-ratings-year'!CH13*'MD-ratings-year'!$H13)/('MD-ratings-year'!$I30+'MD-ratings-year'!$H13)</f>
        <v>8.0801572367217567</v>
      </c>
      <c r="BU30" s="470">
        <f>('SK-ratings-year'!CI30*'MD-ratings-year'!$I30+'SK-ratings-year'!CI13*'MD-ratings-year'!$H13)/('MD-ratings-year'!$I30+'MD-ratings-year'!$H13)</f>
        <v>6.7933136573435542</v>
      </c>
      <c r="BV30" s="470">
        <f>('SK-ratings-year'!CJ30*'MD-ratings-year'!$I30+'SK-ratings-year'!CJ13*'MD-ratings-year'!$H13)/('MD-ratings-year'!$I30+'MD-ratings-year'!$H13)</f>
        <v>6.8980309688924288</v>
      </c>
      <c r="BW30" s="470">
        <f>('SK-ratings-year'!CK30*'MD-ratings-year'!$I30+'SK-ratings-year'!CK13*'MD-ratings-year'!$H13)/('MD-ratings-year'!$I30+'MD-ratings-year'!$H13)</f>
        <v>7.6820991455809162</v>
      </c>
      <c r="BX30" s="470">
        <f>('SK-ratings-year'!CL30*'MD-ratings-year'!$I30+'SK-ratings-year'!CL13*'MD-ratings-year'!$H13)/('MD-ratings-year'!$I30+'MD-ratings-year'!$H13)</f>
        <v>4.0897363758535832</v>
      </c>
      <c r="BY30" s="470">
        <f>('SK-ratings-year'!CM30*'MD-ratings-year'!$I30+'SK-ratings-year'!CM13*'MD-ratings-year'!$H13)/('MD-ratings-year'!$I30+'MD-ratings-year'!$H13)</f>
        <v>6.0479079497474846</v>
      </c>
      <c r="BZ30" s="470">
        <f>('SK-ratings-year'!CN30*'MD-ratings-year'!$I30+'SK-ratings-year'!CN13*'MD-ratings-year'!$H13)/('MD-ratings-year'!$I30+'MD-ratings-year'!$H13)</f>
        <v>3.9155510494884385</v>
      </c>
      <c r="CA30" s="470">
        <f>('SK-ratings-year'!CO30*'MD-ratings-year'!$I30+'SK-ratings-year'!CO13*'MD-ratings-year'!$H13)/('MD-ratings-year'!$I30+'MD-ratings-year'!$H13)</f>
        <v>5.2292187374612826</v>
      </c>
      <c r="CB30" s="470">
        <f>('SK-ratings-year'!CP30*'MD-ratings-year'!$I30+'SK-ratings-year'!CP13*'MD-ratings-year'!$H13)/('MD-ratings-year'!$I30+'MD-ratings-year'!$H13)</f>
        <v>5.1219190463932458</v>
      </c>
      <c r="CC30" s="470">
        <f>('SK-ratings-year'!CQ30*'MD-ratings-year'!$I30+'SK-ratings-year'!CQ13*'MD-ratings-year'!$H13)/('MD-ratings-year'!$I30+'MD-ratings-year'!$H13)</f>
        <v>4.6552662748491045</v>
      </c>
      <c r="CD30" s="470">
        <f>('SK-ratings-year'!CR30*'MD-ratings-year'!$I30+'SK-ratings-year'!CR13*'MD-ratings-year'!$H13)/('MD-ratings-year'!$I30+'MD-ratings-year'!$H13)</f>
        <v>7.5038614231362226</v>
      </c>
      <c r="CE30" s="470">
        <f>('SK-ratings-year'!CS30*'MD-ratings-year'!$I30+'SK-ratings-year'!CS13*'MD-ratings-year'!$H13)/('MD-ratings-year'!$I30+'MD-ratings-year'!$H13)</f>
        <v>5.9185333930951378</v>
      </c>
      <c r="CF30" s="470">
        <f>('SK-ratings-year'!CT30*'MD-ratings-year'!$I30+'SK-ratings-year'!CT13*'MD-ratings-year'!$H13)/('MD-ratings-year'!$I30+'MD-ratings-year'!$H13)</f>
        <v>4.1350571568014152</v>
      </c>
      <c r="CG30" s="470">
        <f>('SK-ratings-year'!CU30*'MD-ratings-year'!$I30+'SK-ratings-year'!CU13*'MD-ratings-year'!$H13)/('MD-ratings-year'!$I30+'MD-ratings-year'!$H13)</f>
        <v>3.6350511310122888</v>
      </c>
      <c r="CH30" s="470">
        <f>('SK-ratings-year'!CV30*'MD-ratings-year'!$I30+'SK-ratings-year'!CV13*'MD-ratings-year'!$H13)/('MD-ratings-year'!$I30+'MD-ratings-year'!$H13)</f>
        <v>6.2251232124822691</v>
      </c>
      <c r="CI30" s="470">
        <f>('SK-ratings-year'!CW30*'MD-ratings-year'!$I30+'SK-ratings-year'!CW13*'MD-ratings-year'!$H13)/('MD-ratings-year'!$I30+'MD-ratings-year'!$H13)</f>
        <v>2.6439327664938737</v>
      </c>
      <c r="CJ30" s="470">
        <f>('SK-ratings-year'!CX30*'MD-ratings-year'!$I30+'SK-ratings-year'!CX13*'MD-ratings-year'!$H13)/('MD-ratings-year'!$I30+'MD-ratings-year'!$H13)</f>
        <v>0.24196355444136802</v>
      </c>
      <c r="CL30" s="546"/>
      <c r="CM30" s="455">
        <f>('SK-ratings-year'!DA30*'MD-ratings-year'!$I30+'SK-ratings-year'!DA13*'MD-ratings-year'!$H13)/('MD-ratings-year'!$I30+'MD-ratings-year'!$H13)</f>
        <v>6.4135365040253776</v>
      </c>
      <c r="CN30" s="455">
        <f>('SK-ratings-year'!DB30*'MD-ratings-year'!$I30+'SK-ratings-year'!DB13*'MD-ratings-year'!$H13)/('MD-ratings-year'!$I30+'MD-ratings-year'!$H13)</f>
        <v>6.6115790234397283</v>
      </c>
      <c r="CO30" s="455">
        <f>('SK-ratings-year'!DC30*'MD-ratings-year'!$I30+'SK-ratings-year'!DC13*'MD-ratings-year'!$H13)/('MD-ratings-year'!$I30+'MD-ratings-year'!$H13)</f>
        <v>4.2758507607588845</v>
      </c>
      <c r="CP30" s="455">
        <f>('SK-ratings-year'!DD30*'MD-ratings-year'!$I30+'SK-ratings-year'!DD13*'MD-ratings-year'!$H13)/('MD-ratings-year'!$I30+'MD-ratings-year'!$H13)</f>
        <v>5.6496106870486775</v>
      </c>
      <c r="CQ30" s="455">
        <f>('SK-ratings-year'!DE30*'MD-ratings-year'!$I30+'SK-ratings-year'!DE13*'MD-ratings-year'!$H13)/('MD-ratings-year'!$I30+'MD-ratings-year'!$H13)</f>
        <v>4.924007192986827</v>
      </c>
      <c r="CR30" s="455">
        <f>('SK-ratings-year'!DF30*'MD-ratings-year'!$I30+'SK-ratings-year'!DF13*'MD-ratings-year'!$H13)/('MD-ratings-year'!$I30+'MD-ratings-year'!$H13)</f>
        <v>5.3145793200204849</v>
      </c>
      <c r="CS30" s="455">
        <f>('SK-ratings-year'!DG30*'MD-ratings-year'!$I30+'SK-ratings-year'!DG13*'MD-ratings-year'!$H13)/('MD-ratings-year'!$I30+'MD-ratings-year'!$H13)</f>
        <v>5.0102734076348208</v>
      </c>
      <c r="CT30" s="455">
        <f>('SK-ratings-year'!DH30*'MD-ratings-year'!$I30+'SK-ratings-year'!DH13*'MD-ratings-year'!$H13)/('MD-ratings-year'!$I30+'MD-ratings-year'!$H13)</f>
        <v>6.0028714089613118</v>
      </c>
      <c r="CU30" s="455">
        <f>('SK-ratings-year'!DI30*'MD-ratings-year'!$I30+'SK-ratings-year'!DI13*'MD-ratings-year'!$H13)/('MD-ratings-year'!$I30+'MD-ratings-year'!$H13)</f>
        <v>5.0754186188392447</v>
      </c>
      <c r="CV30" s="455">
        <f>('SK-ratings-year'!DJ30*'MD-ratings-year'!$I30+'SK-ratings-year'!DJ13*'MD-ratings-year'!$H13)/('MD-ratings-year'!$I30+'MD-ratings-year'!$H13)</f>
        <v>5.9643083556802576</v>
      </c>
      <c r="CW30" s="455">
        <f>('SK-ratings-year'!DK30*'MD-ratings-year'!$I30+'SK-ratings-year'!DK13*'MD-ratings-year'!$H13)/('MD-ratings-year'!$I30+'MD-ratings-year'!$H13)</f>
        <v>5.7340939322607642</v>
      </c>
      <c r="CX30" s="455">
        <f>('SK-ratings-year'!DL30*'MD-ratings-year'!$I30+'SK-ratings-year'!DL13*'MD-ratings-year'!$H13)/('MD-ratings-year'!$I30+'MD-ratings-year'!$H13)</f>
        <v>5.0617583890238453</v>
      </c>
      <c r="CY30" s="455">
        <f>('SK-ratings-year'!DM30*'MD-ratings-year'!$I30+'SK-ratings-year'!DM13*'MD-ratings-year'!$H13)/('MD-ratings-year'!$I30+'MD-ratings-year'!$H13)</f>
        <v>5.4669918643191426</v>
      </c>
      <c r="CZ30" s="455">
        <f>('SK-ratings-year'!DN30*'MD-ratings-year'!$I30+'SK-ratings-year'!DN13*'MD-ratings-year'!$H13)/('MD-ratings-year'!$I30+'MD-ratings-year'!$H13)</f>
        <v>5.4540742949732168</v>
      </c>
      <c r="DA30" s="455">
        <f>('SK-ratings-year'!DO30*'MD-ratings-year'!$I30+'SK-ratings-year'!DO13*'MD-ratings-year'!$H13)/('MD-ratings-year'!$I30+'MD-ratings-year'!$H13)</f>
        <v>5.4286047329312463</v>
      </c>
      <c r="DB30" s="455">
        <f>('SK-ratings-year'!DP30*'MD-ratings-year'!$I30+'SK-ratings-year'!DP13*'MD-ratings-year'!$H13)/('MD-ratings-year'!$I30+'MD-ratings-year'!$H13)</f>
        <v>5.444256007801334</v>
      </c>
    </row>
    <row r="31" spans="1:106" s="461" customFormat="1" ht="15.75" customHeight="1" thickBot="1" x14ac:dyDescent="0.3">
      <c r="A31" s="641"/>
      <c r="B31" s="635"/>
      <c r="C31" s="647" t="str">
        <f>'MD-ratings-year'!C31:E31</f>
        <v>Leverage total</v>
      </c>
      <c r="D31" s="648"/>
      <c r="E31" s="649"/>
      <c r="F31" s="589" t="s">
        <v>400</v>
      </c>
      <c r="G31" s="653"/>
      <c r="I31" s="473">
        <f>SUMPRODUCT(I29:I30,$C29:$C30)/SUM($C29:$C30)</f>
        <v>5.1610223946916012</v>
      </c>
      <c r="J31" s="473">
        <f t="shared" ref="J31:BU31" si="105">SUMPRODUCT(J29:J30,$C29:$C30)/SUM($C29:$C30)</f>
        <v>7.0946569079137829</v>
      </c>
      <c r="K31" s="473">
        <f t="shared" si="105"/>
        <v>2.7387480447073691</v>
      </c>
      <c r="L31" s="473">
        <f t="shared" si="105"/>
        <v>2.9490722556913767</v>
      </c>
      <c r="M31" s="473">
        <f t="shared" si="105"/>
        <v>2.7067617163813646</v>
      </c>
      <c r="N31" s="473">
        <f t="shared" si="105"/>
        <v>3.8716536553294696</v>
      </c>
      <c r="O31" s="473">
        <f t="shared" si="105"/>
        <v>4.8556873157397629</v>
      </c>
      <c r="P31" s="473">
        <f t="shared" si="105"/>
        <v>3.4855041224617178</v>
      </c>
      <c r="Q31" s="473">
        <f t="shared" si="105"/>
        <v>2.1326498969719161</v>
      </c>
      <c r="R31" s="473">
        <f t="shared" si="105"/>
        <v>2.1100762852967878</v>
      </c>
      <c r="S31" s="473">
        <f t="shared" si="105"/>
        <v>3.7667930326625716</v>
      </c>
      <c r="T31" s="473">
        <f t="shared" si="105"/>
        <v>6.7835606162537294</v>
      </c>
      <c r="U31" s="473">
        <f t="shared" si="105"/>
        <v>3.1834544439493646</v>
      </c>
      <c r="V31" s="473">
        <f t="shared" si="105"/>
        <v>2.9485123934478659</v>
      </c>
      <c r="W31" s="473">
        <f t="shared" si="105"/>
        <v>2.8616317568590608</v>
      </c>
      <c r="X31" s="473">
        <f t="shared" si="105"/>
        <v>2.9125787571367043</v>
      </c>
      <c r="Y31" s="473">
        <f t="shared" si="105"/>
        <v>3.8130019323017228</v>
      </c>
      <c r="Z31" s="473">
        <f t="shared" si="105"/>
        <v>3.2415599471022944</v>
      </c>
      <c r="AA31" s="473">
        <f t="shared" si="105"/>
        <v>5.0129660268152501</v>
      </c>
      <c r="AB31" s="473">
        <f t="shared" si="105"/>
        <v>2.3665885283358441</v>
      </c>
      <c r="AC31" s="473">
        <f t="shared" si="105"/>
        <v>1.3003232962046058</v>
      </c>
      <c r="AD31" s="473">
        <f t="shared" si="105"/>
        <v>6.8414357720599295</v>
      </c>
      <c r="AE31" s="473">
        <f t="shared" si="105"/>
        <v>4.7767769368954767</v>
      </c>
      <c r="AF31" s="473">
        <f t="shared" si="105"/>
        <v>1.7704609248117464</v>
      </c>
      <c r="AG31" s="473">
        <f t="shared" si="105"/>
        <v>2.8824408344950645</v>
      </c>
      <c r="AH31" s="473">
        <f t="shared" si="105"/>
        <v>6.8534097665493432</v>
      </c>
      <c r="AI31" s="473">
        <f t="shared" si="105"/>
        <v>2.5308203716876996</v>
      </c>
      <c r="AJ31" s="473">
        <f t="shared" si="105"/>
        <v>3.1751913871811133</v>
      </c>
      <c r="AK31" s="473">
        <f t="shared" si="105"/>
        <v>6.9623665770477441</v>
      </c>
      <c r="AL31" s="473">
        <f t="shared" si="105"/>
        <v>4.1036293339101713</v>
      </c>
      <c r="AM31" s="473">
        <f t="shared" si="105"/>
        <v>5.2999930631169789</v>
      </c>
      <c r="AN31" s="473">
        <f t="shared" si="105"/>
        <v>3.7751838529914323</v>
      </c>
      <c r="AO31" s="473">
        <f t="shared" si="105"/>
        <v>2.4107490514823833</v>
      </c>
      <c r="AP31" s="473">
        <f t="shared" si="105"/>
        <v>3.2447226081487246</v>
      </c>
      <c r="AQ31" s="473">
        <f t="shared" si="105"/>
        <v>4.9417838750554157</v>
      </c>
      <c r="AR31" s="473">
        <f t="shared" si="105"/>
        <v>4.3436715355570046</v>
      </c>
      <c r="AS31" s="473">
        <f t="shared" si="105"/>
        <v>3.6886164814328715</v>
      </c>
      <c r="AT31" s="473">
        <f t="shared" si="105"/>
        <v>4.4651162081595208</v>
      </c>
      <c r="AU31" s="473">
        <f t="shared" si="105"/>
        <v>2.435641667756463</v>
      </c>
      <c r="AV31" s="473">
        <f t="shared" si="105"/>
        <v>2.4766651721872996</v>
      </c>
      <c r="AW31" s="473">
        <f t="shared" si="105"/>
        <v>3.4759310418452394</v>
      </c>
      <c r="AX31" s="473">
        <f t="shared" si="105"/>
        <v>1.2841918011712639</v>
      </c>
      <c r="AY31" s="473">
        <f t="shared" si="105"/>
        <v>5.3571855872648344</v>
      </c>
      <c r="AZ31" s="473">
        <f t="shared" si="105"/>
        <v>3.6632930448951417</v>
      </c>
      <c r="BA31" s="473">
        <f t="shared" si="105"/>
        <v>3.3892714647448581</v>
      </c>
      <c r="BB31" s="473">
        <f t="shared" si="105"/>
        <v>2.7610330166874348</v>
      </c>
      <c r="BC31" s="473">
        <f t="shared" si="105"/>
        <v>2.6006715660445261</v>
      </c>
      <c r="BD31" s="473">
        <f t="shared" si="105"/>
        <v>2.982275340178846</v>
      </c>
      <c r="BE31" s="473">
        <f t="shared" si="105"/>
        <v>3.08856283101579</v>
      </c>
      <c r="BF31" s="473">
        <f t="shared" si="105"/>
        <v>2.7933755535397786</v>
      </c>
      <c r="BG31" s="473">
        <f t="shared" si="105"/>
        <v>4.1137881594946881</v>
      </c>
      <c r="BH31" s="473">
        <f t="shared" si="105"/>
        <v>2.0592648649543737</v>
      </c>
      <c r="BI31" s="473">
        <f t="shared" si="105"/>
        <v>0.79513972865722471</v>
      </c>
      <c r="BJ31" s="473">
        <f t="shared" si="105"/>
        <v>2.1075528850936736</v>
      </c>
      <c r="BK31" s="473">
        <f t="shared" si="105"/>
        <v>5.0975368226060525</v>
      </c>
      <c r="BL31" s="473">
        <f t="shared" si="105"/>
        <v>3.4924405888952466</v>
      </c>
      <c r="BM31" s="473">
        <f t="shared" si="105"/>
        <v>3.6590381323671051</v>
      </c>
      <c r="BN31" s="473">
        <f t="shared" si="105"/>
        <v>4.9137475117414153</v>
      </c>
      <c r="BO31" s="473">
        <f t="shared" si="105"/>
        <v>5.8308237721721525</v>
      </c>
      <c r="BP31" s="473">
        <f t="shared" si="105"/>
        <v>4.7587764901926413</v>
      </c>
      <c r="BQ31" s="473">
        <f t="shared" si="105"/>
        <v>2.7017948315043978</v>
      </c>
      <c r="BR31" s="473">
        <f t="shared" si="105"/>
        <v>5.6849470887989648</v>
      </c>
      <c r="BS31" s="473">
        <f t="shared" si="105"/>
        <v>3.2822918567873063</v>
      </c>
      <c r="BT31" s="473">
        <f t="shared" si="105"/>
        <v>5.973566427768894</v>
      </c>
      <c r="BU31" s="473">
        <f t="shared" si="105"/>
        <v>4.1024109758951939</v>
      </c>
      <c r="BV31" s="473">
        <f t="shared" ref="BV31:CJ31" si="106">SUMPRODUCT(BV29:BV30,$C29:$C30)/SUM($C29:$C30)</f>
        <v>3.449015484446214</v>
      </c>
      <c r="BW31" s="473">
        <f t="shared" si="106"/>
        <v>5.7271705937676076</v>
      </c>
      <c r="BX31" s="473">
        <f t="shared" si="106"/>
        <v>2.0448681879267916</v>
      </c>
      <c r="BY31" s="473">
        <f t="shared" si="106"/>
        <v>7.79827827064027</v>
      </c>
      <c r="BZ31" s="473">
        <f t="shared" si="106"/>
        <v>1.9925190198768521</v>
      </c>
      <c r="CA31" s="473">
        <f t="shared" si="106"/>
        <v>4.1876016679206192</v>
      </c>
      <c r="CB31" s="473">
        <f t="shared" si="106"/>
        <v>2.5609595231966229</v>
      </c>
      <c r="CC31" s="473">
        <f t="shared" si="106"/>
        <v>2.5878035681054885</v>
      </c>
      <c r="CD31" s="473">
        <f t="shared" si="106"/>
        <v>5.0530486507621086</v>
      </c>
      <c r="CE31" s="473">
        <f t="shared" si="106"/>
        <v>3.0608234725727046</v>
      </c>
      <c r="CF31" s="473">
        <f t="shared" si="106"/>
        <v>2.0675285784007076</v>
      </c>
      <c r="CG31" s="473">
        <f t="shared" si="106"/>
        <v>3.2088475676101975</v>
      </c>
      <c r="CH31" s="473">
        <f t="shared" si="106"/>
        <v>4.9112486146835472</v>
      </c>
      <c r="CI31" s="473">
        <f t="shared" si="106"/>
        <v>1.3219663832469368</v>
      </c>
      <c r="CJ31" s="473">
        <f t="shared" si="106"/>
        <v>0.120981777220684</v>
      </c>
      <c r="CL31" s="585"/>
      <c r="CM31" s="462">
        <f t="shared" ref="CM31" si="107">SUMPRODUCT(CM29:CM30,$C29:$C30)/SUM($C29:$C30)</f>
        <v>5.0799926550360359</v>
      </c>
      <c r="CN31" s="462">
        <f t="shared" ref="CN31" si="108">SUMPRODUCT(CN29:CN30,$C29:$C30)/SUM($C29:$C30)</f>
        <v>4.0132891211023907</v>
      </c>
      <c r="CO31" s="462">
        <f t="shared" ref="CO31" si="109">SUMPRODUCT(CO29:CO30,$C29:$C30)/SUM($C29:$C30)</f>
        <v>3.1979657831370938</v>
      </c>
      <c r="CP31" s="462">
        <f t="shared" ref="CP31" si="110">SUMPRODUCT(CP29:CP30,$C29:$C30)/SUM($C29:$C30)</f>
        <v>3.884452937179721</v>
      </c>
      <c r="CQ31" s="462">
        <f t="shared" ref="CQ31" si="111">SUMPRODUCT(CQ29:CQ30,$C29:$C30)/SUM($C29:$C30)</f>
        <v>2.9607959239239205</v>
      </c>
      <c r="CR31" s="462">
        <f t="shared" ref="CR31" si="112">SUMPRODUCT(CR29:CR30,$C29:$C30)/SUM($C29:$C30)</f>
        <v>3.6234943723433699</v>
      </c>
      <c r="CS31" s="462">
        <f t="shared" ref="CS31" si="113">SUMPRODUCT(CS29:CS30,$C29:$C30)/SUM($C29:$C30)</f>
        <v>2.5138009631002509</v>
      </c>
      <c r="CT31" s="462">
        <f t="shared" ref="CT31" si="114">SUMPRODUCT(CT29:CT30,$C29:$C30)/SUM($C29:$C30)</f>
        <v>3.2130041233686559</v>
      </c>
      <c r="CU31" s="462">
        <f t="shared" ref="CU31" si="115">SUMPRODUCT(CU29:CU30,$C29:$C30)/SUM($C29:$C30)</f>
        <v>2.5442245255738225</v>
      </c>
      <c r="CV31" s="462">
        <f t="shared" ref="CV31:CY31" si="116">SUMPRODUCT(CV29:CV30,$C29:$C30)/SUM($C29:$C30)</f>
        <v>2.9909763120097117</v>
      </c>
      <c r="CW31" s="462">
        <f t="shared" si="116"/>
        <v>3.1917744051146935</v>
      </c>
      <c r="CX31" s="462">
        <f t="shared" si="116"/>
        <v>3.2039329409653563</v>
      </c>
      <c r="CY31" s="462">
        <f t="shared" si="116"/>
        <v>3.4577097783433919</v>
      </c>
      <c r="CZ31" s="462">
        <f t="shared" ref="CZ31" si="117">SUMPRODUCT(CZ29:CZ30,$C29:$C30)/SUM($C29:$C30)</f>
        <v>3.7141573524598104</v>
      </c>
      <c r="DA31" s="462">
        <f t="shared" ref="DA31" si="118">SUMPRODUCT(DA29:DA30,$C29:$C30)/SUM($C29:$C30)</f>
        <v>2.7964438434471655</v>
      </c>
      <c r="DB31" s="462">
        <f t="shared" ref="DB31" si="119">SUMPRODUCT(DB29:DB30,$C29:$C30)/SUM($C29:$C30)</f>
        <v>3.3655354194041651</v>
      </c>
    </row>
    <row r="32" spans="1:106" s="428" customFormat="1" ht="15.75" customHeight="1" thickBot="1" x14ac:dyDescent="0.3">
      <c r="A32" s="630">
        <f>'MD-ratings-year'!A32</f>
        <v>0.2</v>
      </c>
      <c r="B32" s="633" t="str">
        <f>'MD-ratings-year'!B32</f>
        <v>Activity</v>
      </c>
      <c r="C32" s="435">
        <f>'MD-ratings-year'!C32</f>
        <v>0.1</v>
      </c>
      <c r="D32" s="436" t="str">
        <f>'MD-ratings-year'!D32</f>
        <v>Working capital turnover ratio</v>
      </c>
      <c r="E32" s="438" t="str">
        <f>'MD-ratings-year'!E32</f>
        <v>Net Sales ÷ ((Beginning Working Capital + Ending Working Capital) / 2) Note: Working Capital = Current Assets Minus Current Liabilities)</v>
      </c>
      <c r="F32" s="440" t="s">
        <v>400</v>
      </c>
      <c r="G32" s="653"/>
      <c r="I32" s="470">
        <f>('SK-ratings-year'!W32*'MD-ratings-year'!$I32+'SK-ratings-year'!W15*'MD-ratings-year'!$H15)/('MD-ratings-year'!$I32+'MD-ratings-year'!$H15)</f>
        <v>2.4651786999794405</v>
      </c>
      <c r="J32" s="470">
        <f>('SK-ratings-year'!X32*'MD-ratings-year'!$I32+'SK-ratings-year'!X15*'MD-ratings-year'!$H15)/('MD-ratings-year'!$I32+'MD-ratings-year'!$H15)</f>
        <v>3.1630466216855067</v>
      </c>
      <c r="K32" s="470">
        <f>('SK-ratings-year'!Y32*'MD-ratings-year'!$I32+'SK-ratings-year'!Y15*'MD-ratings-year'!$H15)/('MD-ratings-year'!$I32+'MD-ratings-year'!$H15)</f>
        <v>6.9828106518851554</v>
      </c>
      <c r="L32" s="470">
        <f>('SK-ratings-year'!Z32*'MD-ratings-year'!$I32+'SK-ratings-year'!Z15*'MD-ratings-year'!$H15)/('MD-ratings-year'!$I32+'MD-ratings-year'!$H15)</f>
        <v>7.1107165361682529</v>
      </c>
      <c r="M32" s="470">
        <f>('SK-ratings-year'!AA32*'MD-ratings-year'!$I32+'SK-ratings-year'!AA15*'MD-ratings-year'!$H15)/('MD-ratings-year'!$I32+'MD-ratings-year'!$H15)</f>
        <v>5.0534775286360469</v>
      </c>
      <c r="N32" s="470">
        <f>('SK-ratings-year'!AB32*'MD-ratings-year'!$I32+'SK-ratings-year'!AB15*'MD-ratings-year'!$H15)/('MD-ratings-year'!$I32+'MD-ratings-year'!$H15)</f>
        <v>6.4028152312164224</v>
      </c>
      <c r="O32" s="470">
        <f>('SK-ratings-year'!AC32*'MD-ratings-year'!$I32+'SK-ratings-year'!AC15*'MD-ratings-year'!$H15)/('MD-ratings-year'!$I32+'MD-ratings-year'!$H15)</f>
        <v>6.1323558253481378</v>
      </c>
      <c r="P32" s="470">
        <f>('SK-ratings-year'!AD32*'MD-ratings-year'!$I32+'SK-ratings-year'!AD15*'MD-ratings-year'!$H15)/('MD-ratings-year'!$I32+'MD-ratings-year'!$H15)</f>
        <v>6.248414437818596</v>
      </c>
      <c r="Q32" s="470">
        <f>('SK-ratings-year'!AE32*'MD-ratings-year'!$I32+'SK-ratings-year'!AE15*'MD-ratings-year'!$H15)/('MD-ratings-year'!$I32+'MD-ratings-year'!$H15)</f>
        <v>7.5798055877357031</v>
      </c>
      <c r="R32" s="470">
        <f>('SK-ratings-year'!AF32*'MD-ratings-year'!$I32+'SK-ratings-year'!AF15*'MD-ratings-year'!$H15)/('MD-ratings-year'!$I32+'MD-ratings-year'!$H15)</f>
        <v>10</v>
      </c>
      <c r="S32" s="470">
        <f>('SK-ratings-year'!AG32*'MD-ratings-year'!$I32+'SK-ratings-year'!AG15*'MD-ratings-year'!$H15)/('MD-ratings-year'!$I32+'MD-ratings-year'!$H15)</f>
        <v>5.1220421210607663</v>
      </c>
      <c r="T32" s="470">
        <f>('SK-ratings-year'!AH32*'MD-ratings-year'!$I32+'SK-ratings-year'!AH15*'MD-ratings-year'!$H15)/('MD-ratings-year'!$I32+'MD-ratings-year'!$H15)</f>
        <v>1.6124329230027794</v>
      </c>
      <c r="U32" s="470">
        <f>('SK-ratings-year'!AI32*'MD-ratings-year'!$I32+'SK-ratings-year'!AI15*'MD-ratings-year'!$H15)/('MD-ratings-year'!$I32+'MD-ratings-year'!$H15)</f>
        <v>9.1595738074200064</v>
      </c>
      <c r="V32" s="470">
        <f>('SK-ratings-year'!AJ32*'MD-ratings-year'!$I32+'SK-ratings-year'!AJ15*'MD-ratings-year'!$H15)/('MD-ratings-year'!$I32+'MD-ratings-year'!$H15)</f>
        <v>10</v>
      </c>
      <c r="W32" s="470">
        <f>('SK-ratings-year'!AK32*'MD-ratings-year'!$I32+'SK-ratings-year'!AK15*'MD-ratings-year'!$H15)/('MD-ratings-year'!$I32+'MD-ratings-year'!$H15)</f>
        <v>5.860153023873508</v>
      </c>
      <c r="X32" s="470">
        <f>('SK-ratings-year'!AL32*'MD-ratings-year'!$I32+'SK-ratings-year'!AL15*'MD-ratings-year'!$H15)/('MD-ratings-year'!$I32+'MD-ratings-year'!$H15)</f>
        <v>2.9352661359919621</v>
      </c>
      <c r="Y32" s="470">
        <f>('SK-ratings-year'!AM32*'MD-ratings-year'!$I32+'SK-ratings-year'!AM15*'MD-ratings-year'!$H15)/('MD-ratings-year'!$I32+'MD-ratings-year'!$H15)</f>
        <v>5.2308309198176408</v>
      </c>
      <c r="Z32" s="470">
        <f>('SK-ratings-year'!AN32*'MD-ratings-year'!$I32+'SK-ratings-year'!AN15*'MD-ratings-year'!$H15)/('MD-ratings-year'!$I32+'MD-ratings-year'!$H15)</f>
        <v>8.4410284055249214</v>
      </c>
      <c r="AA32" s="470">
        <f>('SK-ratings-year'!AO32*'MD-ratings-year'!$I32+'SK-ratings-year'!AO15*'MD-ratings-year'!$H15)/('MD-ratings-year'!$I32+'MD-ratings-year'!$H15)</f>
        <v>4.897777823665888</v>
      </c>
      <c r="AB32" s="470">
        <f>('SK-ratings-year'!AP32*'MD-ratings-year'!$I32+'SK-ratings-year'!AP15*'MD-ratings-year'!$H15)/('MD-ratings-year'!$I32+'MD-ratings-year'!$H15)</f>
        <v>10</v>
      </c>
      <c r="AC32" s="470">
        <f>('SK-ratings-year'!AQ32*'MD-ratings-year'!$I32+'SK-ratings-year'!AQ15*'MD-ratings-year'!$H15)/('MD-ratings-year'!$I32+'MD-ratings-year'!$H15)</f>
        <v>0.10378345751027311</v>
      </c>
      <c r="AD32" s="470">
        <f>('SK-ratings-year'!AR32*'MD-ratings-year'!$I32+'SK-ratings-year'!AR15*'MD-ratings-year'!$H15)/('MD-ratings-year'!$I32+'MD-ratings-year'!$H15)</f>
        <v>4.1434484757023631</v>
      </c>
      <c r="AE32" s="470">
        <f>('SK-ratings-year'!AS32*'MD-ratings-year'!$I32+'SK-ratings-year'!AS15*'MD-ratings-year'!$H15)/('MD-ratings-year'!$I32+'MD-ratings-year'!$H15)</f>
        <v>4.6551130322767635</v>
      </c>
      <c r="AF32" s="470">
        <f>('SK-ratings-year'!AT32*'MD-ratings-year'!$I32+'SK-ratings-year'!AT15*'MD-ratings-year'!$H15)/('MD-ratings-year'!$I32+'MD-ratings-year'!$H15)</f>
        <v>10</v>
      </c>
      <c r="AG32" s="470">
        <f>('SK-ratings-year'!AU32*'MD-ratings-year'!$I32+'SK-ratings-year'!AU15*'MD-ratings-year'!$H15)/('MD-ratings-year'!$I32+'MD-ratings-year'!$H15)</f>
        <v>8.764885423388046</v>
      </c>
      <c r="AH32" s="470">
        <f>('SK-ratings-year'!AV32*'MD-ratings-year'!$I32+'SK-ratings-year'!AV15*'MD-ratings-year'!$H15)/('MD-ratings-year'!$I32+'MD-ratings-year'!$H15)</f>
        <v>1.3706026995221727</v>
      </c>
      <c r="AI32" s="470">
        <f>('SK-ratings-year'!AW32*'MD-ratings-year'!$I32+'SK-ratings-year'!AW15*'MD-ratings-year'!$H15)/('MD-ratings-year'!$I32+'MD-ratings-year'!$H15)</f>
        <v>4.854892333933031</v>
      </c>
      <c r="AJ32" s="470">
        <f>('SK-ratings-year'!AX32*'MD-ratings-year'!$I32+'SK-ratings-year'!AX15*'MD-ratings-year'!$H15)/('MD-ratings-year'!$I32+'MD-ratings-year'!$H15)</f>
        <v>2.5703909609233544</v>
      </c>
      <c r="AK32" s="470">
        <f>('SK-ratings-year'!AY32*'MD-ratings-year'!$I32+'SK-ratings-year'!AY15*'MD-ratings-year'!$H15)/('MD-ratings-year'!$I32+'MD-ratings-year'!$H15)</f>
        <v>4.1006285958696234</v>
      </c>
      <c r="AL32" s="470">
        <f>('SK-ratings-year'!AZ32*'MD-ratings-year'!$I32+'SK-ratings-year'!AZ15*'MD-ratings-year'!$H15)/('MD-ratings-year'!$I32+'MD-ratings-year'!$H15)</f>
        <v>4.0393993092839304</v>
      </c>
      <c r="AM32" s="470">
        <f>('SK-ratings-year'!BA32*'MD-ratings-year'!$I32+'SK-ratings-year'!BA15*'MD-ratings-year'!$H15)/('MD-ratings-year'!$I32+'MD-ratings-year'!$H15)</f>
        <v>4.6491997216031917</v>
      </c>
      <c r="AN32" s="470">
        <f>('SK-ratings-year'!BB32*'MD-ratings-year'!$I32+'SK-ratings-year'!BB15*'MD-ratings-year'!$H15)/('MD-ratings-year'!$I32+'MD-ratings-year'!$H15)</f>
        <v>3.4265697512341164</v>
      </c>
      <c r="AO32" s="470">
        <f>('SK-ratings-year'!BC32*'MD-ratings-year'!$I32+'SK-ratings-year'!BC15*'MD-ratings-year'!$H15)/('MD-ratings-year'!$I32+'MD-ratings-year'!$H15)</f>
        <v>8.6389682578697613</v>
      </c>
      <c r="AP32" s="470">
        <f>('SK-ratings-year'!BD32*'MD-ratings-year'!$I32+'SK-ratings-year'!BD15*'MD-ratings-year'!$H15)/('MD-ratings-year'!$I32+'MD-ratings-year'!$H15)</f>
        <v>3.1987149972579334</v>
      </c>
      <c r="AQ32" s="470">
        <f>('SK-ratings-year'!BE32*'MD-ratings-year'!$I32+'SK-ratings-year'!BE15*'MD-ratings-year'!$H15)/('MD-ratings-year'!$I32+'MD-ratings-year'!$H15)</f>
        <v>3.1600894022552972</v>
      </c>
      <c r="AR32" s="470">
        <f>('SK-ratings-year'!BF32*'MD-ratings-year'!$I32+'SK-ratings-year'!BF15*'MD-ratings-year'!$H15)/('MD-ratings-year'!$I32+'MD-ratings-year'!$H15)</f>
        <v>3.1437738600981753</v>
      </c>
      <c r="AS32" s="470">
        <f>('SK-ratings-year'!BG32*'MD-ratings-year'!$I32+'SK-ratings-year'!BG15*'MD-ratings-year'!$H15)/('MD-ratings-year'!$I32+'MD-ratings-year'!$H15)</f>
        <v>5.7454719022519418</v>
      </c>
      <c r="AT32" s="470">
        <f>('SK-ratings-year'!BH32*'MD-ratings-year'!$I32+'SK-ratings-year'!BH15*'MD-ratings-year'!$H15)/('MD-ratings-year'!$I32+'MD-ratings-year'!$H15)</f>
        <v>7.1177470524644066</v>
      </c>
      <c r="AU32" s="470">
        <f>('SK-ratings-year'!BI32*'MD-ratings-year'!$I32+'SK-ratings-year'!BI15*'MD-ratings-year'!$H15)/('MD-ratings-year'!$I32+'MD-ratings-year'!$H15)</f>
        <v>9.5320809115405361</v>
      </c>
      <c r="AV32" s="470">
        <f>('SK-ratings-year'!BJ32*'MD-ratings-year'!$I32+'SK-ratings-year'!BJ15*'MD-ratings-year'!$H15)/('MD-ratings-year'!$I32+'MD-ratings-year'!$H15)</f>
        <v>8.7074253661709946</v>
      </c>
      <c r="AW32" s="470">
        <f>('SK-ratings-year'!BK32*'MD-ratings-year'!$I32+'SK-ratings-year'!BK15*'MD-ratings-year'!$H15)/('MD-ratings-year'!$I32+'MD-ratings-year'!$H15)</f>
        <v>5.9238639452113571</v>
      </c>
      <c r="AX32" s="470">
        <f>('SK-ratings-year'!BL32*'MD-ratings-year'!$I32+'SK-ratings-year'!BL15*'MD-ratings-year'!$H15)/('MD-ratings-year'!$I32+'MD-ratings-year'!$H15)</f>
        <v>8.3779615365425038</v>
      </c>
      <c r="AY32" s="470">
        <f>('SK-ratings-year'!BM32*'MD-ratings-year'!$I32+'SK-ratings-year'!BM15*'MD-ratings-year'!$H15)/('MD-ratings-year'!$I32+'MD-ratings-year'!$H15)</f>
        <v>6.0247576808108221</v>
      </c>
      <c r="AZ32" s="470">
        <f>('SK-ratings-year'!BN32*'MD-ratings-year'!$I32+'SK-ratings-year'!BN15*'MD-ratings-year'!$H15)/('MD-ratings-year'!$I32+'MD-ratings-year'!$H15)</f>
        <v>7.6348754389584803</v>
      </c>
      <c r="BA32" s="470">
        <f>('SK-ratings-year'!BO32*'MD-ratings-year'!$I32+'SK-ratings-year'!BO15*'MD-ratings-year'!$H15)/('MD-ratings-year'!$I32+'MD-ratings-year'!$H15)</f>
        <v>6.5542071601267269</v>
      </c>
      <c r="BB32" s="470">
        <f>('SK-ratings-year'!BP32*'MD-ratings-year'!$I32+'SK-ratings-year'!BP15*'MD-ratings-year'!$H15)/('MD-ratings-year'!$I32+'MD-ratings-year'!$H15)</f>
        <v>8.655652239901297</v>
      </c>
      <c r="BC32" s="470">
        <f>('SK-ratings-year'!BQ32*'MD-ratings-year'!$I32+'SK-ratings-year'!BQ15*'MD-ratings-year'!$H15)/('MD-ratings-year'!$I32+'MD-ratings-year'!$H15)</f>
        <v>2.4769651980078722</v>
      </c>
      <c r="BD32" s="470">
        <f>('SK-ratings-year'!BR32*'MD-ratings-year'!$I32+'SK-ratings-year'!BR15*'MD-ratings-year'!$H15)/('MD-ratings-year'!$I32+'MD-ratings-year'!$H15)</f>
        <v>2.0189734518828191</v>
      </c>
      <c r="BE32" s="470">
        <f>('SK-ratings-year'!BS32*'MD-ratings-year'!$I32+'SK-ratings-year'!BS15*'MD-ratings-year'!$H15)/('MD-ratings-year'!$I32+'MD-ratings-year'!$H15)</f>
        <v>8.3041568549962079</v>
      </c>
      <c r="BF32" s="470">
        <f>('SK-ratings-year'!BT32*'MD-ratings-year'!$I32+'SK-ratings-year'!BT15*'MD-ratings-year'!$H15)/('MD-ratings-year'!$I32+'MD-ratings-year'!$H15)</f>
        <v>4.6140477475452792</v>
      </c>
      <c r="BG32" s="470">
        <f>('SK-ratings-year'!BU32*'MD-ratings-year'!$I32+'SK-ratings-year'!BU15*'MD-ratings-year'!$H15)/('MD-ratings-year'!$I32+'MD-ratings-year'!$H15)</f>
        <v>7.7335170166053819</v>
      </c>
      <c r="BH32" s="470">
        <f>('SK-ratings-year'!BV32*'MD-ratings-year'!$I32+'SK-ratings-year'!BV15*'MD-ratings-year'!$H15)/('MD-ratings-year'!$I32+'MD-ratings-year'!$H15)</f>
        <v>0.67810576464827022</v>
      </c>
      <c r="BI32" s="470">
        <f>('SK-ratings-year'!BW32*'MD-ratings-year'!$I32+'SK-ratings-year'!BW15*'MD-ratings-year'!$H15)/('MD-ratings-year'!$I32+'MD-ratings-year'!$H15)</f>
        <v>7.4153740061036046</v>
      </c>
      <c r="BJ32" s="470">
        <f>('SK-ratings-year'!BX32*'MD-ratings-year'!$I32+'SK-ratings-year'!BX15*'MD-ratings-year'!$H15)/('MD-ratings-year'!$I32+'MD-ratings-year'!$H15)</f>
        <v>3.2647529751140518</v>
      </c>
      <c r="BK32" s="470">
        <f>('SK-ratings-year'!BY32*'MD-ratings-year'!$I32+'SK-ratings-year'!BY15*'MD-ratings-year'!$H15)/('MD-ratings-year'!$I32+'MD-ratings-year'!$H15)</f>
        <v>3.524971766117631</v>
      </c>
      <c r="BL32" s="470">
        <f>('SK-ratings-year'!BZ32*'MD-ratings-year'!$I32+'SK-ratings-year'!BZ15*'MD-ratings-year'!$H15)/('MD-ratings-year'!$I32+'MD-ratings-year'!$H15)</f>
        <v>3.7960309256813991</v>
      </c>
      <c r="BM32" s="470">
        <f>('SK-ratings-year'!CA32*'MD-ratings-year'!$I32+'SK-ratings-year'!CA15*'MD-ratings-year'!$H15)/('MD-ratings-year'!$I32+'MD-ratings-year'!$H15)</f>
        <v>9.1558306954469426</v>
      </c>
      <c r="BN32" s="470">
        <f>('SK-ratings-year'!CB32*'MD-ratings-year'!$I32+'SK-ratings-year'!CB15*'MD-ratings-year'!$H15)/('MD-ratings-year'!$I32+'MD-ratings-year'!$H15)</f>
        <v>3.025346835006562</v>
      </c>
      <c r="BO32" s="470">
        <f>('SK-ratings-year'!CC32*'MD-ratings-year'!$I32+'SK-ratings-year'!CC15*'MD-ratings-year'!$H15)/('MD-ratings-year'!$I32+'MD-ratings-year'!$H15)</f>
        <v>2.2485381029959339</v>
      </c>
      <c r="BP32" s="470">
        <f>('SK-ratings-year'!CD32*'MD-ratings-year'!$I32+'SK-ratings-year'!CD15*'MD-ratings-year'!$H15)/('MD-ratings-year'!$I32+'MD-ratings-year'!$H15)</f>
        <v>10</v>
      </c>
      <c r="BQ32" s="470">
        <f>('SK-ratings-year'!CE32*'MD-ratings-year'!$I32+'SK-ratings-year'!CE15*'MD-ratings-year'!$H15)/('MD-ratings-year'!$I32+'MD-ratings-year'!$H15)</f>
        <v>5.6997013608671905</v>
      </c>
      <c r="BR32" s="470">
        <f>('SK-ratings-year'!CF32*'MD-ratings-year'!$I32+'SK-ratings-year'!CF15*'MD-ratings-year'!$H15)/('MD-ratings-year'!$I32+'MD-ratings-year'!$H15)</f>
        <v>2.798034717822496</v>
      </c>
      <c r="BS32" s="470">
        <f>('SK-ratings-year'!CG32*'MD-ratings-year'!$I32+'SK-ratings-year'!CG15*'MD-ratings-year'!$H15)/('MD-ratings-year'!$I32+'MD-ratings-year'!$H15)</f>
        <v>3.649757804058118</v>
      </c>
      <c r="BT32" s="470">
        <f>('SK-ratings-year'!CH32*'MD-ratings-year'!$I32+'SK-ratings-year'!CH15*'MD-ratings-year'!$H15)/('MD-ratings-year'!$I32+'MD-ratings-year'!$H15)</f>
        <v>4.241645418580573</v>
      </c>
      <c r="BU32" s="470">
        <f>('SK-ratings-year'!CI32*'MD-ratings-year'!$I32+'SK-ratings-year'!CI15*'MD-ratings-year'!$H15)/('MD-ratings-year'!$I32+'MD-ratings-year'!$H15)</f>
        <v>4.0694110580710703</v>
      </c>
      <c r="BV32" s="470">
        <f>('SK-ratings-year'!CJ32*'MD-ratings-year'!$I32+'SK-ratings-year'!CJ15*'MD-ratings-year'!$H15)/('MD-ratings-year'!$I32+'MD-ratings-year'!$H15)</f>
        <v>7.4684197054383441</v>
      </c>
      <c r="BW32" s="470">
        <f>('SK-ratings-year'!CK32*'MD-ratings-year'!$I32+'SK-ratings-year'!CK15*'MD-ratings-year'!$H15)/('MD-ratings-year'!$I32+'MD-ratings-year'!$H15)</f>
        <v>4.2965561274856237</v>
      </c>
      <c r="BX32" s="470">
        <f>('SK-ratings-year'!CL32*'MD-ratings-year'!$I32+'SK-ratings-year'!CL15*'MD-ratings-year'!$H15)/('MD-ratings-year'!$I32+'MD-ratings-year'!$H15)</f>
        <v>8.3813283336560076</v>
      </c>
      <c r="BY32" s="470">
        <f>('SK-ratings-year'!CM32*'MD-ratings-year'!$I32+'SK-ratings-year'!CM15*'MD-ratings-year'!$H15)/('MD-ratings-year'!$I32+'MD-ratings-year'!$H15)</f>
        <v>2.2663735868110058</v>
      </c>
      <c r="BZ32" s="470">
        <f>('SK-ratings-year'!CN32*'MD-ratings-year'!$I32+'SK-ratings-year'!CN15*'MD-ratings-year'!$H15)/('MD-ratings-year'!$I32+'MD-ratings-year'!$H15)</f>
        <v>2.8361998620397775</v>
      </c>
      <c r="CA32" s="470">
        <f>('SK-ratings-year'!CO32*'MD-ratings-year'!$I32+'SK-ratings-year'!CO15*'MD-ratings-year'!$H15)/('MD-ratings-year'!$I32+'MD-ratings-year'!$H15)</f>
        <v>9.9313774559465333</v>
      </c>
      <c r="CB32" s="470">
        <f>('SK-ratings-year'!CP32*'MD-ratings-year'!$I32+'SK-ratings-year'!CP15*'MD-ratings-year'!$H15)/('MD-ratings-year'!$I32+'MD-ratings-year'!$H15)</f>
        <v>10</v>
      </c>
      <c r="CC32" s="470">
        <f>('SK-ratings-year'!CQ32*'MD-ratings-year'!$I32+'SK-ratings-year'!CQ15*'MD-ratings-year'!$H15)/('MD-ratings-year'!$I32+'MD-ratings-year'!$H15)</f>
        <v>0.80774925582748669</v>
      </c>
      <c r="CD32" s="470">
        <f>('SK-ratings-year'!CR32*'MD-ratings-year'!$I32+'SK-ratings-year'!CR15*'MD-ratings-year'!$H15)/('MD-ratings-year'!$I32+'MD-ratings-year'!$H15)</f>
        <v>4.0148273672201915</v>
      </c>
      <c r="CE32" s="470">
        <f>('SK-ratings-year'!CS32*'MD-ratings-year'!$I32+'SK-ratings-year'!CS15*'MD-ratings-year'!$H15)/('MD-ratings-year'!$I32+'MD-ratings-year'!$H15)</f>
        <v>5.0128268357392916</v>
      </c>
      <c r="CF32" s="470">
        <f>('SK-ratings-year'!CT32*'MD-ratings-year'!$I32+'SK-ratings-year'!CT15*'MD-ratings-year'!$H15)/('MD-ratings-year'!$I32+'MD-ratings-year'!$H15)</f>
        <v>7.0528446648552769</v>
      </c>
      <c r="CG32" s="470">
        <f>('SK-ratings-year'!CU32*'MD-ratings-year'!$I32+'SK-ratings-year'!CU15*'MD-ratings-year'!$H15)/('MD-ratings-year'!$I32+'MD-ratings-year'!$H15)</f>
        <v>4.570136283790255</v>
      </c>
      <c r="CH32" s="470">
        <f>('SK-ratings-year'!CV32*'MD-ratings-year'!$I32+'SK-ratings-year'!CV15*'MD-ratings-year'!$H15)/('MD-ratings-year'!$I32+'MD-ratings-year'!$H15)</f>
        <v>3.5760343934788321</v>
      </c>
      <c r="CI32" s="470">
        <f>('SK-ratings-year'!CW32*'MD-ratings-year'!$I32+'SK-ratings-year'!CW15*'MD-ratings-year'!$H15)/('MD-ratings-year'!$I32+'MD-ratings-year'!$H15)</f>
        <v>7.9886231863746655</v>
      </c>
      <c r="CJ32" s="470">
        <f>('SK-ratings-year'!CX32*'MD-ratings-year'!$I32+'SK-ratings-year'!CX15*'MD-ratings-year'!$H15)/('MD-ratings-year'!$I32+'MD-ratings-year'!$H15)</f>
        <v>8.3782495218062287</v>
      </c>
      <c r="CL32" s="546"/>
      <c r="CM32" s="455">
        <f>('SK-ratings-year'!DA32*'MD-ratings-year'!$I32+'SK-ratings-year'!DA15*'MD-ratings-year'!$H15)/('MD-ratings-year'!$I32+'MD-ratings-year'!$H15)</f>
        <v>5.909854885267932</v>
      </c>
      <c r="CN32" s="455">
        <f>('SK-ratings-year'!DB32*'MD-ratings-year'!$I32+'SK-ratings-year'!DB15*'MD-ratings-year'!$H15)/('MD-ratings-year'!$I32+'MD-ratings-year'!$H15)</f>
        <v>5.4594343908899816</v>
      </c>
      <c r="CO32" s="455">
        <f>('SK-ratings-year'!DC32*'MD-ratings-year'!$I32+'SK-ratings-year'!DC15*'MD-ratings-year'!$H15)/('MD-ratings-year'!$I32+'MD-ratings-year'!$H15)</f>
        <v>5.4032512304232387</v>
      </c>
      <c r="CP32" s="455">
        <f>('SK-ratings-year'!DD32*'MD-ratings-year'!$I32+'SK-ratings-year'!DD15*'MD-ratings-year'!$H15)/('MD-ratings-year'!$I32+'MD-ratings-year'!$H15)</f>
        <v>5.4148179271551777</v>
      </c>
      <c r="CQ32" s="455">
        <f>('SK-ratings-year'!DE32*'MD-ratings-year'!$I32+'SK-ratings-year'!DE15*'MD-ratings-year'!$H15)/('MD-ratings-year'!$I32+'MD-ratings-year'!$H15)</f>
        <v>4.1358450606778092</v>
      </c>
      <c r="CR32" s="455">
        <f>('SK-ratings-year'!DF32*'MD-ratings-year'!$I32+'SK-ratings-year'!DF15*'MD-ratings-year'!$H15)/('MD-ratings-year'!$I32+'MD-ratings-year'!$H15)</f>
        <v>4.4812864345990642</v>
      </c>
      <c r="CS32" s="455">
        <f>('SK-ratings-year'!DG32*'MD-ratings-year'!$I32+'SK-ratings-year'!DG15*'MD-ratings-year'!$H15)/('MD-ratings-year'!$I32+'MD-ratings-year'!$H15)</f>
        <v>7.2688599509689391</v>
      </c>
      <c r="CT32" s="455">
        <f>('SK-ratings-year'!DH32*'MD-ratings-year'!$I32+'SK-ratings-year'!DH15*'MD-ratings-year'!$H15)/('MD-ratings-year'!$I32+'MD-ratings-year'!$H15)</f>
        <v>6.3030908472021787</v>
      </c>
      <c r="CU32" s="455">
        <f>('SK-ratings-year'!DI32*'MD-ratings-year'!$I32+'SK-ratings-year'!DI15*'MD-ratings-year'!$H15)/('MD-ratings-year'!$I32+'MD-ratings-year'!$H15)</f>
        <v>8.3234405649214711</v>
      </c>
      <c r="CV32" s="455">
        <f>('SK-ratings-year'!DJ32*'MD-ratings-year'!$I32+'SK-ratings-year'!DJ15*'MD-ratings-year'!$H15)/('MD-ratings-year'!$I32+'MD-ratings-year'!$H15)</f>
        <v>7.4018254680477664</v>
      </c>
      <c r="CW32" s="455">
        <f>('SK-ratings-year'!DK32*'MD-ratings-year'!$I32+'SK-ratings-year'!DK15*'MD-ratings-year'!$H15)/('MD-ratings-year'!$I32+'MD-ratings-year'!$H15)</f>
        <v>6.4513934474720775</v>
      </c>
      <c r="CX32" s="455">
        <f>('SK-ratings-year'!DL32*'MD-ratings-year'!$I32+'SK-ratings-year'!DL15*'MD-ratings-year'!$H15)/('MD-ratings-year'!$I32+'MD-ratings-year'!$H15)</f>
        <v>5.8168571381957932</v>
      </c>
      <c r="CY32" s="455">
        <f>('SK-ratings-year'!DM32*'MD-ratings-year'!$I32+'SK-ratings-year'!DM15*'MD-ratings-year'!$H15)/('MD-ratings-year'!$I32+'MD-ratings-year'!$H15)</f>
        <v>6.3416676462099719</v>
      </c>
      <c r="CZ32" s="455">
        <f>('SK-ratings-year'!DN32*'MD-ratings-year'!$I32+'SK-ratings-year'!DN15*'MD-ratings-year'!$H15)/('MD-ratings-year'!$I32+'MD-ratings-year'!$H15)</f>
        <v>5.1971764130333913</v>
      </c>
      <c r="DA32" s="455">
        <f>('SK-ratings-year'!DO32*'MD-ratings-year'!$I32+'SK-ratings-year'!DO15*'MD-ratings-year'!$H15)/('MD-ratings-year'!$I32+'MD-ratings-year'!$H15)</f>
        <v>7.0563792116703894</v>
      </c>
      <c r="DB32" s="455">
        <f>('SK-ratings-year'!DP32*'MD-ratings-year'!$I32+'SK-ratings-year'!DP15*'MD-ratings-year'!$H15)/('MD-ratings-year'!$I32+'MD-ratings-year'!$H15)</f>
        <v>5.903957936031242</v>
      </c>
    </row>
    <row r="33" spans="1:106" ht="15.75" customHeight="1" thickBot="1" x14ac:dyDescent="0.3">
      <c r="A33" s="631"/>
      <c r="B33" s="634"/>
      <c r="C33" s="235">
        <f>'MD-ratings-year'!C33</f>
        <v>0.1</v>
      </c>
      <c r="D33" s="434" t="str">
        <f>'MD-ratings-year'!D33</f>
        <v>Accounts receivable turnover ratio</v>
      </c>
      <c r="E33" s="437" t="str">
        <f>'MD-ratings-year'!E33</f>
        <v>Net Sales ÷ ((Beginning Accounts Receivable + Ending Accounts Receivable) / 2)</v>
      </c>
      <c r="F33" s="440" t="s">
        <v>400</v>
      </c>
      <c r="G33" s="653"/>
      <c r="I33" s="472">
        <f>('SK-ratings-year'!W33*'MD-ratings-year'!$I33+'SK-ratings-year'!W16*'MD-ratings-year'!$H16)/('MD-ratings-year'!$I33+'MD-ratings-year'!$H16)</f>
        <v>4.6299957832348753</v>
      </c>
      <c r="J33" s="472">
        <f>('SK-ratings-year'!X33*'MD-ratings-year'!$I33+'SK-ratings-year'!X16*'MD-ratings-year'!$H16)/('MD-ratings-year'!$I33+'MD-ratings-year'!$H16)</f>
        <v>5.1457590713931785</v>
      </c>
      <c r="K33" s="472">
        <f>('SK-ratings-year'!Y33*'MD-ratings-year'!$I33+'SK-ratings-year'!Y16*'MD-ratings-year'!$H16)/('MD-ratings-year'!$I33+'MD-ratings-year'!$H16)</f>
        <v>3.1833287550726568</v>
      </c>
      <c r="L33" s="472">
        <f>('SK-ratings-year'!Z33*'MD-ratings-year'!$I33+'SK-ratings-year'!Z16*'MD-ratings-year'!$H16)/('MD-ratings-year'!$I33+'MD-ratings-year'!$H16)</f>
        <v>5.6201740043399377</v>
      </c>
      <c r="M33" s="472">
        <f>('SK-ratings-year'!AA33*'MD-ratings-year'!$I33+'SK-ratings-year'!AA16*'MD-ratings-year'!$H16)/('MD-ratings-year'!$I33+'MD-ratings-year'!$H16)</f>
        <v>2.3177876091563383</v>
      </c>
      <c r="N33" s="472">
        <f>('SK-ratings-year'!AB33*'MD-ratings-year'!$I33+'SK-ratings-year'!AB16*'MD-ratings-year'!$H16)/('MD-ratings-year'!$I33+'MD-ratings-year'!$H16)</f>
        <v>8.0941564288450856</v>
      </c>
      <c r="O33" s="472">
        <f>('SK-ratings-year'!AC33*'MD-ratings-year'!$I33+'SK-ratings-year'!AC16*'MD-ratings-year'!$H16)/('MD-ratings-year'!$I33+'MD-ratings-year'!$H16)</f>
        <v>3.3352338561933688</v>
      </c>
      <c r="P33" s="472">
        <f>('SK-ratings-year'!AD33*'MD-ratings-year'!$I33+'SK-ratings-year'!AD16*'MD-ratings-year'!$H16)/('MD-ratings-year'!$I33+'MD-ratings-year'!$H16)</f>
        <v>2.4743833210485096</v>
      </c>
      <c r="Q33" s="472">
        <f>('SK-ratings-year'!AE33*'MD-ratings-year'!$I33+'SK-ratings-year'!AE16*'MD-ratings-year'!$H16)/('MD-ratings-year'!$I33+'MD-ratings-year'!$H16)</f>
        <v>2.6149982282161317</v>
      </c>
      <c r="R33" s="472">
        <f>('SK-ratings-year'!AF33*'MD-ratings-year'!$I33+'SK-ratings-year'!AF16*'MD-ratings-year'!$H16)/('MD-ratings-year'!$I33+'MD-ratings-year'!$H16)</f>
        <v>3.9406214261060737</v>
      </c>
      <c r="S33" s="472">
        <f>('SK-ratings-year'!AG33*'MD-ratings-year'!$I33+'SK-ratings-year'!AG16*'MD-ratings-year'!$H16)/('MD-ratings-year'!$I33+'MD-ratings-year'!$H16)</f>
        <v>2.5212521865761226</v>
      </c>
      <c r="T33" s="472">
        <f>('SK-ratings-year'!AH33*'MD-ratings-year'!$I33+'SK-ratings-year'!AH16*'MD-ratings-year'!$H16)/('MD-ratings-year'!$I33+'MD-ratings-year'!$H16)</f>
        <v>1.960657005365245</v>
      </c>
      <c r="U33" s="472">
        <f>('SK-ratings-year'!AI33*'MD-ratings-year'!$I33+'SK-ratings-year'!AI16*'MD-ratings-year'!$H16)/('MD-ratings-year'!$I33+'MD-ratings-year'!$H16)</f>
        <v>2.3910964578461966</v>
      </c>
      <c r="V33" s="472">
        <f>('SK-ratings-year'!AJ33*'MD-ratings-year'!$I33+'SK-ratings-year'!AJ16*'MD-ratings-year'!$H16)/('MD-ratings-year'!$I33+'MD-ratings-year'!$H16)</f>
        <v>3.2307580985693392</v>
      </c>
      <c r="W33" s="472">
        <f>('SK-ratings-year'!AK33*'MD-ratings-year'!$I33+'SK-ratings-year'!AK16*'MD-ratings-year'!$H16)/('MD-ratings-year'!$I33+'MD-ratings-year'!$H16)</f>
        <v>2.1322909422072818</v>
      </c>
      <c r="X33" s="472">
        <f>('SK-ratings-year'!AL33*'MD-ratings-year'!$I33+'SK-ratings-year'!AL16*'MD-ratings-year'!$H16)/('MD-ratings-year'!$I33+'MD-ratings-year'!$H16)</f>
        <v>1.209161576627688</v>
      </c>
      <c r="Y33" s="472">
        <f>('SK-ratings-year'!AM33*'MD-ratings-year'!$I33+'SK-ratings-year'!AM16*'MD-ratings-year'!$H16)/('MD-ratings-year'!$I33+'MD-ratings-year'!$H16)</f>
        <v>3.2348073996651996</v>
      </c>
      <c r="Z33" s="472">
        <f>('SK-ratings-year'!AN33*'MD-ratings-year'!$I33+'SK-ratings-year'!AN16*'MD-ratings-year'!$H16)/('MD-ratings-year'!$I33+'MD-ratings-year'!$H16)</f>
        <v>5.0538054649130357</v>
      </c>
      <c r="AA33" s="472">
        <f>('SK-ratings-year'!AO33*'MD-ratings-year'!$I33+'SK-ratings-year'!AO16*'MD-ratings-year'!$H16)/('MD-ratings-year'!$I33+'MD-ratings-year'!$H16)</f>
        <v>2.6669580287264778</v>
      </c>
      <c r="AB33" s="472">
        <f>('SK-ratings-year'!AP33*'MD-ratings-year'!$I33+'SK-ratings-year'!AP16*'MD-ratings-year'!$H16)/('MD-ratings-year'!$I33+'MD-ratings-year'!$H16)</f>
        <v>3.0085680253440308</v>
      </c>
      <c r="AC33" s="472">
        <f>('SK-ratings-year'!AQ33*'MD-ratings-year'!$I33+'SK-ratings-year'!AQ16*'MD-ratings-year'!$H16)/('MD-ratings-year'!$I33+'MD-ratings-year'!$H16)</f>
        <v>3.3009837850542546E-2</v>
      </c>
      <c r="AD33" s="472">
        <f>('SK-ratings-year'!AR33*'MD-ratings-year'!$I33+'SK-ratings-year'!AR16*'MD-ratings-year'!$H16)/('MD-ratings-year'!$I33+'MD-ratings-year'!$H16)</f>
        <v>3.1121558446334094</v>
      </c>
      <c r="AE33" s="472">
        <f>('SK-ratings-year'!AS33*'MD-ratings-year'!$I33+'SK-ratings-year'!AS16*'MD-ratings-year'!$H16)/('MD-ratings-year'!$I33+'MD-ratings-year'!$H16)</f>
        <v>3.0331529517051132</v>
      </c>
      <c r="AF33" s="472">
        <f>('SK-ratings-year'!AT33*'MD-ratings-year'!$I33+'SK-ratings-year'!AT16*'MD-ratings-year'!$H16)/('MD-ratings-year'!$I33+'MD-ratings-year'!$H16)</f>
        <v>3.414166537135515</v>
      </c>
      <c r="AG33" s="472">
        <f>('SK-ratings-year'!AU33*'MD-ratings-year'!$I33+'SK-ratings-year'!AU16*'MD-ratings-year'!$H16)/('MD-ratings-year'!$I33+'MD-ratings-year'!$H16)</f>
        <v>5.8687321531294332</v>
      </c>
      <c r="AH33" s="472">
        <f>('SK-ratings-year'!AV33*'MD-ratings-year'!$I33+'SK-ratings-year'!AV16*'MD-ratings-year'!$H16)/('MD-ratings-year'!$I33+'MD-ratings-year'!$H16)</f>
        <v>3.2245954345819285</v>
      </c>
      <c r="AI33" s="472">
        <f>('SK-ratings-year'!AW33*'MD-ratings-year'!$I33+'SK-ratings-year'!AW16*'MD-ratings-year'!$H16)/('MD-ratings-year'!$I33+'MD-ratings-year'!$H16)</f>
        <v>3.5457637747987598</v>
      </c>
      <c r="AJ33" s="472">
        <f>('SK-ratings-year'!AX33*'MD-ratings-year'!$I33+'SK-ratings-year'!AX16*'MD-ratings-year'!$H16)/('MD-ratings-year'!$I33+'MD-ratings-year'!$H16)</f>
        <v>2.5296690884242783</v>
      </c>
      <c r="AK33" s="472">
        <f>('SK-ratings-year'!AY33*'MD-ratings-year'!$I33+'SK-ratings-year'!AY16*'MD-ratings-year'!$H16)/('MD-ratings-year'!$I33+'MD-ratings-year'!$H16)</f>
        <v>2.4093635502635382</v>
      </c>
      <c r="AL33" s="472">
        <f>('SK-ratings-year'!AZ33*'MD-ratings-year'!$I33+'SK-ratings-year'!AZ16*'MD-ratings-year'!$H16)/('MD-ratings-year'!$I33+'MD-ratings-year'!$H16)</f>
        <v>3.6996207600518685</v>
      </c>
      <c r="AM33" s="472">
        <f>('SK-ratings-year'!BA33*'MD-ratings-year'!$I33+'SK-ratings-year'!BA16*'MD-ratings-year'!$H16)/('MD-ratings-year'!$I33+'MD-ratings-year'!$H16)</f>
        <v>8.3401096334102363</v>
      </c>
      <c r="AN33" s="472">
        <f>('SK-ratings-year'!BB33*'MD-ratings-year'!$I33+'SK-ratings-year'!BB16*'MD-ratings-year'!$H16)/('MD-ratings-year'!$I33+'MD-ratings-year'!$H16)</f>
        <v>2.4036631889760636</v>
      </c>
      <c r="AO33" s="472">
        <f>('SK-ratings-year'!BC33*'MD-ratings-year'!$I33+'SK-ratings-year'!BC16*'MD-ratings-year'!$H16)/('MD-ratings-year'!$I33+'MD-ratings-year'!$H16)</f>
        <v>3.4902961380350916</v>
      </c>
      <c r="AP33" s="472">
        <f>('SK-ratings-year'!BD33*'MD-ratings-year'!$I33+'SK-ratings-year'!BD16*'MD-ratings-year'!$H16)/('MD-ratings-year'!$I33+'MD-ratings-year'!$H16)</f>
        <v>3.7778109817462799</v>
      </c>
      <c r="AQ33" s="472">
        <f>('SK-ratings-year'!BE33*'MD-ratings-year'!$I33+'SK-ratings-year'!BE16*'MD-ratings-year'!$H16)/('MD-ratings-year'!$I33+'MD-ratings-year'!$H16)</f>
        <v>1.5796564405487605</v>
      </c>
      <c r="AR33" s="472">
        <f>('SK-ratings-year'!BF33*'MD-ratings-year'!$I33+'SK-ratings-year'!BF16*'MD-ratings-year'!$H16)/('MD-ratings-year'!$I33+'MD-ratings-year'!$H16)</f>
        <v>2.3828991563602733</v>
      </c>
      <c r="AS33" s="472">
        <f>('SK-ratings-year'!BG33*'MD-ratings-year'!$I33+'SK-ratings-year'!BG16*'MD-ratings-year'!$H16)/('MD-ratings-year'!$I33+'MD-ratings-year'!$H16)</f>
        <v>2.4020035131766808</v>
      </c>
      <c r="AT33" s="472">
        <f>('SK-ratings-year'!BH33*'MD-ratings-year'!$I33+'SK-ratings-year'!BH16*'MD-ratings-year'!$H16)/('MD-ratings-year'!$I33+'MD-ratings-year'!$H16)</f>
        <v>3.2401389780817973</v>
      </c>
      <c r="AU33" s="472">
        <f>('SK-ratings-year'!BI33*'MD-ratings-year'!$I33+'SK-ratings-year'!BI16*'MD-ratings-year'!$H16)/('MD-ratings-year'!$I33+'MD-ratings-year'!$H16)</f>
        <v>2.8090050035976168</v>
      </c>
      <c r="AV33" s="472">
        <f>('SK-ratings-year'!BJ33*'MD-ratings-year'!$I33+'SK-ratings-year'!BJ16*'MD-ratings-year'!$H16)/('MD-ratings-year'!$I33+'MD-ratings-year'!$H16)</f>
        <v>2.7944423698765113</v>
      </c>
      <c r="AW33" s="472">
        <f>('SK-ratings-year'!BK33*'MD-ratings-year'!$I33+'SK-ratings-year'!BK16*'MD-ratings-year'!$H16)/('MD-ratings-year'!$I33+'MD-ratings-year'!$H16)</f>
        <v>3.3330616428788113</v>
      </c>
      <c r="AX33" s="472">
        <f>('SK-ratings-year'!BL33*'MD-ratings-year'!$I33+'SK-ratings-year'!BL16*'MD-ratings-year'!$H16)/('MD-ratings-year'!$I33+'MD-ratings-year'!$H16)</f>
        <v>3.186061161900501</v>
      </c>
      <c r="AY33" s="472">
        <f>('SK-ratings-year'!BM33*'MD-ratings-year'!$I33+'SK-ratings-year'!BM16*'MD-ratings-year'!$H16)/('MD-ratings-year'!$I33+'MD-ratings-year'!$H16)</f>
        <v>7.9140156643857171</v>
      </c>
      <c r="AZ33" s="472">
        <f>('SK-ratings-year'!BN33*'MD-ratings-year'!$I33+'SK-ratings-year'!BN16*'MD-ratings-year'!$H16)/('MD-ratings-year'!$I33+'MD-ratings-year'!$H16)</f>
        <v>5.8227963001709169</v>
      </c>
      <c r="BA33" s="472">
        <f>('SK-ratings-year'!BO33*'MD-ratings-year'!$I33+'SK-ratings-year'!BO16*'MD-ratings-year'!$H16)/('MD-ratings-year'!$I33+'MD-ratings-year'!$H16)</f>
        <v>3.0012801819732409</v>
      </c>
      <c r="BB33" s="472">
        <f>('SK-ratings-year'!BP33*'MD-ratings-year'!$I33+'SK-ratings-year'!BP16*'MD-ratings-year'!$H16)/('MD-ratings-year'!$I33+'MD-ratings-year'!$H16)</f>
        <v>2.9225464550335838</v>
      </c>
      <c r="BC33" s="472">
        <f>('SK-ratings-year'!BQ33*'MD-ratings-year'!$I33+'SK-ratings-year'!BQ16*'MD-ratings-year'!$H16)/('MD-ratings-year'!$I33+'MD-ratings-year'!$H16)</f>
        <v>7.1188799607734916</v>
      </c>
      <c r="BD33" s="472">
        <f>('SK-ratings-year'!BR33*'MD-ratings-year'!$I33+'SK-ratings-year'!BR16*'MD-ratings-year'!$H16)/('MD-ratings-year'!$I33+'MD-ratings-year'!$H16)</f>
        <v>3.15478873533986</v>
      </c>
      <c r="BE33" s="472">
        <f>('SK-ratings-year'!BS33*'MD-ratings-year'!$I33+'SK-ratings-year'!BS16*'MD-ratings-year'!$H16)/('MD-ratings-year'!$I33+'MD-ratings-year'!$H16)</f>
        <v>3.1550715598307346</v>
      </c>
      <c r="BF33" s="472">
        <f>('SK-ratings-year'!BT33*'MD-ratings-year'!$I33+'SK-ratings-year'!BT16*'MD-ratings-year'!$H16)/('MD-ratings-year'!$I33+'MD-ratings-year'!$H16)</f>
        <v>3.1796671417416613</v>
      </c>
      <c r="BG33" s="472">
        <f>('SK-ratings-year'!BU33*'MD-ratings-year'!$I33+'SK-ratings-year'!BU16*'MD-ratings-year'!$H16)/('MD-ratings-year'!$I33+'MD-ratings-year'!$H16)</f>
        <v>4.7331650670389607</v>
      </c>
      <c r="BH33" s="472">
        <f>('SK-ratings-year'!BV33*'MD-ratings-year'!$I33+'SK-ratings-year'!BV16*'MD-ratings-year'!$H16)/('MD-ratings-year'!$I33+'MD-ratings-year'!$H16)</f>
        <v>4.9372421906911734</v>
      </c>
      <c r="BI33" s="472">
        <f>('SK-ratings-year'!BW33*'MD-ratings-year'!$I33+'SK-ratings-year'!BW16*'MD-ratings-year'!$H16)/('MD-ratings-year'!$I33+'MD-ratings-year'!$H16)</f>
        <v>2.6853310108507378</v>
      </c>
      <c r="BJ33" s="472">
        <f>('SK-ratings-year'!BX33*'MD-ratings-year'!$I33+'SK-ratings-year'!BX16*'MD-ratings-year'!$H16)/('MD-ratings-year'!$I33+'MD-ratings-year'!$H16)</f>
        <v>3.4855697029579278</v>
      </c>
      <c r="BK33" s="472">
        <f>('SK-ratings-year'!BY33*'MD-ratings-year'!$I33+'SK-ratings-year'!BY16*'MD-ratings-year'!$H16)/('MD-ratings-year'!$I33+'MD-ratings-year'!$H16)</f>
        <v>1.9154769609284561</v>
      </c>
      <c r="BL33" s="472">
        <f>('SK-ratings-year'!BZ33*'MD-ratings-year'!$I33+'SK-ratings-year'!BZ16*'MD-ratings-year'!$H16)/('MD-ratings-year'!$I33+'MD-ratings-year'!$H16)</f>
        <v>1.6158226604507249</v>
      </c>
      <c r="BM33" s="472">
        <f>('SK-ratings-year'!CA33*'MD-ratings-year'!$I33+'SK-ratings-year'!CA16*'MD-ratings-year'!$H16)/('MD-ratings-year'!$I33+'MD-ratings-year'!$H16)</f>
        <v>3.7280364181640451</v>
      </c>
      <c r="BN33" s="472">
        <f>('SK-ratings-year'!CB33*'MD-ratings-year'!$I33+'SK-ratings-year'!CB16*'MD-ratings-year'!$H16)/('MD-ratings-year'!$I33+'MD-ratings-year'!$H16)</f>
        <v>5.5025730674221407</v>
      </c>
      <c r="BO33" s="472">
        <f>('SK-ratings-year'!CC33*'MD-ratings-year'!$I33+'SK-ratings-year'!CC16*'MD-ratings-year'!$H16)/('MD-ratings-year'!$I33+'MD-ratings-year'!$H16)</f>
        <v>6.2685531824159932</v>
      </c>
      <c r="BP33" s="472">
        <f>('SK-ratings-year'!CD33*'MD-ratings-year'!$I33+'SK-ratings-year'!CD16*'MD-ratings-year'!$H16)/('MD-ratings-year'!$I33+'MD-ratings-year'!$H16)</f>
        <v>3.4639365609677353</v>
      </c>
      <c r="BQ33" s="472">
        <f>('SK-ratings-year'!CE33*'MD-ratings-year'!$I33+'SK-ratings-year'!CE16*'MD-ratings-year'!$H16)/('MD-ratings-year'!$I33+'MD-ratings-year'!$H16)</f>
        <v>3.0703967480341747</v>
      </c>
      <c r="BR33" s="472">
        <f>('SK-ratings-year'!CF33*'MD-ratings-year'!$I33+'SK-ratings-year'!CF16*'MD-ratings-year'!$H16)/('MD-ratings-year'!$I33+'MD-ratings-year'!$H16)</f>
        <v>4.5140400396629641</v>
      </c>
      <c r="BS33" s="472">
        <f>('SK-ratings-year'!CG33*'MD-ratings-year'!$I33+'SK-ratings-year'!CG16*'MD-ratings-year'!$H16)/('MD-ratings-year'!$I33+'MD-ratings-year'!$H16)</f>
        <v>3.212185363170954</v>
      </c>
      <c r="BT33" s="472">
        <f>('SK-ratings-year'!CH33*'MD-ratings-year'!$I33+'SK-ratings-year'!CH16*'MD-ratings-year'!$H16)/('MD-ratings-year'!$I33+'MD-ratings-year'!$H16)</f>
        <v>1.9760175165114668</v>
      </c>
      <c r="BU33" s="472">
        <f>('SK-ratings-year'!CI33*'MD-ratings-year'!$I33+'SK-ratings-year'!CI16*'MD-ratings-year'!$H16)/('MD-ratings-year'!$I33+'MD-ratings-year'!$H16)</f>
        <v>4.861969759873304</v>
      </c>
      <c r="BV33" s="472">
        <f>('SK-ratings-year'!CJ33*'MD-ratings-year'!$I33+'SK-ratings-year'!CJ16*'MD-ratings-year'!$H16)/('MD-ratings-year'!$I33+'MD-ratings-year'!$H16)</f>
        <v>9.5433775012963</v>
      </c>
      <c r="BW33" s="472">
        <f>('SK-ratings-year'!CK33*'MD-ratings-year'!$I33+'SK-ratings-year'!CK16*'MD-ratings-year'!$H16)/('MD-ratings-year'!$I33+'MD-ratings-year'!$H16)</f>
        <v>3.6413206685619923</v>
      </c>
      <c r="BX33" s="472">
        <f>('SK-ratings-year'!CL33*'MD-ratings-year'!$I33+'SK-ratings-year'!CL16*'MD-ratings-year'!$H16)/('MD-ratings-year'!$I33+'MD-ratings-year'!$H16)</f>
        <v>3.0372984597372374</v>
      </c>
      <c r="BY33" s="472">
        <f>('SK-ratings-year'!CM33*'MD-ratings-year'!$I33+'SK-ratings-year'!CM16*'MD-ratings-year'!$H16)/('MD-ratings-year'!$I33+'MD-ratings-year'!$H16)</f>
        <v>3.0237002022884769</v>
      </c>
      <c r="BZ33" s="472">
        <f>('SK-ratings-year'!CN33*'MD-ratings-year'!$I33+'SK-ratings-year'!CN16*'MD-ratings-year'!$H16)/('MD-ratings-year'!$I33+'MD-ratings-year'!$H16)</f>
        <v>1.7728856340040688</v>
      </c>
      <c r="CA33" s="472">
        <f>('SK-ratings-year'!CO33*'MD-ratings-year'!$I33+'SK-ratings-year'!CO16*'MD-ratings-year'!$H16)/('MD-ratings-year'!$I33+'MD-ratings-year'!$H16)</f>
        <v>3.9394970598948915</v>
      </c>
      <c r="CB33" s="472">
        <f>('SK-ratings-year'!CP33*'MD-ratings-year'!$I33+'SK-ratings-year'!CP16*'MD-ratings-year'!$H16)/('MD-ratings-year'!$I33+'MD-ratings-year'!$H16)</f>
        <v>2.8451252840430592</v>
      </c>
      <c r="CC33" s="472">
        <f>('SK-ratings-year'!CQ33*'MD-ratings-year'!$I33+'SK-ratings-year'!CQ16*'MD-ratings-year'!$H16)/('MD-ratings-year'!$I33+'MD-ratings-year'!$H16)</f>
        <v>4.7907434827989777</v>
      </c>
      <c r="CD33" s="472">
        <f>('SK-ratings-year'!CR33*'MD-ratings-year'!$I33+'SK-ratings-year'!CR16*'MD-ratings-year'!$H16)/('MD-ratings-year'!$I33+'MD-ratings-year'!$H16)</f>
        <v>3.1784315147039357</v>
      </c>
      <c r="CE33" s="472">
        <f>('SK-ratings-year'!CS33*'MD-ratings-year'!$I33+'SK-ratings-year'!CS16*'MD-ratings-year'!$H16)/('MD-ratings-year'!$I33+'MD-ratings-year'!$H16)</f>
        <v>3.0516210382220015</v>
      </c>
      <c r="CF33" s="472">
        <f>('SK-ratings-year'!CT33*'MD-ratings-year'!$I33+'SK-ratings-year'!CT16*'MD-ratings-year'!$H16)/('MD-ratings-year'!$I33+'MD-ratings-year'!$H16)</f>
        <v>1.7787320413476446</v>
      </c>
      <c r="CG33" s="472">
        <f>('SK-ratings-year'!CU33*'MD-ratings-year'!$I33+'SK-ratings-year'!CU16*'MD-ratings-year'!$H16)/('MD-ratings-year'!$I33+'MD-ratings-year'!$H16)</f>
        <v>5.5167755705807417</v>
      </c>
      <c r="CH33" s="472">
        <f>('SK-ratings-year'!CV33*'MD-ratings-year'!$I33+'SK-ratings-year'!CV16*'MD-ratings-year'!$H16)/('MD-ratings-year'!$I33+'MD-ratings-year'!$H16)</f>
        <v>1.9790664981970554</v>
      </c>
      <c r="CI33" s="472">
        <f>('SK-ratings-year'!CW33*'MD-ratings-year'!$I33+'SK-ratings-year'!CW16*'MD-ratings-year'!$H16)/('MD-ratings-year'!$I33+'MD-ratings-year'!$H16)</f>
        <v>2.987819613620903</v>
      </c>
      <c r="CJ33" s="472">
        <f>('SK-ratings-year'!CX33*'MD-ratings-year'!$I33+'SK-ratings-year'!CX16*'MD-ratings-year'!$H16)/('MD-ratings-year'!$I33+'MD-ratings-year'!$H16)</f>
        <v>1.9542549880147888</v>
      </c>
      <c r="CM33" s="456">
        <f>('SK-ratings-year'!DA33*'MD-ratings-year'!$I33+'SK-ratings-year'!DA16*'MD-ratings-year'!$H16)/('MD-ratings-year'!$I33+'MD-ratings-year'!$H16)</f>
        <v>4.3068478870479732</v>
      </c>
      <c r="CN33" s="456">
        <f>('SK-ratings-year'!DB33*'MD-ratings-year'!$I33+'SK-ratings-year'!DB16*'MD-ratings-year'!$H16)/('MD-ratings-year'!$I33+'MD-ratings-year'!$H16)</f>
        <v>2.5762837400213772</v>
      </c>
      <c r="CO33" s="456">
        <f>('SK-ratings-year'!DC33*'MD-ratings-year'!$I33+'SK-ratings-year'!DC16*'MD-ratings-year'!$H16)/('MD-ratings-year'!$I33+'MD-ratings-year'!$H16)</f>
        <v>2.6561480314239381</v>
      </c>
      <c r="CP33" s="456">
        <f>('SK-ratings-year'!DD33*'MD-ratings-year'!$I33+'SK-ratings-year'!DD16*'MD-ratings-year'!$H16)/('MD-ratings-year'!$I33+'MD-ratings-year'!$H16)</f>
        <v>3.3766963308236768</v>
      </c>
      <c r="CQ33" s="456">
        <f>('SK-ratings-year'!DE33*'MD-ratings-year'!$I33+'SK-ratings-year'!DE16*'MD-ratings-year'!$H16)/('MD-ratings-year'!$I33+'MD-ratings-year'!$H16)</f>
        <v>3.3510022238617312</v>
      </c>
      <c r="CR33" s="456">
        <f>('SK-ratings-year'!DF33*'MD-ratings-year'!$I33+'SK-ratings-year'!DF16*'MD-ratings-year'!$H16)/('MD-ratings-year'!$I33+'MD-ratings-year'!$H16)</f>
        <v>5.2596459518257888</v>
      </c>
      <c r="CS33" s="456">
        <f>('SK-ratings-year'!DG33*'MD-ratings-year'!$I33+'SK-ratings-year'!DG16*'MD-ratings-year'!$H16)/('MD-ratings-year'!$I33+'MD-ratings-year'!$H16)</f>
        <v>3.2107576391545103</v>
      </c>
      <c r="CT33" s="456">
        <f>('SK-ratings-year'!DH33*'MD-ratings-year'!$I33+'SK-ratings-year'!DH16*'MD-ratings-year'!$H16)/('MD-ratings-year'!$I33+'MD-ratings-year'!$H16)</f>
        <v>3.1987159582805011</v>
      </c>
      <c r="CU33" s="456">
        <f>('SK-ratings-year'!DI33*'MD-ratings-year'!$I33+'SK-ratings-year'!DI16*'MD-ratings-year'!$H16)/('MD-ratings-year'!$I33+'MD-ratings-year'!$H16)</f>
        <v>2.788067991232849</v>
      </c>
      <c r="CV33" s="456">
        <f>('SK-ratings-year'!DJ33*'MD-ratings-year'!$I33+'SK-ratings-year'!DJ16*'MD-ratings-year'!$H16)/('MD-ratings-year'!$I33+'MD-ratings-year'!$H16)</f>
        <v>2.3865733743192186</v>
      </c>
      <c r="CW33" s="456">
        <f>('SK-ratings-year'!DK33*'MD-ratings-year'!$I33+'SK-ratings-year'!DK16*'MD-ratings-year'!$H16)/('MD-ratings-year'!$I33+'MD-ratings-year'!$H16)</f>
        <v>2.9240352498839095</v>
      </c>
      <c r="CX33" s="456">
        <f>('SK-ratings-year'!DL33*'MD-ratings-year'!$I33+'SK-ratings-year'!DL16*'MD-ratings-year'!$H16)/('MD-ratings-year'!$I33+'MD-ratings-year'!$H16)</f>
        <v>2.9065662202445859</v>
      </c>
      <c r="CY33" s="456">
        <f>('SK-ratings-year'!DM33*'MD-ratings-year'!$I33+'SK-ratings-year'!DM16*'MD-ratings-year'!$H16)/('MD-ratings-year'!$I33+'MD-ratings-year'!$H16)</f>
        <v>3.1891856921866966</v>
      </c>
      <c r="CZ33" s="456">
        <f>('SK-ratings-year'!DN33*'MD-ratings-year'!$I33+'SK-ratings-year'!DN16*'MD-ratings-year'!$H16)/('MD-ratings-year'!$I33+'MD-ratings-year'!$H16)</f>
        <v>3.4491331053414771</v>
      </c>
      <c r="DA33" s="456">
        <f>('SK-ratings-year'!DO33*'MD-ratings-year'!$I33+'SK-ratings-year'!DO16*'MD-ratings-year'!$H16)/('MD-ratings-year'!$I33+'MD-ratings-year'!$H16)</f>
        <v>3.1114495626908387</v>
      </c>
      <c r="DB33" s="456">
        <f>('SK-ratings-year'!DP33*'MD-ratings-year'!$I33+'SK-ratings-year'!DP16*'MD-ratings-year'!$H16)/('MD-ratings-year'!$I33+'MD-ratings-year'!$H16)</f>
        <v>3.3208417413612557</v>
      </c>
    </row>
    <row r="34" spans="1:106" s="463" customFormat="1" ht="15.75" customHeight="1" thickBot="1" x14ac:dyDescent="0.3">
      <c r="A34" s="632"/>
      <c r="B34" s="635"/>
      <c r="C34" s="677" t="str">
        <f>'MD-ratings-year'!C34:E34</f>
        <v>Activity total</v>
      </c>
      <c r="D34" s="678"/>
      <c r="E34" s="682"/>
      <c r="F34" s="424" t="s">
        <v>400</v>
      </c>
      <c r="G34" s="653"/>
      <c r="I34" s="474">
        <f>SUMPRODUCT(I32:I33,$C32:$C33)/SUM($C32:$C33)</f>
        <v>3.5475872416071579</v>
      </c>
      <c r="J34" s="474">
        <f t="shared" ref="J34:BU34" si="120">SUMPRODUCT(J32:J33,$C32:$C33)/SUM($C32:$C33)</f>
        <v>4.1544028465393428</v>
      </c>
      <c r="K34" s="474">
        <f t="shared" si="120"/>
        <v>5.0830697034789063</v>
      </c>
      <c r="L34" s="474">
        <f t="shared" si="120"/>
        <v>6.3654452702540949</v>
      </c>
      <c r="M34" s="474">
        <f t="shared" si="120"/>
        <v>3.6856325688961924</v>
      </c>
      <c r="N34" s="474">
        <f t="shared" si="120"/>
        <v>7.2484858300307549</v>
      </c>
      <c r="O34" s="474">
        <f t="shared" si="120"/>
        <v>4.7337948407707531</v>
      </c>
      <c r="P34" s="474">
        <f t="shared" si="120"/>
        <v>4.361398879433553</v>
      </c>
      <c r="Q34" s="474">
        <f t="shared" si="120"/>
        <v>5.0974019079759181</v>
      </c>
      <c r="R34" s="474">
        <f t="shared" si="120"/>
        <v>6.9703107130530366</v>
      </c>
      <c r="S34" s="474">
        <f t="shared" si="120"/>
        <v>3.8216471538184447</v>
      </c>
      <c r="T34" s="474">
        <f t="shared" si="120"/>
        <v>1.7865449641840121</v>
      </c>
      <c r="U34" s="474">
        <f t="shared" si="120"/>
        <v>5.7753351326331011</v>
      </c>
      <c r="V34" s="474">
        <f t="shared" si="120"/>
        <v>6.6153790492846696</v>
      </c>
      <c r="W34" s="474">
        <f t="shared" si="120"/>
        <v>3.9962219830403947</v>
      </c>
      <c r="X34" s="474">
        <f t="shared" si="120"/>
        <v>2.0722138563098249</v>
      </c>
      <c r="Y34" s="474">
        <f t="shared" si="120"/>
        <v>4.2328191597414193</v>
      </c>
      <c r="Z34" s="474">
        <f t="shared" si="120"/>
        <v>6.747416935218979</v>
      </c>
      <c r="AA34" s="474">
        <f t="shared" si="120"/>
        <v>3.7823679261961827</v>
      </c>
      <c r="AB34" s="474">
        <f t="shared" si="120"/>
        <v>6.5042840126720156</v>
      </c>
      <c r="AC34" s="474">
        <f t="shared" si="120"/>
        <v>6.8396647680407832E-2</v>
      </c>
      <c r="AD34" s="474">
        <f t="shared" si="120"/>
        <v>3.6278021601678865</v>
      </c>
      <c r="AE34" s="474">
        <f t="shared" si="120"/>
        <v>3.8441329919909384</v>
      </c>
      <c r="AF34" s="474">
        <f t="shared" si="120"/>
        <v>6.7070832685677573</v>
      </c>
      <c r="AG34" s="474">
        <f t="shared" si="120"/>
        <v>7.3168087882587391</v>
      </c>
      <c r="AH34" s="474">
        <f t="shared" si="120"/>
        <v>2.2975990670520505</v>
      </c>
      <c r="AI34" s="474">
        <f t="shared" si="120"/>
        <v>4.2003280543658956</v>
      </c>
      <c r="AJ34" s="474">
        <f t="shared" si="120"/>
        <v>2.5500300246738159</v>
      </c>
      <c r="AK34" s="474">
        <f t="shared" si="120"/>
        <v>3.254996073066581</v>
      </c>
      <c r="AL34" s="474">
        <f t="shared" si="120"/>
        <v>3.8695100346679001</v>
      </c>
      <c r="AM34" s="474">
        <f t="shared" si="120"/>
        <v>6.4946546775067144</v>
      </c>
      <c r="AN34" s="474">
        <f t="shared" si="120"/>
        <v>2.9151164701050902</v>
      </c>
      <c r="AO34" s="474">
        <f t="shared" si="120"/>
        <v>6.0646321979524265</v>
      </c>
      <c r="AP34" s="474">
        <f t="shared" si="120"/>
        <v>3.4882629895021067</v>
      </c>
      <c r="AQ34" s="474">
        <f t="shared" si="120"/>
        <v>2.3698729214020289</v>
      </c>
      <c r="AR34" s="474">
        <f t="shared" si="120"/>
        <v>2.7633365082292243</v>
      </c>
      <c r="AS34" s="474">
        <f t="shared" si="120"/>
        <v>4.0737377077143107</v>
      </c>
      <c r="AT34" s="474">
        <f t="shared" si="120"/>
        <v>5.1789430152731013</v>
      </c>
      <c r="AU34" s="474">
        <f t="shared" si="120"/>
        <v>6.1705429575690767</v>
      </c>
      <c r="AV34" s="474">
        <f t="shared" si="120"/>
        <v>5.7509338680237532</v>
      </c>
      <c r="AW34" s="474">
        <f t="shared" si="120"/>
        <v>4.6284627940450846</v>
      </c>
      <c r="AX34" s="474">
        <f t="shared" si="120"/>
        <v>5.7820113492215031</v>
      </c>
      <c r="AY34" s="474">
        <f t="shared" si="120"/>
        <v>6.9693866725982696</v>
      </c>
      <c r="AZ34" s="474">
        <f t="shared" si="120"/>
        <v>6.7288358695646986</v>
      </c>
      <c r="BA34" s="474">
        <f t="shared" si="120"/>
        <v>4.7777436710499837</v>
      </c>
      <c r="BB34" s="474">
        <f t="shared" si="120"/>
        <v>5.7890993474674399</v>
      </c>
      <c r="BC34" s="474">
        <f t="shared" si="120"/>
        <v>4.7979225793906819</v>
      </c>
      <c r="BD34" s="474">
        <f t="shared" si="120"/>
        <v>2.5868810936113396</v>
      </c>
      <c r="BE34" s="474">
        <f t="shared" si="120"/>
        <v>5.729614207413471</v>
      </c>
      <c r="BF34" s="474">
        <f t="shared" si="120"/>
        <v>3.8968574446434703</v>
      </c>
      <c r="BG34" s="474">
        <f t="shared" si="120"/>
        <v>6.2333410418221709</v>
      </c>
      <c r="BH34" s="474">
        <f t="shared" si="120"/>
        <v>2.8076739776697215</v>
      </c>
      <c r="BI34" s="474">
        <f t="shared" si="120"/>
        <v>5.0503525084771717</v>
      </c>
      <c r="BJ34" s="474">
        <f t="shared" si="120"/>
        <v>3.3751613390359902</v>
      </c>
      <c r="BK34" s="474">
        <f t="shared" si="120"/>
        <v>2.7202243635230436</v>
      </c>
      <c r="BL34" s="474">
        <f t="shared" si="120"/>
        <v>2.7059267930660624</v>
      </c>
      <c r="BM34" s="474">
        <f t="shared" si="120"/>
        <v>6.441933556805493</v>
      </c>
      <c r="BN34" s="474">
        <f t="shared" si="120"/>
        <v>4.2639599512143507</v>
      </c>
      <c r="BO34" s="474">
        <f t="shared" si="120"/>
        <v>4.2585456427059638</v>
      </c>
      <c r="BP34" s="474">
        <f t="shared" si="120"/>
        <v>6.7319682804838674</v>
      </c>
      <c r="BQ34" s="474">
        <f t="shared" si="120"/>
        <v>4.3850490544506826</v>
      </c>
      <c r="BR34" s="474">
        <f t="shared" si="120"/>
        <v>3.65603737874273</v>
      </c>
      <c r="BS34" s="474">
        <f t="shared" si="120"/>
        <v>3.4309715836145358</v>
      </c>
      <c r="BT34" s="474">
        <f t="shared" si="120"/>
        <v>3.1088314675460196</v>
      </c>
      <c r="BU34" s="474">
        <f t="shared" si="120"/>
        <v>4.4656904089721872</v>
      </c>
      <c r="BV34" s="474">
        <f t="shared" ref="BV34:CJ34" si="121">SUMPRODUCT(BV32:BV33,$C32:$C33)/SUM($C32:$C33)</f>
        <v>8.5058986033673225</v>
      </c>
      <c r="BW34" s="474">
        <f t="shared" si="121"/>
        <v>3.9689383980238078</v>
      </c>
      <c r="BX34" s="474">
        <f t="shared" si="121"/>
        <v>5.7093133966966221</v>
      </c>
      <c r="BY34" s="474">
        <f t="shared" si="121"/>
        <v>2.6450368945497416</v>
      </c>
      <c r="BZ34" s="474">
        <f t="shared" si="121"/>
        <v>2.3045427480219232</v>
      </c>
      <c r="CA34" s="474">
        <f t="shared" si="121"/>
        <v>6.9354372579207135</v>
      </c>
      <c r="CB34" s="474">
        <f t="shared" si="121"/>
        <v>6.4225626420215294</v>
      </c>
      <c r="CC34" s="474">
        <f t="shared" si="121"/>
        <v>2.7992463693132321</v>
      </c>
      <c r="CD34" s="474">
        <f t="shared" si="121"/>
        <v>3.5966294409620634</v>
      </c>
      <c r="CE34" s="474">
        <f t="shared" si="121"/>
        <v>4.0322239369806461</v>
      </c>
      <c r="CF34" s="474">
        <f t="shared" si="121"/>
        <v>4.415788353101461</v>
      </c>
      <c r="CG34" s="474">
        <f t="shared" si="121"/>
        <v>5.043455927185498</v>
      </c>
      <c r="CH34" s="474">
        <f t="shared" si="121"/>
        <v>2.7775504458379441</v>
      </c>
      <c r="CI34" s="474">
        <f t="shared" si="121"/>
        <v>5.4882213999977845</v>
      </c>
      <c r="CJ34" s="474">
        <f t="shared" si="121"/>
        <v>5.1662522549105088</v>
      </c>
      <c r="CL34" s="584"/>
      <c r="CM34" s="464">
        <f t="shared" ref="CM34" si="122">SUMPRODUCT(CM32:CM33,$C32:$C33)/SUM($C32:$C33)</f>
        <v>5.1083513861579517</v>
      </c>
      <c r="CN34" s="464">
        <f t="shared" ref="CN34" si="123">SUMPRODUCT(CN32:CN33,$C32:$C33)/SUM($C32:$C33)</f>
        <v>4.0178590654556796</v>
      </c>
      <c r="CO34" s="464">
        <f t="shared" ref="CO34" si="124">SUMPRODUCT(CO32:CO33,$C32:$C33)/SUM($C32:$C33)</f>
        <v>4.0296996309235888</v>
      </c>
      <c r="CP34" s="464">
        <f t="shared" ref="CP34" si="125">SUMPRODUCT(CP32:CP33,$C32:$C33)/SUM($C32:$C33)</f>
        <v>4.3957571289894268</v>
      </c>
      <c r="CQ34" s="464">
        <f t="shared" ref="CQ34" si="126">SUMPRODUCT(CQ32:CQ33,$C32:$C33)/SUM($C32:$C33)</f>
        <v>3.7434236422697706</v>
      </c>
      <c r="CR34" s="464">
        <f t="shared" ref="CR34" si="127">SUMPRODUCT(CR32:CR33,$C32:$C33)/SUM($C32:$C33)</f>
        <v>4.870466193212426</v>
      </c>
      <c r="CS34" s="464">
        <f t="shared" ref="CS34" si="128">SUMPRODUCT(CS32:CS33,$C32:$C33)/SUM($C32:$C33)</f>
        <v>5.2398087950617249</v>
      </c>
      <c r="CT34" s="464">
        <f t="shared" ref="CT34" si="129">SUMPRODUCT(CT32:CT33,$C32:$C33)/SUM($C32:$C33)</f>
        <v>4.7509034027413399</v>
      </c>
      <c r="CU34" s="464">
        <f t="shared" ref="CU34" si="130">SUMPRODUCT(CU32:CU33,$C32:$C33)/SUM($C32:$C33)</f>
        <v>5.5557542780771607</v>
      </c>
      <c r="CV34" s="464">
        <f t="shared" ref="CV34:CY34" si="131">SUMPRODUCT(CV32:CV33,$C32:$C33)/SUM($C32:$C33)</f>
        <v>4.894199421183492</v>
      </c>
      <c r="CW34" s="464">
        <f t="shared" si="131"/>
        <v>4.6877143486779937</v>
      </c>
      <c r="CX34" s="464">
        <f t="shared" si="131"/>
        <v>4.3617116792201891</v>
      </c>
      <c r="CY34" s="464">
        <f t="shared" si="131"/>
        <v>4.7654266691983338</v>
      </c>
      <c r="CZ34" s="464">
        <f t="shared" ref="CZ34" si="132">SUMPRODUCT(CZ32:CZ33,$C32:$C33)/SUM($C32:$C33)</f>
        <v>4.3231547591874344</v>
      </c>
      <c r="DA34" s="464">
        <f t="shared" ref="DA34" si="133">SUMPRODUCT(DA32:DA33,$C32:$C33)/SUM($C32:$C33)</f>
        <v>5.0839143871806147</v>
      </c>
      <c r="DB34" s="464">
        <f t="shared" ref="DB34" si="134">SUMPRODUCT(DB32:DB33,$C32:$C33)/SUM($C32:$C33)</f>
        <v>4.6123998386962484</v>
      </c>
    </row>
    <row r="35" spans="1:106" s="586" customFormat="1" ht="15.75" customHeight="1" thickBot="1" x14ac:dyDescent="0.3">
      <c r="A35" s="431">
        <f>'MD-ratings-year'!A35</f>
        <v>1</v>
      </c>
      <c r="B35" s="655" t="str">
        <f>'MD-ratings-year'!B35:E35</f>
        <v>Total</v>
      </c>
      <c r="C35" s="656"/>
      <c r="D35" s="656"/>
      <c r="E35" s="657"/>
      <c r="F35" s="442"/>
      <c r="G35" s="654"/>
      <c r="I35" s="446">
        <f>(I24*$A21+I28*$A25+I31*$A29+I34*$A32)/($A21+$A25+$A29+$A32)</f>
        <v>6.0183483093673065</v>
      </c>
      <c r="J35" s="446">
        <f t="shared" ref="J35:BU35" si="135">(J24*$A21+J28*$A25+J31*$A29+J34*$A32)/($A21+$A25+$A29+$A32)</f>
        <v>6.8410836532561907</v>
      </c>
      <c r="K35" s="446">
        <f t="shared" si="135"/>
        <v>4.5528763808686428</v>
      </c>
      <c r="L35" s="446">
        <f t="shared" si="135"/>
        <v>5.1359968538819603</v>
      </c>
      <c r="M35" s="446">
        <f t="shared" si="135"/>
        <v>4.3046137998856349</v>
      </c>
      <c r="N35" s="446">
        <f t="shared" si="135"/>
        <v>5.0351340321794726</v>
      </c>
      <c r="O35" s="446">
        <f t="shared" si="135"/>
        <v>5.7837833925024471</v>
      </c>
      <c r="P35" s="446">
        <f t="shared" si="135"/>
        <v>5.4014668130403791</v>
      </c>
      <c r="Q35" s="446">
        <f t="shared" si="135"/>
        <v>4.4593399123851745</v>
      </c>
      <c r="R35" s="446">
        <f t="shared" si="135"/>
        <v>4.6235687164895447</v>
      </c>
      <c r="S35" s="446">
        <f t="shared" si="135"/>
        <v>5.7119397334152895</v>
      </c>
      <c r="T35" s="446">
        <f t="shared" si="135"/>
        <v>5.1275329783881727</v>
      </c>
      <c r="U35" s="446">
        <f t="shared" si="135"/>
        <v>5.2184654583776382</v>
      </c>
      <c r="V35" s="446">
        <f t="shared" si="135"/>
        <v>5.2293323218687568</v>
      </c>
      <c r="W35" s="446">
        <f t="shared" si="135"/>
        <v>4.5549011613034294</v>
      </c>
      <c r="X35" s="446">
        <f t="shared" si="135"/>
        <v>5.7609929718263073</v>
      </c>
      <c r="Y35" s="446">
        <f t="shared" si="135"/>
        <v>5.9232199781336243</v>
      </c>
      <c r="Z35" s="446">
        <f t="shared" si="135"/>
        <v>4.7753750117491425</v>
      </c>
      <c r="AA35" s="446">
        <f t="shared" si="135"/>
        <v>3.7640782743165486</v>
      </c>
      <c r="AB35" s="446">
        <f t="shared" si="135"/>
        <v>4.9430372663043345</v>
      </c>
      <c r="AC35" s="446">
        <f t="shared" si="135"/>
        <v>4.9499382393028863</v>
      </c>
      <c r="AD35" s="446">
        <f t="shared" si="135"/>
        <v>6.1168377820897577</v>
      </c>
      <c r="AE35" s="446">
        <f t="shared" si="135"/>
        <v>5.3733079090107898</v>
      </c>
      <c r="AF35" s="446">
        <f t="shared" si="135"/>
        <v>2.9043479689923557</v>
      </c>
      <c r="AG35" s="446">
        <f t="shared" si="135"/>
        <v>3.6530806688107407</v>
      </c>
      <c r="AH35" s="446">
        <f t="shared" si="135"/>
        <v>7.1733987370700154</v>
      </c>
      <c r="AI35" s="446">
        <f t="shared" si="135"/>
        <v>3.6728412374974035</v>
      </c>
      <c r="AJ35" s="446">
        <f t="shared" si="135"/>
        <v>2.4049043755779258</v>
      </c>
      <c r="AK35" s="446">
        <f t="shared" si="135"/>
        <v>5.1476570317692394</v>
      </c>
      <c r="AL35" s="446">
        <f t="shared" si="135"/>
        <v>4.888278962758859</v>
      </c>
      <c r="AM35" s="446">
        <f t="shared" si="135"/>
        <v>3.376585287242265</v>
      </c>
      <c r="AN35" s="446">
        <f t="shared" si="135"/>
        <v>5.4293957986685832</v>
      </c>
      <c r="AO35" s="446">
        <f t="shared" si="135"/>
        <v>5.0449125306289648</v>
      </c>
      <c r="AP35" s="446">
        <f t="shared" si="135"/>
        <v>5.4688374050192614</v>
      </c>
      <c r="AQ35" s="446">
        <f t="shared" si="135"/>
        <v>4.717880758780435</v>
      </c>
      <c r="AR35" s="446">
        <f t="shared" si="135"/>
        <v>5.0838876956189658</v>
      </c>
      <c r="AS35" s="446">
        <f t="shared" si="135"/>
        <v>5.5081726603894392</v>
      </c>
      <c r="AT35" s="446">
        <f t="shared" si="135"/>
        <v>5.1538105189392578</v>
      </c>
      <c r="AU35" s="446">
        <f t="shared" si="135"/>
        <v>4.3261680012940937</v>
      </c>
      <c r="AV35" s="446">
        <f t="shared" si="135"/>
        <v>4.7390866871399044</v>
      </c>
      <c r="AW35" s="446">
        <f t="shared" si="135"/>
        <v>3.1321388848159191</v>
      </c>
      <c r="AX35" s="446">
        <f t="shared" si="135"/>
        <v>3.6348806754338234</v>
      </c>
      <c r="AY35" s="446">
        <f t="shared" si="135"/>
        <v>6.9589807525513461</v>
      </c>
      <c r="AZ35" s="446">
        <f t="shared" si="135"/>
        <v>5.551727349817452</v>
      </c>
      <c r="BA35" s="446">
        <f t="shared" si="135"/>
        <v>5.5894906458878078</v>
      </c>
      <c r="BB35" s="446">
        <f t="shared" si="135"/>
        <v>4.9079764743851424</v>
      </c>
      <c r="BC35" s="446">
        <f t="shared" si="135"/>
        <v>5.5277233862518242</v>
      </c>
      <c r="BD35" s="446">
        <f t="shared" si="135"/>
        <v>4.8694470355468198</v>
      </c>
      <c r="BE35" s="446">
        <f t="shared" si="135"/>
        <v>5.1903963138816884</v>
      </c>
      <c r="BF35" s="446">
        <f t="shared" si="135"/>
        <v>4.1221345468393871</v>
      </c>
      <c r="BG35" s="446">
        <f t="shared" si="135"/>
        <v>6.096753802399558</v>
      </c>
      <c r="BH35" s="446">
        <f t="shared" si="135"/>
        <v>5.9677032846052471</v>
      </c>
      <c r="BI35" s="446">
        <f t="shared" si="135"/>
        <v>3.8674089035258454</v>
      </c>
      <c r="BJ35" s="446">
        <f t="shared" si="135"/>
        <v>3.6793071619719893</v>
      </c>
      <c r="BK35" s="446">
        <f t="shared" si="135"/>
        <v>6.027338677375722</v>
      </c>
      <c r="BL35" s="446">
        <f t="shared" si="135"/>
        <v>3.7242177670452952</v>
      </c>
      <c r="BM35" s="446">
        <f t="shared" si="135"/>
        <v>5.6550142052735151</v>
      </c>
      <c r="BN35" s="446">
        <f t="shared" si="135"/>
        <v>5.8334638005373609</v>
      </c>
      <c r="BO35" s="446">
        <f t="shared" si="135"/>
        <v>6.6785850696323337</v>
      </c>
      <c r="BP35" s="446">
        <f t="shared" si="135"/>
        <v>5.9595718286141182</v>
      </c>
      <c r="BQ35" s="446">
        <f t="shared" si="135"/>
        <v>4.8464078770986836</v>
      </c>
      <c r="BR35" s="446">
        <f t="shared" si="135"/>
        <v>6.9372146003318331</v>
      </c>
      <c r="BS35" s="446">
        <f t="shared" si="135"/>
        <v>5.3524164884540362</v>
      </c>
      <c r="BT35" s="446">
        <f t="shared" si="135"/>
        <v>5.9005776995877532</v>
      </c>
      <c r="BU35" s="446">
        <f t="shared" si="135"/>
        <v>6.0297790166023342</v>
      </c>
      <c r="BV35" s="446">
        <f t="shared" ref="BV35:CJ35" si="136">(BV24*$A21+BV28*$A25+BV31*$A29+BV34*$A32)/($A21+$A25+$A29+$A32)</f>
        <v>6.7871792579566774</v>
      </c>
      <c r="BW35" s="446">
        <f t="shared" si="136"/>
        <v>6.1788481805349145</v>
      </c>
      <c r="BX35" s="446">
        <f t="shared" si="136"/>
        <v>4.7039466456496992</v>
      </c>
      <c r="BY35" s="446">
        <f t="shared" si="136"/>
        <v>6.2640350682212596</v>
      </c>
      <c r="BZ35" s="446">
        <f t="shared" si="136"/>
        <v>4.4061118830655195</v>
      </c>
      <c r="CA35" s="446">
        <f t="shared" si="136"/>
        <v>4.8020332513269821</v>
      </c>
      <c r="CB35" s="446">
        <f t="shared" si="136"/>
        <v>4.705935738920374</v>
      </c>
      <c r="CC35" s="446">
        <f t="shared" si="136"/>
        <v>3.7290658656626423</v>
      </c>
      <c r="CD35" s="446">
        <f t="shared" si="136"/>
        <v>6.3941053958326224</v>
      </c>
      <c r="CE35" s="446">
        <f t="shared" si="136"/>
        <v>5.2462570523811527</v>
      </c>
      <c r="CF35" s="446">
        <f t="shared" si="136"/>
        <v>4.925068721714597</v>
      </c>
      <c r="CG35" s="446">
        <f t="shared" si="136"/>
        <v>4.0237577930435471</v>
      </c>
      <c r="CH35" s="446">
        <f t="shared" si="136"/>
        <v>4.8101968544792069</v>
      </c>
      <c r="CI35" s="446">
        <f t="shared" si="136"/>
        <v>3.3356993792896841</v>
      </c>
      <c r="CJ35" s="446">
        <f t="shared" si="136"/>
        <v>2.4690769709014351</v>
      </c>
      <c r="CL35" s="587"/>
      <c r="CM35" s="588">
        <f t="shared" ref="CM35" si="137">(CM24*$A21+CM28*$A25+CM31*$A29+CM34*$A32)/($A21+$A25+$A29+$A32)</f>
        <v>5.7194166750378574</v>
      </c>
      <c r="CN35" s="588">
        <f t="shared" ref="CN35" si="138">(CN24*$A21+CN28*$A25+CN31*$A29+CN34*$A32)/($A21+$A25+$A29+$A32)</f>
        <v>5.7875501713279149</v>
      </c>
      <c r="CO35" s="588">
        <f t="shared" ref="CO35" si="139">(CO24*$A21+CO28*$A25+CO31*$A29+CO34*$A32)/($A21+$A25+$A29+$A32)</f>
        <v>4.3045153055718304</v>
      </c>
      <c r="CP35" s="588">
        <f t="shared" ref="CP35" si="140">(CP24*$A21+CP28*$A25+CP31*$A29+CP34*$A32)/($A21+$A25+$A29+$A32)</f>
        <v>5.0758312943231774</v>
      </c>
      <c r="CQ35" s="588">
        <f t="shared" ref="CQ35" si="141">(CQ24*$A21+CQ28*$A25+CQ31*$A29+CQ34*$A32)/($A21+$A25+$A29+$A32)</f>
        <v>4.7092679504646133</v>
      </c>
      <c r="CR35" s="588">
        <f t="shared" ref="CR35" si="142">(CR24*$A21+CR28*$A25+CR31*$A29+CR34*$A32)/($A21+$A25+$A29+$A32)</f>
        <v>5.4994466401851589</v>
      </c>
      <c r="CS35" s="588">
        <f t="shared" ref="CS35" si="143">(CS24*$A21+CS28*$A25+CS31*$A29+CS34*$A32)/($A21+$A25+$A29+$A32)</f>
        <v>4.6919524006961462</v>
      </c>
      <c r="CT35" s="588">
        <f t="shared" ref="CT35" si="144">(CT24*$A21+CT28*$A25+CT31*$A29+CT34*$A32)/($A21+$A25+$A29+$A32)</f>
        <v>5.0722553623263167</v>
      </c>
      <c r="CU35" s="588">
        <f t="shared" ref="CU35" si="145">(CU24*$A21+CU28*$A25+CU31*$A29+CU34*$A32)/($A21+$A25+$A29+$A32)</f>
        <v>4.6283678814511013</v>
      </c>
      <c r="CV35" s="588">
        <f t="shared" ref="CV35:CY35" si="146">(CV24*$A21+CV28*$A25+CV31*$A29+CV34*$A32)/($A21+$A25+$A29+$A32)</f>
        <v>4.827465371383961</v>
      </c>
      <c r="CW35" s="588">
        <f t="shared" si="146"/>
        <v>5.1873051650957187</v>
      </c>
      <c r="CX35" s="588">
        <f t="shared" si="146"/>
        <v>4.6553247855324855</v>
      </c>
      <c r="CY35" s="588">
        <f t="shared" si="146"/>
        <v>4.9336750942151593</v>
      </c>
      <c r="CZ35" s="588">
        <f t="shared" ref="CZ35" si="147">(CZ24*$A21+CZ28*$A25+CZ31*$A29+CZ34*$A32)/($A21+$A25+$A29+$A32)</f>
        <v>5.1485167785409613</v>
      </c>
      <c r="DA35" s="588">
        <f t="shared" ref="DA35" si="148">(DA24*$A21+DA28*$A25+DA31*$A29+DA34*$A32)/($A21+$A25+$A29+$A32)</f>
        <v>4.8294600633559064</v>
      </c>
      <c r="DB35" s="588">
        <f t="shared" ref="DB35" si="149">(DB24*$A21+DB28*$A25+DB31*$A29+DB34*$A32)/($A21+$A25+$A29+$A32)</f>
        <v>5.0275167868027673</v>
      </c>
    </row>
    <row r="36" spans="1:106" ht="15.75" customHeight="1" x14ac:dyDescent="0.25"/>
  </sheetData>
  <mergeCells count="29">
    <mergeCell ref="C31:E31"/>
    <mergeCell ref="B18:E18"/>
    <mergeCell ref="B35:E35"/>
    <mergeCell ref="G4:G18"/>
    <mergeCell ref="G21:G35"/>
    <mergeCell ref="C11:E11"/>
    <mergeCell ref="C34:E34"/>
    <mergeCell ref="B12:B14"/>
    <mergeCell ref="B4:B7"/>
    <mergeCell ref="C7:E7"/>
    <mergeCell ref="A8:A11"/>
    <mergeCell ref="A12:A14"/>
    <mergeCell ref="B8:B11"/>
    <mergeCell ref="A29:A31"/>
    <mergeCell ref="B29:B31"/>
    <mergeCell ref="A32:A34"/>
    <mergeCell ref="B32:B34"/>
    <mergeCell ref="CM1:DB1"/>
    <mergeCell ref="C24:E24"/>
    <mergeCell ref="A25:A28"/>
    <mergeCell ref="B25:B28"/>
    <mergeCell ref="C28:E28"/>
    <mergeCell ref="C14:E14"/>
    <mergeCell ref="A15:A17"/>
    <mergeCell ref="B15:B17"/>
    <mergeCell ref="C17:E17"/>
    <mergeCell ref="A21:A24"/>
    <mergeCell ref="B21:B24"/>
    <mergeCell ref="A4:A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6"/>
  <sheetViews>
    <sheetView tabSelected="1" workbookViewId="0">
      <pane xSplit="7" ySplit="4" topLeftCell="H5" activePane="bottomRight" state="frozen"/>
      <selection pane="topRight" activeCell="F1" sqref="F1"/>
      <selection pane="bottomLeft" activeCell="A4" sqref="A4"/>
      <selection pane="bottomRight" activeCell="O20" sqref="O20"/>
    </sheetView>
  </sheetViews>
  <sheetFormatPr defaultRowHeight="15" x14ac:dyDescent="0.25"/>
  <cols>
    <col min="1" max="1" width="3" style="307" bestFit="1" customWidth="1"/>
    <col min="2" max="2" width="3" style="525" customWidth="1"/>
    <col min="3" max="3" width="44" style="307" bestFit="1" customWidth="1"/>
    <col min="4" max="4" width="7.28515625" style="307" bestFit="1" customWidth="1"/>
    <col min="5" max="5" width="3" style="307" customWidth="1"/>
    <col min="6" max="6" width="8.7109375" style="284" customWidth="1"/>
    <col min="7" max="7" width="3" style="307" customWidth="1"/>
    <col min="8" max="10" width="6.7109375" style="307" customWidth="1"/>
    <col min="11" max="11" width="6.7109375" style="284" customWidth="1"/>
    <col min="12" max="12" width="3" style="307" customWidth="1"/>
    <col min="13" max="15" width="6.7109375" style="307" customWidth="1"/>
    <col min="16" max="16" width="6.7109375" style="284" customWidth="1"/>
    <col min="17" max="17" width="3" style="307" customWidth="1"/>
    <col min="18" max="19" width="6.7109375" style="307" customWidth="1"/>
    <col min="20" max="20" width="6.7109375" style="284" customWidth="1"/>
    <col min="21" max="21" width="3" style="307" customWidth="1"/>
    <col min="22" max="23" width="6.7109375" style="307" customWidth="1"/>
    <col min="24" max="24" width="6.7109375" style="284" customWidth="1"/>
    <col min="25" max="25" width="3" style="307" customWidth="1"/>
    <col min="26" max="26" width="3" style="546" customWidth="1"/>
    <col min="27" max="29" width="7.7109375" style="307" customWidth="1"/>
    <col min="30" max="30" width="3" style="307" customWidth="1"/>
    <col min="31" max="33" width="7.7109375" style="307" customWidth="1"/>
    <col min="34" max="34" width="3" style="307" customWidth="1"/>
    <col min="35" max="36" width="7.7109375" style="307" customWidth="1"/>
    <col min="37" max="37" width="3" style="307" customWidth="1"/>
    <col min="38" max="39" width="7.7109375" style="307" customWidth="1"/>
    <col min="40" max="16384" width="9.140625" style="307"/>
  </cols>
  <sheetData>
    <row r="1" spans="1:39" x14ac:dyDescent="0.25">
      <c r="H1" s="525">
        <v>20</v>
      </c>
      <c r="I1" s="525">
        <v>21</v>
      </c>
      <c r="J1" s="525">
        <v>22</v>
      </c>
      <c r="K1" s="525">
        <v>23</v>
      </c>
      <c r="L1" s="525"/>
      <c r="M1" s="525">
        <v>24</v>
      </c>
      <c r="N1" s="525">
        <v>25</v>
      </c>
      <c r="O1" s="525">
        <v>26</v>
      </c>
      <c r="P1" s="525">
        <v>27</v>
      </c>
      <c r="Q1" s="525"/>
      <c r="R1" s="525">
        <v>28</v>
      </c>
      <c r="S1" s="525">
        <v>29</v>
      </c>
      <c r="T1" s="525">
        <v>30</v>
      </c>
      <c r="U1" s="525"/>
      <c r="V1" s="525">
        <v>31</v>
      </c>
      <c r="W1" s="525">
        <v>32</v>
      </c>
      <c r="X1" s="284">
        <v>33</v>
      </c>
      <c r="Y1" s="525"/>
      <c r="Z1" s="544"/>
      <c r="AA1" s="525">
        <v>20</v>
      </c>
      <c r="AB1" s="525">
        <v>21</v>
      </c>
      <c r="AC1" s="525">
        <v>22</v>
      </c>
      <c r="AD1" s="525"/>
      <c r="AE1" s="525">
        <v>24</v>
      </c>
      <c r="AF1" s="525">
        <v>25</v>
      </c>
      <c r="AG1" s="525">
        <v>26</v>
      </c>
      <c r="AH1" s="525"/>
      <c r="AI1" s="525">
        <v>28</v>
      </c>
      <c r="AJ1" s="525">
        <v>29</v>
      </c>
      <c r="AK1" s="525"/>
      <c r="AL1" s="525">
        <v>31</v>
      </c>
      <c r="AM1" s="525">
        <v>32</v>
      </c>
    </row>
    <row r="2" spans="1:39" x14ac:dyDescent="0.25">
      <c r="F2" s="674" t="s">
        <v>1468</v>
      </c>
      <c r="G2" s="674"/>
      <c r="H2" s="674"/>
      <c r="I2" s="674"/>
      <c r="J2" s="674"/>
      <c r="K2" s="674"/>
      <c r="L2" s="674"/>
      <c r="M2" s="674"/>
      <c r="N2" s="674"/>
      <c r="O2" s="674"/>
      <c r="P2" s="674"/>
      <c r="Q2" s="674"/>
      <c r="R2" s="674"/>
      <c r="S2" s="674"/>
      <c r="T2" s="674"/>
      <c r="U2" s="674"/>
      <c r="V2" s="674"/>
      <c r="W2" s="674"/>
      <c r="X2" s="674"/>
      <c r="Y2" s="543"/>
      <c r="Z2" s="545"/>
      <c r="AA2" s="674" t="s">
        <v>1469</v>
      </c>
      <c r="AB2" s="674"/>
      <c r="AC2" s="674"/>
      <c r="AD2" s="674"/>
      <c r="AE2" s="674"/>
      <c r="AF2" s="674"/>
      <c r="AG2" s="674"/>
      <c r="AH2" s="674"/>
      <c r="AI2" s="674"/>
      <c r="AJ2" s="674"/>
      <c r="AK2" s="674"/>
      <c r="AL2" s="674"/>
      <c r="AM2" s="674"/>
    </row>
    <row r="3" spans="1:39" x14ac:dyDescent="0.25">
      <c r="F3" s="481">
        <f>K3+P3+T3+X3</f>
        <v>1</v>
      </c>
      <c r="G3" s="428"/>
      <c r="H3" s="530">
        <f>'MD-ranking'!H3</f>
        <v>8.3333333333333329E-2</v>
      </c>
      <c r="I3" s="530">
        <f>'MD-ranking'!I3</f>
        <v>8.3333333333333329E-2</v>
      </c>
      <c r="J3" s="530">
        <f>'MD-ranking'!J3</f>
        <v>8.3333333333333329E-2</v>
      </c>
      <c r="K3" s="529">
        <f>H3+I3+J3</f>
        <v>0.25</v>
      </c>
      <c r="L3" s="428"/>
      <c r="M3" s="530">
        <f>'MD-ranking'!M3</f>
        <v>0.1</v>
      </c>
      <c r="N3" s="530">
        <f>'MD-ranking'!N3</f>
        <v>0.05</v>
      </c>
      <c r="O3" s="530">
        <f>'MD-ranking'!O3</f>
        <v>0.1</v>
      </c>
      <c r="P3" s="529">
        <f>M3+N3+O3</f>
        <v>0.25</v>
      </c>
      <c r="Q3" s="428"/>
      <c r="R3" s="530">
        <f>'MD-ranking'!R3</f>
        <v>0.15</v>
      </c>
      <c r="S3" s="530">
        <f>'MD-ranking'!S3</f>
        <v>0.15</v>
      </c>
      <c r="T3" s="529">
        <f>R3+S3</f>
        <v>0.3</v>
      </c>
      <c r="U3" s="428"/>
      <c r="V3" s="530">
        <f>'MD-ranking'!V3</f>
        <v>0.1</v>
      </c>
      <c r="W3" s="530">
        <f>'MD-ranking'!W3</f>
        <v>0.1</v>
      </c>
      <c r="X3" s="529">
        <f>V3+W3</f>
        <v>0.2</v>
      </c>
      <c r="Y3" s="428"/>
      <c r="AA3" s="541" t="s">
        <v>386</v>
      </c>
      <c r="AB3" s="541" t="s">
        <v>386</v>
      </c>
      <c r="AC3" s="541" t="s">
        <v>386</v>
      </c>
      <c r="AD3" s="542"/>
      <c r="AE3" s="541" t="s">
        <v>386</v>
      </c>
      <c r="AF3" s="541" t="s">
        <v>386</v>
      </c>
      <c r="AG3" s="541" t="s">
        <v>386</v>
      </c>
      <c r="AH3" s="542"/>
      <c r="AI3" s="541" t="s">
        <v>311</v>
      </c>
      <c r="AJ3" s="541" t="s">
        <v>1535</v>
      </c>
      <c r="AK3" s="542"/>
      <c r="AL3" s="541" t="s">
        <v>1536</v>
      </c>
      <c r="AM3" s="541" t="s">
        <v>386</v>
      </c>
    </row>
    <row r="4" spans="1:39" s="159" customFormat="1" ht="100.5" customHeight="1" x14ac:dyDescent="0.25">
      <c r="A4" s="512" t="s">
        <v>1458</v>
      </c>
      <c r="B4" s="526" t="s">
        <v>1464</v>
      </c>
      <c r="C4" s="512"/>
      <c r="D4" s="512"/>
      <c r="E4" s="512"/>
      <c r="F4" s="513" t="str">
        <f>'MD-ratings-year'!B18</f>
        <v>Total</v>
      </c>
      <c r="G4" s="512"/>
      <c r="H4" s="515" t="str">
        <f>'MD-ratings-year'!D4</f>
        <v>Current Ratio</v>
      </c>
      <c r="I4" s="515" t="str">
        <f>'MD-ratings-year'!D5</f>
        <v>Quick Asset Ratio</v>
      </c>
      <c r="J4" s="515" t="str">
        <f>'MD-ratings-year'!D6</f>
        <v>Cash Position Ratio</v>
      </c>
      <c r="K4" s="516" t="str">
        <f>'MD-ratings-year'!C7</f>
        <v>Liquidity total</v>
      </c>
      <c r="L4" s="512"/>
      <c r="M4" s="515" t="str">
        <f>'MD-ratings-year'!D8</f>
        <v>ROA - Return on Assets</v>
      </c>
      <c r="N4" s="515" t="str">
        <f>'MD-ratings-year'!D9</f>
        <v>ROE - Return on Equity</v>
      </c>
      <c r="O4" s="515" t="str">
        <f>'MD-ratings-year'!D10</f>
        <v>ROS – Return on Sales</v>
      </c>
      <c r="P4" s="516" t="str">
        <f>'MD-ratings-year'!C11</f>
        <v>Profitability total</v>
      </c>
      <c r="Q4" s="512"/>
      <c r="R4" s="515" t="str">
        <f>'MD-ratings-year'!D12</f>
        <v>Total Debt to Total Assets</v>
      </c>
      <c r="S4" s="515" t="str">
        <f>'MD-ratings-year'!D13</f>
        <v>Debt-to-EBITDA Ratio</v>
      </c>
      <c r="T4" s="516" t="str">
        <f>'MD-ratings-year'!C14</f>
        <v>Leverage total</v>
      </c>
      <c r="U4" s="512"/>
      <c r="V4" s="515" t="str">
        <f>'MD-ratings-year'!D15</f>
        <v>Working capital turnover ratio</v>
      </c>
      <c r="W4" s="515" t="str">
        <f>'MD-ratings-year'!D16</f>
        <v>Accounts receivable turnover ratio</v>
      </c>
      <c r="X4" s="516" t="str">
        <f>'MD-ratings-year'!C17</f>
        <v>Activity total</v>
      </c>
      <c r="Y4" s="512"/>
      <c r="Z4" s="547"/>
      <c r="AA4" s="477" t="str">
        <f>H4</f>
        <v>Current Ratio</v>
      </c>
      <c r="AB4" s="477" t="str">
        <f t="shared" ref="AB4:AC4" si="0">I4</f>
        <v>Quick Asset Ratio</v>
      </c>
      <c r="AC4" s="477" t="str">
        <f t="shared" si="0"/>
        <v>Cash Position Ratio</v>
      </c>
      <c r="AD4" s="512"/>
      <c r="AE4" s="477" t="str">
        <f>M4</f>
        <v>ROA - Return on Assets</v>
      </c>
      <c r="AF4" s="477" t="str">
        <f t="shared" ref="AF4:AG4" si="1">N4</f>
        <v>ROE - Return on Equity</v>
      </c>
      <c r="AG4" s="477" t="str">
        <f t="shared" si="1"/>
        <v>ROS – Return on Sales</v>
      </c>
      <c r="AH4" s="512"/>
      <c r="AI4" s="477" t="str">
        <f>R4</f>
        <v>Total Debt to Total Assets</v>
      </c>
      <c r="AJ4" s="477" t="str">
        <f>S4</f>
        <v>Debt-to-EBITDA Ratio</v>
      </c>
      <c r="AK4" s="512"/>
      <c r="AL4" s="477" t="str">
        <f>V4</f>
        <v>Working capital turnover ratio</v>
      </c>
      <c r="AM4" s="477" t="str">
        <f>W4</f>
        <v>Accounts receivable turnover ratio</v>
      </c>
    </row>
    <row r="5" spans="1:39" s="159" customFormat="1" x14ac:dyDescent="0.25">
      <c r="A5" s="512">
        <v>0</v>
      </c>
      <c r="B5" s="527"/>
      <c r="C5" s="512" t="s">
        <v>1459</v>
      </c>
      <c r="D5" s="512"/>
      <c r="E5" s="512"/>
      <c r="F5" s="524">
        <f>QUARTILE(F$12:F$91,$A5)</f>
        <v>2.4690769709014351</v>
      </c>
      <c r="G5" s="512"/>
      <c r="H5" s="528">
        <f t="shared" ref="H5:K9" ca="1" si="2">QUARTILE(H$12:H$91,$A5)</f>
        <v>0.63895044123978673</v>
      </c>
      <c r="I5" s="528">
        <f t="shared" ca="1" si="2"/>
        <v>0.68621466160807565</v>
      </c>
      <c r="J5" s="528">
        <f t="shared" ca="1" si="2"/>
        <v>7.7445507699041682E-2</v>
      </c>
      <c r="K5" s="524">
        <f t="shared" ca="1" si="2"/>
        <v>0.76083798709745531</v>
      </c>
      <c r="L5" s="512"/>
      <c r="M5" s="528">
        <f t="shared" ref="M5:P9" ca="1" si="3">QUARTILE(M$12:M$91,$A5)</f>
        <v>0</v>
      </c>
      <c r="N5" s="528">
        <f t="shared" ca="1" si="3"/>
        <v>0.8117406752082178</v>
      </c>
      <c r="O5" s="528">
        <f t="shared" ca="1" si="3"/>
        <v>0</v>
      </c>
      <c r="P5" s="524">
        <f t="shared" ca="1" si="3"/>
        <v>0.20438710865806278</v>
      </c>
      <c r="Q5" s="512"/>
      <c r="R5" s="528">
        <f t="shared" ref="R5:T9" ca="1" si="4">QUARTILE(R$12:R$91,$A5)</f>
        <v>0</v>
      </c>
      <c r="S5" s="528">
        <f t="shared" ca="1" si="4"/>
        <v>0.24196355444136802</v>
      </c>
      <c r="T5" s="524">
        <f t="shared" ca="1" si="4"/>
        <v>0.120981777220684</v>
      </c>
      <c r="U5" s="512"/>
      <c r="V5" s="528">
        <f t="shared" ref="V5:X9" ca="1" si="5">QUARTILE(V$12:V$91,$A5)</f>
        <v>0.10378345751027311</v>
      </c>
      <c r="W5" s="528">
        <f t="shared" ca="1" si="5"/>
        <v>3.3009837850542546E-2</v>
      </c>
      <c r="X5" s="524">
        <f t="shared" ca="1" si="5"/>
        <v>6.8396647680407832E-2</v>
      </c>
      <c r="Y5" s="512"/>
      <c r="Z5" s="547"/>
      <c r="AA5" s="532">
        <f t="shared" ref="AA5:AC9" ca="1" si="6">QUARTILE(AA$12:AA$91,$A5)</f>
        <v>8.1494960386994358E-2</v>
      </c>
      <c r="AB5" s="532">
        <f t="shared" ca="1" si="6"/>
        <v>4.5169310029803358E-2</v>
      </c>
      <c r="AC5" s="532">
        <f t="shared" ca="1" si="6"/>
        <v>1.7137843099618855E-3</v>
      </c>
      <c r="AD5" s="533"/>
      <c r="AE5" s="532">
        <f t="shared" ref="AE5:AG9" ca="1" si="7">QUARTILE(AE$12:AE$91,$A5)</f>
        <v>-0.14143713683949652</v>
      </c>
      <c r="AF5" s="532">
        <f t="shared" ca="1" si="7"/>
        <v>-0.16933838423112671</v>
      </c>
      <c r="AG5" s="532">
        <f t="shared" ca="1" si="7"/>
        <v>-8.7325597057466684</v>
      </c>
      <c r="AH5" s="533"/>
      <c r="AI5" s="532">
        <f t="shared" ref="AI5:AJ9" ca="1" si="8">QUARTILE(AI$12:AI$91,$A5)</f>
        <v>1.482272627240457E-3</v>
      </c>
      <c r="AJ5" s="532">
        <f t="shared" ca="1" si="8"/>
        <v>-131.90816326530611</v>
      </c>
      <c r="AK5" s="533"/>
      <c r="AL5" s="532">
        <f t="shared" ref="AL5:AM9" ca="1" si="9">QUARTILE(AL$12:AL$91,$A5)</f>
        <v>-88.190887281451054</v>
      </c>
      <c r="AM5" s="532">
        <f t="shared" ca="1" si="9"/>
        <v>3.2155629570223256E-2</v>
      </c>
    </row>
    <row r="6" spans="1:39" s="159" customFormat="1" x14ac:dyDescent="0.25">
      <c r="A6" s="512">
        <v>1</v>
      </c>
      <c r="B6" s="527"/>
      <c r="C6" s="512" t="s">
        <v>1460</v>
      </c>
      <c r="D6" s="512"/>
      <c r="E6" s="512"/>
      <c r="F6" s="524">
        <f>QUARTILE(F$12:F$91,$A6)</f>
        <v>4.5538887710860365</v>
      </c>
      <c r="G6" s="512"/>
      <c r="H6" s="528">
        <f t="shared" ca="1" si="2"/>
        <v>4.2195202832343313</v>
      </c>
      <c r="I6" s="528">
        <f t="shared" ca="1" si="2"/>
        <v>4.3294121593227608</v>
      </c>
      <c r="J6" s="528">
        <f t="shared" ca="1" si="2"/>
        <v>2.0093791941507959</v>
      </c>
      <c r="K6" s="524">
        <f t="shared" ca="1" si="2"/>
        <v>3.5831225491184666</v>
      </c>
      <c r="L6" s="512"/>
      <c r="M6" s="528">
        <f t="shared" ca="1" si="3"/>
        <v>5.3811233411231019</v>
      </c>
      <c r="N6" s="528">
        <f t="shared" ca="1" si="3"/>
        <v>5.3126515683315727</v>
      </c>
      <c r="O6" s="528">
        <f t="shared" ca="1" si="3"/>
        <v>5.5382879793370376</v>
      </c>
      <c r="P6" s="524">
        <f t="shared" ca="1" si="3"/>
        <v>5.7127139380857024</v>
      </c>
      <c r="Q6" s="512"/>
      <c r="R6" s="528">
        <f t="shared" ca="1" si="4"/>
        <v>0</v>
      </c>
      <c r="S6" s="528">
        <f t="shared" ca="1" si="4"/>
        <v>4.3373503890248788</v>
      </c>
      <c r="T6" s="524">
        <f t="shared" ca="1" si="4"/>
        <v>2.5942375670750071</v>
      </c>
      <c r="U6" s="512"/>
      <c r="V6" s="528">
        <f t="shared" ca="1" si="5"/>
        <v>3.4757707586758739</v>
      </c>
      <c r="W6" s="528">
        <f t="shared" ca="1" si="5"/>
        <v>2.5681252073961272</v>
      </c>
      <c r="X6" s="524">
        <f t="shared" ca="1" si="5"/>
        <v>3.5179251155546325</v>
      </c>
      <c r="Y6" s="512"/>
      <c r="Z6" s="547"/>
      <c r="AA6" s="532">
        <f t="shared" ca="1" si="6"/>
        <v>1.1774278822297475</v>
      </c>
      <c r="AB6" s="532">
        <f t="shared" ca="1" si="6"/>
        <v>1.1022615046484492</v>
      </c>
      <c r="AC6" s="532">
        <f t="shared" ca="1" si="6"/>
        <v>0.1606324095045697</v>
      </c>
      <c r="AD6" s="533"/>
      <c r="AE6" s="532">
        <f t="shared" ca="1" si="7"/>
        <v>1.4113965344296252E-3</v>
      </c>
      <c r="AF6" s="532">
        <f t="shared" ca="1" si="7"/>
        <v>2.2782216055821005E-3</v>
      </c>
      <c r="AG6" s="532">
        <f t="shared" ca="1" si="7"/>
        <v>2.2724118523483605E-3</v>
      </c>
      <c r="AH6" s="533"/>
      <c r="AI6" s="532">
        <f t="shared" ca="1" si="8"/>
        <v>9.3513973805569542E-2</v>
      </c>
      <c r="AJ6" s="532">
        <f t="shared" ca="1" si="8"/>
        <v>1.3334882548052125</v>
      </c>
      <c r="AK6" s="533"/>
      <c r="AL6" s="532">
        <f t="shared" ca="1" si="9"/>
        <v>1.1234110786242382</v>
      </c>
      <c r="AM6" s="532">
        <f t="shared" ca="1" si="9"/>
        <v>4.3886228893906463</v>
      </c>
    </row>
    <row r="7" spans="1:39" s="538" customFormat="1" x14ac:dyDescent="0.25">
      <c r="A7" s="534">
        <v>2</v>
      </c>
      <c r="B7" s="535"/>
      <c r="C7" s="534" t="s">
        <v>1461</v>
      </c>
      <c r="D7" s="534"/>
      <c r="E7" s="534"/>
      <c r="F7" s="536">
        <f>QUARTILE(F$12:F$91,$A7)</f>
        <v>5.1275329783881727</v>
      </c>
      <c r="G7" s="534"/>
      <c r="H7" s="537">
        <f t="shared" ca="1" si="2"/>
        <v>5.4584374585835054</v>
      </c>
      <c r="I7" s="537">
        <f t="shared" ca="1" si="2"/>
        <v>5.5265484156717166</v>
      </c>
      <c r="J7" s="537">
        <f t="shared" ca="1" si="2"/>
        <v>4.6996029098058916</v>
      </c>
      <c r="K7" s="536">
        <f t="shared" ca="1" si="2"/>
        <v>5.1202988979912183</v>
      </c>
      <c r="L7" s="534"/>
      <c r="M7" s="537">
        <f t="shared" ca="1" si="3"/>
        <v>7.1817386561472505</v>
      </c>
      <c r="N7" s="537">
        <f t="shared" ca="1" si="3"/>
        <v>6.933922743334187</v>
      </c>
      <c r="O7" s="537">
        <f t="shared" ca="1" si="3"/>
        <v>7.048356199412753</v>
      </c>
      <c r="P7" s="536">
        <f t="shared" ca="1" si="3"/>
        <v>7.1514978821885951</v>
      </c>
      <c r="Q7" s="534"/>
      <c r="R7" s="537">
        <f t="shared" ca="1" si="4"/>
        <v>0.75774665678856912</v>
      </c>
      <c r="S7" s="537">
        <f t="shared" ca="1" si="4"/>
        <v>5.8068370567860432</v>
      </c>
      <c r="T7" s="536">
        <f t="shared" ca="1" si="4"/>
        <v>3.3892714647448581</v>
      </c>
      <c r="U7" s="534"/>
      <c r="V7" s="537">
        <f t="shared" ca="1" si="5"/>
        <v>5.1220421210607663</v>
      </c>
      <c r="W7" s="537">
        <f t="shared" ca="1" si="5"/>
        <v>3.1796671417416613</v>
      </c>
      <c r="X7" s="536">
        <f t="shared" ca="1" si="5"/>
        <v>4.361398879433553</v>
      </c>
      <c r="Y7" s="534"/>
      <c r="Z7" s="548"/>
      <c r="AA7" s="539">
        <f t="shared" ca="1" si="6"/>
        <v>2.0376925208852992</v>
      </c>
      <c r="AB7" s="539">
        <f t="shared" ca="1" si="6"/>
        <v>1.7530867745581886</v>
      </c>
      <c r="AC7" s="539">
        <f t="shared" ca="1" si="6"/>
        <v>0.90642801884802027</v>
      </c>
      <c r="AD7" s="540"/>
      <c r="AE7" s="539">
        <f t="shared" ca="1" si="7"/>
        <v>1.7175764085973898E-2</v>
      </c>
      <c r="AF7" s="539">
        <f t="shared" ca="1" si="7"/>
        <v>2.9238419693615184E-2</v>
      </c>
      <c r="AG7" s="539">
        <f t="shared" ca="1" si="7"/>
        <v>2.0093615578479558E-2</v>
      </c>
      <c r="AH7" s="540"/>
      <c r="AI7" s="539">
        <f t="shared" ca="1" si="8"/>
        <v>0.2974055449467603</v>
      </c>
      <c r="AJ7" s="539">
        <f t="shared" ca="1" si="8"/>
        <v>3.6555712871807602</v>
      </c>
      <c r="AK7" s="540"/>
      <c r="AL7" s="539">
        <f t="shared" ca="1" si="9"/>
        <v>3.2619737990486586</v>
      </c>
      <c r="AM7" s="539">
        <f t="shared" ca="1" si="9"/>
        <v>6.746001440977178</v>
      </c>
    </row>
    <row r="8" spans="1:39" s="159" customFormat="1" x14ac:dyDescent="0.25">
      <c r="A8" s="512">
        <v>3</v>
      </c>
      <c r="B8" s="527"/>
      <c r="C8" s="512" t="s">
        <v>1462</v>
      </c>
      <c r="D8" s="512"/>
      <c r="E8" s="512"/>
      <c r="F8" s="524">
        <f>QUARTILE(F$12:F$91,$A8)</f>
        <v>5.7723881821643772</v>
      </c>
      <c r="G8" s="512"/>
      <c r="H8" s="528">
        <f t="shared" ca="1" si="2"/>
        <v>7.6219853158252509</v>
      </c>
      <c r="I8" s="528">
        <f t="shared" ca="1" si="2"/>
        <v>7.5105545571092627</v>
      </c>
      <c r="J8" s="528">
        <f t="shared" ca="1" si="2"/>
        <v>6.9133036289331322</v>
      </c>
      <c r="K8" s="524">
        <f t="shared" ca="1" si="2"/>
        <v>7.3262746592472006</v>
      </c>
      <c r="L8" s="512"/>
      <c r="M8" s="528">
        <f t="shared" ca="1" si="3"/>
        <v>8.7082222510293974</v>
      </c>
      <c r="N8" s="528">
        <f t="shared" ca="1" si="3"/>
        <v>8.5420348141957945</v>
      </c>
      <c r="O8" s="528">
        <f t="shared" ca="1" si="3"/>
        <v>8.554647014568733</v>
      </c>
      <c r="P8" s="524">
        <f t="shared" ca="1" si="3"/>
        <v>8.4660484172996515</v>
      </c>
      <c r="Q8" s="512"/>
      <c r="R8" s="528">
        <f t="shared" ca="1" si="4"/>
        <v>3.3047522258258835</v>
      </c>
      <c r="S8" s="528">
        <f t="shared" ca="1" si="4"/>
        <v>6.7859282934166352</v>
      </c>
      <c r="T8" s="524">
        <f t="shared" ca="1" si="4"/>
        <v>4.8162321263176198</v>
      </c>
      <c r="U8" s="512"/>
      <c r="V8" s="528">
        <f t="shared" ca="1" si="5"/>
        <v>7.8610701014900233</v>
      </c>
      <c r="W8" s="528">
        <f t="shared" ca="1" si="5"/>
        <v>3.9400592430004826</v>
      </c>
      <c r="X8" s="524">
        <f t="shared" ca="1" si="5"/>
        <v>5.7855553483444719</v>
      </c>
      <c r="Y8" s="512"/>
      <c r="Z8" s="547"/>
      <c r="AA8" s="532">
        <f t="shared" ca="1" si="6"/>
        <v>5.2730778103951597</v>
      </c>
      <c r="AB8" s="532">
        <f t="shared" ca="1" si="6"/>
        <v>4.2433715046746681</v>
      </c>
      <c r="AC8" s="532">
        <f t="shared" ca="1" si="6"/>
        <v>2.5752122430397928</v>
      </c>
      <c r="AD8" s="533"/>
      <c r="AE8" s="532">
        <f t="shared" ca="1" si="7"/>
        <v>6.0804097067428758E-2</v>
      </c>
      <c r="AF8" s="532">
        <f t="shared" ca="1" si="7"/>
        <v>0.13798638360931012</v>
      </c>
      <c r="AG8" s="532">
        <f t="shared" ca="1" si="7"/>
        <v>5.7245118069824574E-2</v>
      </c>
      <c r="AH8" s="533"/>
      <c r="AI8" s="532">
        <f t="shared" ca="1" si="8"/>
        <v>0.50745210421801223</v>
      </c>
      <c r="AJ8" s="532">
        <f t="shared" ca="1" si="8"/>
        <v>7.0498600860314555</v>
      </c>
      <c r="AK8" s="533"/>
      <c r="AL8" s="532">
        <f t="shared" ca="1" si="9"/>
        <v>9.7332363531699571</v>
      </c>
      <c r="AM8" s="532">
        <f t="shared" ca="1" si="9"/>
        <v>9.896832996918473</v>
      </c>
    </row>
    <row r="9" spans="1:39" s="159" customFormat="1" x14ac:dyDescent="0.25">
      <c r="A9" s="512">
        <v>4</v>
      </c>
      <c r="B9" s="527"/>
      <c r="C9" s="512" t="s">
        <v>1463</v>
      </c>
      <c r="D9" s="512"/>
      <c r="E9" s="512"/>
      <c r="F9" s="524">
        <f>QUARTILE(F$12:F$91,$A9)</f>
        <v>7.1733987370700154</v>
      </c>
      <c r="G9" s="512"/>
      <c r="H9" s="528">
        <f t="shared" ca="1" si="2"/>
        <v>10</v>
      </c>
      <c r="I9" s="528">
        <f t="shared" ca="1" si="2"/>
        <v>10</v>
      </c>
      <c r="J9" s="528">
        <f t="shared" ca="1" si="2"/>
        <v>10</v>
      </c>
      <c r="K9" s="524">
        <f t="shared" ca="1" si="2"/>
        <v>10</v>
      </c>
      <c r="L9" s="512"/>
      <c r="M9" s="528">
        <f t="shared" ca="1" si="3"/>
        <v>10</v>
      </c>
      <c r="N9" s="528">
        <f t="shared" ca="1" si="3"/>
        <v>10</v>
      </c>
      <c r="O9" s="528">
        <f t="shared" ca="1" si="3"/>
        <v>10</v>
      </c>
      <c r="P9" s="524">
        <f t="shared" ca="1" si="3"/>
        <v>9.8446189373106527</v>
      </c>
      <c r="Q9" s="512"/>
      <c r="R9" s="528">
        <f t="shared" ca="1" si="4"/>
        <v>9.5486485915330537</v>
      </c>
      <c r="S9" s="528">
        <f t="shared" ca="1" si="4"/>
        <v>8.4592867563790826</v>
      </c>
      <c r="T9" s="524">
        <f t="shared" ca="1" si="4"/>
        <v>7.79827827064027</v>
      </c>
      <c r="U9" s="512"/>
      <c r="V9" s="528">
        <f t="shared" ca="1" si="5"/>
        <v>10</v>
      </c>
      <c r="W9" s="528">
        <f t="shared" ca="1" si="5"/>
        <v>9.5433775012963</v>
      </c>
      <c r="X9" s="524">
        <f t="shared" ca="1" si="5"/>
        <v>8.5058986033673225</v>
      </c>
      <c r="Y9" s="512"/>
      <c r="Z9" s="547"/>
      <c r="AA9" s="532">
        <f t="shared" ca="1" si="6"/>
        <v>74.818641703220507</v>
      </c>
      <c r="AB9" s="532">
        <f t="shared" ca="1" si="6"/>
        <v>74.730741725248762</v>
      </c>
      <c r="AC9" s="532">
        <f t="shared" ca="1" si="6"/>
        <v>40.234128688991397</v>
      </c>
      <c r="AD9" s="533"/>
      <c r="AE9" s="532">
        <f t="shared" ca="1" si="7"/>
        <v>0.25199796776081068</v>
      </c>
      <c r="AF9" s="532">
        <f t="shared" ca="1" si="7"/>
        <v>1.1859177334245694</v>
      </c>
      <c r="AG9" s="532">
        <f t="shared" ca="1" si="7"/>
        <v>1.7320708767215318</v>
      </c>
      <c r="AH9" s="533"/>
      <c r="AI9" s="532">
        <f t="shared" ca="1" si="8"/>
        <v>0.97852325033439169</v>
      </c>
      <c r="AJ9" s="532">
        <f t="shared" ca="1" si="8"/>
        <v>53.289851291416646</v>
      </c>
      <c r="AK9" s="533"/>
      <c r="AL9" s="532">
        <f t="shared" ca="1" si="9"/>
        <v>153.33436780000932</v>
      </c>
      <c r="AM9" s="532">
        <f t="shared" ca="1" si="9"/>
        <v>96.344789661809187</v>
      </c>
    </row>
    <row r="10" spans="1:39" s="159" customFormat="1" x14ac:dyDescent="0.25">
      <c r="A10" s="549" t="s">
        <v>1471</v>
      </c>
      <c r="B10" s="527"/>
      <c r="C10" s="512" t="s">
        <v>1470</v>
      </c>
      <c r="D10" s="512"/>
      <c r="E10" s="512"/>
      <c r="F10" s="524"/>
      <c r="G10" s="512"/>
      <c r="H10" s="528"/>
      <c r="I10" s="528"/>
      <c r="J10" s="528"/>
      <c r="K10" s="524"/>
      <c r="L10" s="512"/>
      <c r="M10" s="528"/>
      <c r="N10" s="528"/>
      <c r="O10" s="528"/>
      <c r="P10" s="524"/>
      <c r="Q10" s="512"/>
      <c r="R10" s="528"/>
      <c r="S10" s="528"/>
      <c r="T10" s="524"/>
      <c r="U10" s="512"/>
      <c r="V10" s="528"/>
      <c r="W10" s="528"/>
      <c r="X10" s="524"/>
      <c r="Y10" s="512"/>
      <c r="Z10" s="547"/>
      <c r="AA10" s="532"/>
      <c r="AB10" s="532"/>
      <c r="AC10" s="532"/>
      <c r="AD10" s="533"/>
      <c r="AE10" s="532"/>
      <c r="AF10" s="532"/>
      <c r="AG10" s="532"/>
      <c r="AH10" s="533"/>
      <c r="AI10" s="532">
        <f t="array" aca="1" ref="AI10" ca="1">MIN(IF(AI12:AI91&gt;=0,AI12:AI91))</f>
        <v>0</v>
      </c>
      <c r="AJ10" s="532">
        <f t="array" aca="1" ref="AJ10" ca="1">MIN(IF(AJ12:AJ91&gt;=0,AJ12:AJ91))</f>
        <v>0</v>
      </c>
      <c r="AK10" s="533"/>
      <c r="AL10" s="532">
        <f t="array" aca="1" ref="AL10" ca="1">MIN(IF(AL12:AL91&gt;=0,AL12:AL91))</f>
        <v>0</v>
      </c>
      <c r="AM10" s="532"/>
    </row>
    <row r="11" spans="1:39" s="159" customFormat="1" x14ac:dyDescent="0.25">
      <c r="A11" s="512"/>
      <c r="B11" s="527"/>
      <c r="C11" s="512"/>
      <c r="D11" s="512"/>
      <c r="E11" s="512"/>
      <c r="F11" s="513"/>
      <c r="G11" s="512"/>
      <c r="H11" s="528"/>
      <c r="I11" s="528"/>
      <c r="J11" s="528"/>
      <c r="K11" s="524"/>
      <c r="L11" s="512"/>
      <c r="M11" s="528"/>
      <c r="N11" s="528"/>
      <c r="O11" s="528"/>
      <c r="P11" s="524"/>
      <c r="Q11" s="512"/>
      <c r="R11" s="528"/>
      <c r="S11" s="528"/>
      <c r="T11" s="524"/>
      <c r="U11" s="512"/>
      <c r="V11" s="528"/>
      <c r="W11" s="528"/>
      <c r="X11" s="524"/>
      <c r="Y11" s="512"/>
      <c r="Z11" s="547"/>
      <c r="AD11" s="512"/>
      <c r="AH11" s="512"/>
      <c r="AK11" s="512"/>
    </row>
    <row r="12" spans="1:39" x14ac:dyDescent="0.25">
      <c r="A12" s="307">
        <v>1</v>
      </c>
      <c r="B12" s="525">
        <f>MATCH(C12,'SK-ratings-final'!I$2:CJ$2,0)</f>
        <v>43</v>
      </c>
      <c r="C12" s="307" t="str">
        <f>INDEX('SK-ratings-final'!$I$2:$CJ$2,MATCH('SK-ranking'!F12,'SK-ratings-final'!$I$35:$CJ$35,0))</f>
        <v>Plemenárske služby Slovenskej republiky, š.p.</v>
      </c>
      <c r="D12" s="307" t="str">
        <f>INDEX('SK-info'!C$2:C$81,MATCH('SK-ranking'!C12,'SK-info'!B$2:B$81,0))</f>
        <v>state</v>
      </c>
      <c r="E12" s="323" t="s">
        <v>400</v>
      </c>
      <c r="F12" s="523">
        <f t="array" ref="F12">LARGE(IF('SK-ratings-final'!I$3:CJ$3="state",'SK-ratings-final'!$I$35:$CJ$35),'SK-ranking'!A12)</f>
        <v>6.9589807525513461</v>
      </c>
      <c r="H12" s="528">
        <f ca="1">INDEX(OFFSET('SK-ratings-final'!$I$20,'SK-ranking'!H$1-19,0,1,80),1,$B12)</f>
        <v>9.2140470848862872</v>
      </c>
      <c r="I12" s="528">
        <f ca="1">INDEX(OFFSET('SK-ratings-final'!$I$20,'SK-ranking'!I$1-19,0,1,80),1,$B12)</f>
        <v>9.5465854598685187</v>
      </c>
      <c r="J12" s="528">
        <f ca="1">INDEX(OFFSET('SK-ratings-final'!$I$20,'SK-ranking'!J$1-19,0,1,80),1,$B12)</f>
        <v>9.5891436593795358</v>
      </c>
      <c r="K12" s="523">
        <f ca="1">INDEX(OFFSET('SK-ratings-final'!$I$20,'SK-ranking'!K$1-19,0,1,80),1,$B12)</f>
        <v>9.4499254013781133</v>
      </c>
      <c r="M12" s="528">
        <f ca="1">INDEX(OFFSET('SK-ratings-final'!$I$20,'SK-ranking'!M$1-19,0,1,80),1,$B12)</f>
        <v>7.0255500914287783</v>
      </c>
      <c r="N12" s="528">
        <f ca="1">INDEX(OFFSET('SK-ratings-final'!$I$20,'SK-ranking'!N$1-19,0,1,80),1,$B12)</f>
        <v>6.3613891686323187</v>
      </c>
      <c r="O12" s="528">
        <f ca="1">INDEX(OFFSET('SK-ratings-final'!$I$20,'SK-ranking'!O$1-19,0,1,80),1,$B12)</f>
        <v>5.7484192393321853</v>
      </c>
      <c r="P12" s="523">
        <f ca="1">INDEX(OFFSET('SK-ratings-final'!$I$20,'SK-ranking'!P$1-19,0,1,80),1,$B12)</f>
        <v>6.3818655660308492</v>
      </c>
      <c r="R12" s="528">
        <f ca="1">INDEX(OFFSET('SK-ratings-final'!$I$20,'SK-ranking'!R$1-19,0,1,80),1,$B12)</f>
        <v>3.2755981250987545</v>
      </c>
      <c r="S12" s="528">
        <f ca="1">INDEX(OFFSET('SK-ratings-final'!$I$20,'SK-ranking'!S$1-19,0,1,80),1,$B12)</f>
        <v>7.4387730494309148</v>
      </c>
      <c r="T12" s="523">
        <f ca="1">INDEX(OFFSET('SK-ratings-final'!$I$20,'SK-ranking'!T$1-19,0,1,80),1,$B12)</f>
        <v>5.3571855872648344</v>
      </c>
      <c r="V12" s="528">
        <f ca="1">INDEX(OFFSET('SK-ratings-final'!$I$20,'SK-ranking'!V$1-19,0,1,80),1,$B12)</f>
        <v>6.0247576808108221</v>
      </c>
      <c r="W12" s="528">
        <f ca="1">INDEX(OFFSET('SK-ratings-final'!$I$20,'SK-ranking'!W$1-19,0,1,80),1,$B12)</f>
        <v>7.9140156643857171</v>
      </c>
      <c r="X12" s="523">
        <f ca="1">INDEX(OFFSET('SK-ratings-final'!$I$20,'SK-ranking'!X$1-19,0,1,80),1,$B12)</f>
        <v>6.9693866725982696</v>
      </c>
      <c r="AA12" s="532">
        <f ca="1">INDEX(OFFSET('SK-ratios'!$AF$23,'SK-ranking'!AA$1-19,0,1,80),1,$B12)</f>
        <v>10.390875788882314</v>
      </c>
      <c r="AB12" s="532">
        <f ca="1">INDEX(OFFSET('SK-ratios'!$AF$23,'SK-ranking'!AB$1-19,0,1,80),1,$B12)</f>
        <v>9.8196317436342575</v>
      </c>
      <c r="AC12" s="532">
        <f ca="1">INDEX(OFFSET('SK-ratios'!$AF$23,'SK-ranking'!AC$1-19,0,1,80),1,$B12)</f>
        <v>8.5487857947075518</v>
      </c>
      <c r="AD12" s="456"/>
      <c r="AE12" s="456">
        <f ca="1">INDEX(OFFSET('SK-ratios'!$AF$23,'SK-ranking'!AE$1-19,0,1,80),1,$B12)</f>
        <v>7.0186604827987666E-3</v>
      </c>
      <c r="AF12" s="456">
        <f ca="1">INDEX(OFFSET('SK-ratios'!$AF$23,'SK-ranking'!AF$1-19,0,1,80),1,$B12)</f>
        <v>7.7064605253151994E-3</v>
      </c>
      <c r="AG12" s="456">
        <f ca="1">INDEX(OFFSET('SK-ratios'!$AF$23,'SK-ranking'!AG$1-19,0,1,80),1,$B12)</f>
        <v>1.3968890625125677E-3</v>
      </c>
      <c r="AI12" s="456">
        <f ca="1">INDEX(OFFSET('SK-ratios'!$AF$23,'SK-ranking'!AI$1-19,0,1,80),1,$B12)</f>
        <v>8.7570809054113227E-2</v>
      </c>
      <c r="AJ12" s="456">
        <f ca="1">INDEX(OFFSET('SK-ratios'!$AF$23,'SK-ranking'!AJ$1-19,0,1,80),1,$B12)</f>
        <v>1.3088608374530097</v>
      </c>
      <c r="AL12" s="456">
        <f ca="1">INDEX(OFFSET('SK-ratios'!$AF$23,'SK-ranking'!AL$1-19,0,1,80),1,$B12)</f>
        <v>7.7513700401904533</v>
      </c>
      <c r="AM12" s="456">
        <f ca="1">INDEX(OFFSET('SK-ratios'!$AF$23,'SK-ranking'!AM$1-19,0,1,80),1,$B12)</f>
        <v>57.438726333907056</v>
      </c>
    </row>
    <row r="13" spans="1:39" x14ac:dyDescent="0.25">
      <c r="A13" s="307">
        <v>2</v>
      </c>
      <c r="B13" s="525">
        <f>MATCH(C13,'SK-ratings-final'!I$2:CJ$2,0)</f>
        <v>62</v>
      </c>
      <c r="C13" s="307" t="str">
        <f>INDEX('SK-ratings-final'!$I$2:$CJ$2,MATCH('SK-ranking'!F13,'SK-ratings-final'!$I$35:$CJ$35,0))</f>
        <v>Špecializovaný liečebný ústav Marína, š.p.</v>
      </c>
      <c r="D13" s="307" t="str">
        <f>INDEX('SK-info'!C$2:C$81,MATCH('SK-ranking'!C13,'SK-info'!B$2:B$81,0))</f>
        <v>state</v>
      </c>
      <c r="E13" s="323" t="s">
        <v>400</v>
      </c>
      <c r="F13" s="523">
        <f t="array" ref="F13">LARGE(IF('SK-ratings-final'!I$3:CJ$3="state",'SK-ratings-final'!$I$35:$CJ$35),'SK-ranking'!A13)</f>
        <v>6.9372146003318331</v>
      </c>
      <c r="H13" s="528">
        <f ca="1">INDEX(OFFSET('SK-ratings-final'!$I$20,'SK-ranking'!H$1-19,0,1,80),1,$B13)</f>
        <v>9.1914422860573843</v>
      </c>
      <c r="I13" s="528">
        <f ca="1">INDEX(OFFSET('SK-ratings-final'!$I$20,'SK-ranking'!I$1-19,0,1,80),1,$B13)</f>
        <v>9.6913800074143239</v>
      </c>
      <c r="J13" s="528">
        <f ca="1">INDEX(OFFSET('SK-ratings-final'!$I$20,'SK-ranking'!J$1-19,0,1,80),1,$B13)</f>
        <v>9.7807291245778405</v>
      </c>
      <c r="K13" s="523">
        <f ca="1">INDEX(OFFSET('SK-ratings-final'!$I$20,'SK-ranking'!K$1-19,0,1,80),1,$B13)</f>
        <v>9.5545171393498496</v>
      </c>
      <c r="M13" s="528">
        <f ca="1">INDEX(OFFSET('SK-ratings-final'!$I$20,'SK-ranking'!M$1-19,0,1,80),1,$B13)</f>
        <v>8.6678964796674531</v>
      </c>
      <c r="N13" s="528">
        <f ca="1">INDEX(OFFSET('SK-ratings-final'!$I$20,'SK-ranking'!N$1-19,0,1,80),1,$B13)</f>
        <v>7.6838316381354916</v>
      </c>
      <c r="O13" s="528">
        <f ca="1">INDEX(OFFSET('SK-ratings-final'!$I$20,'SK-ranking'!O$1-19,0,1,80),1,$B13)</f>
        <v>8.6091248323261489</v>
      </c>
      <c r="P13" s="523">
        <f ca="1">INDEX(OFFSET('SK-ratings-final'!$I$20,'SK-ranking'!P$1-19,0,1,80),1,$B13)</f>
        <v>8.4475748524245411</v>
      </c>
      <c r="R13" s="528">
        <f ca="1">INDEX(OFFSET('SK-ratings-final'!$I$20,'SK-ranking'!R$1-19,0,1,80),1,$B13)</f>
        <v>3.5446060298069164</v>
      </c>
      <c r="S13" s="528">
        <f ca="1">INDEX(OFFSET('SK-ratings-final'!$I$20,'SK-ranking'!S$1-19,0,1,80),1,$B13)</f>
        <v>7.8252881477910137</v>
      </c>
      <c r="T13" s="523">
        <f ca="1">INDEX(OFFSET('SK-ratings-final'!$I$20,'SK-ranking'!T$1-19,0,1,80),1,$B13)</f>
        <v>5.6849470887989648</v>
      </c>
      <c r="V13" s="528">
        <f ca="1">INDEX(OFFSET('SK-ratings-final'!$I$20,'SK-ranking'!V$1-19,0,1,80),1,$B13)</f>
        <v>2.798034717822496</v>
      </c>
      <c r="W13" s="528">
        <f ca="1">INDEX(OFFSET('SK-ratings-final'!$I$20,'SK-ranking'!W$1-19,0,1,80),1,$B13)</f>
        <v>4.5140400396629641</v>
      </c>
      <c r="X13" s="523">
        <f ca="1">INDEX(OFFSET('SK-ratings-final'!$I$20,'SK-ranking'!X$1-19,0,1,80),1,$B13)</f>
        <v>3.65603737874273</v>
      </c>
      <c r="AA13" s="532">
        <f ca="1">INDEX(OFFSET('SK-ratios'!$AF$23,'SK-ranking'!AA$1-19,0,1,80),1,$B13)</f>
        <v>8.8928605182545457</v>
      </c>
      <c r="AB13" s="532">
        <f ca="1">INDEX(OFFSET('SK-ratios'!$AF$23,'SK-ranking'!AB$1-19,0,1,80),1,$B13)</f>
        <v>8.8790035191496219</v>
      </c>
      <c r="AC13" s="532">
        <f ca="1">INDEX(OFFSET('SK-ratios'!$AF$23,'SK-ranking'!AC$1-19,0,1,80),1,$B13)</f>
        <v>7.9969673047094343</v>
      </c>
      <c r="AD13" s="456"/>
      <c r="AE13" s="456">
        <f ca="1">INDEX(OFFSET('SK-ratios'!$AF$23,'SK-ranking'!AE$1-19,0,1,80),1,$B13)</f>
        <v>4.7395377006157265E-2</v>
      </c>
      <c r="AF13" s="456">
        <f ca="1">INDEX(OFFSET('SK-ratios'!$AF$23,'SK-ranking'!AF$1-19,0,1,80),1,$B13)</f>
        <v>5.2266484647959882E-2</v>
      </c>
      <c r="AG13" s="456">
        <f ca="1">INDEX(OFFSET('SK-ratios'!$AF$23,'SK-ranking'!AG$1-19,0,1,80),1,$B13)</f>
        <v>6.1667213014854366E-2</v>
      </c>
      <c r="AI13" s="456">
        <f ca="1">INDEX(OFFSET('SK-ratios'!$AF$23,'SK-ranking'!AI$1-19,0,1,80),1,$B13)</f>
        <v>8.8730392651660439E-2</v>
      </c>
      <c r="AJ13" s="456">
        <f ca="1">INDEX(OFFSET('SK-ratios'!$AF$23,'SK-ranking'!AJ$1-19,0,1,80),1,$B13)</f>
        <v>1.0391717380921983</v>
      </c>
      <c r="AL13" s="456">
        <f ca="1">INDEX(OFFSET('SK-ratios'!$AF$23,'SK-ranking'!AL$1-19,0,1,80),1,$B13)</f>
        <v>1.3407982249927362</v>
      </c>
      <c r="AM13" s="456">
        <f ca="1">INDEX(OFFSET('SK-ratios'!$AF$23,'SK-ranking'!AM$1-19,0,1,80),1,$B13)</f>
        <v>11.998071280675934</v>
      </c>
    </row>
    <row r="14" spans="1:39" x14ac:dyDescent="0.25">
      <c r="A14" s="307">
        <v>3</v>
      </c>
      <c r="B14" s="525">
        <f>MATCH(C14,'SK-ratings-final'!I$2:CJ$2,0)</f>
        <v>2</v>
      </c>
      <c r="C14" s="307" t="str">
        <f>INDEX('SK-ratings-final'!$I$2:$CJ$2,MATCH('SK-ranking'!F14,'SK-ratings-final'!$I$35:$CJ$35,0))</f>
        <v>Agrokomplex - Výstavníctvo Nitra, š.p.</v>
      </c>
      <c r="D14" s="307" t="str">
        <f>INDEX('SK-info'!C$2:C$81,MATCH('SK-ranking'!C14,'SK-info'!B$2:B$81,0))</f>
        <v>state</v>
      </c>
      <c r="E14" s="323" t="s">
        <v>400</v>
      </c>
      <c r="F14" s="523">
        <f t="array" ref="F14">LARGE(IF('SK-ratings-final'!I$3:CJ$3="state",'SK-ratings-final'!$I$35:$CJ$35),'SK-ranking'!A14)</f>
        <v>6.8410836532561907</v>
      </c>
      <c r="H14" s="528">
        <f ca="1">INDEX(OFFSET('SK-ratings-final'!$I$20,'SK-ranking'!H$1-19,0,1,80),1,$B14)</f>
        <v>9.2745142609820217</v>
      </c>
      <c r="I14" s="528">
        <f ca="1">INDEX(OFFSET('SK-ratings-final'!$I$20,'SK-ranking'!I$1-19,0,1,80),1,$B14)</f>
        <v>9.4338267196531831</v>
      </c>
      <c r="J14" s="528">
        <f ca="1">INDEX(OFFSET('SK-ratings-final'!$I$20,'SK-ranking'!J$1-19,0,1,80),1,$B14)</f>
        <v>9.493131309331492</v>
      </c>
      <c r="K14" s="523">
        <f ca="1">INDEX(OFFSET('SK-ratings-final'!$I$20,'SK-ranking'!K$1-19,0,1,80),1,$B14)</f>
        <v>9.4004907633222317</v>
      </c>
      <c r="M14" s="528">
        <f ca="1">INDEX(OFFSET('SK-ratings-final'!$I$20,'SK-ranking'!M$1-19,0,1,80),1,$B14)</f>
        <v>5.8220585081783947</v>
      </c>
      <c r="N14" s="528">
        <f ca="1">INDEX(OFFSET('SK-ratings-final'!$I$20,'SK-ranking'!N$1-19,0,1,80),1,$B14)</f>
        <v>5.4386723617237749</v>
      </c>
      <c r="O14" s="528">
        <f ca="1">INDEX(OFFSET('SK-ratings-final'!$I$20,'SK-ranking'!O$1-19,0,1,80),1,$B14)</f>
        <v>6.7754385183960109</v>
      </c>
      <c r="P14" s="523">
        <f ca="1">INDEX(OFFSET('SK-ratings-final'!$I$20,'SK-ranking'!P$1-19,0,1,80),1,$B14)</f>
        <v>6.1267332829745174</v>
      </c>
      <c r="R14" s="528">
        <f ca="1">INDEX(OFFSET('SK-ratings-final'!$I$20,'SK-ranking'!R$1-19,0,1,80),1,$B14)</f>
        <v>6.2387713632304935</v>
      </c>
      <c r="S14" s="528">
        <f ca="1">INDEX(OFFSET('SK-ratings-final'!$I$20,'SK-ranking'!S$1-19,0,1,80),1,$B14)</f>
        <v>7.9505424525970723</v>
      </c>
      <c r="T14" s="523">
        <f ca="1">INDEX(OFFSET('SK-ratings-final'!$I$20,'SK-ranking'!T$1-19,0,1,80),1,$B14)</f>
        <v>7.0946569079137829</v>
      </c>
      <c r="V14" s="528">
        <f ca="1">INDEX(OFFSET('SK-ratings-final'!$I$20,'SK-ranking'!V$1-19,0,1,80),1,$B14)</f>
        <v>3.1630466216855067</v>
      </c>
      <c r="W14" s="528">
        <f ca="1">INDEX(OFFSET('SK-ratings-final'!$I$20,'SK-ranking'!W$1-19,0,1,80),1,$B14)</f>
        <v>5.1457590713931785</v>
      </c>
      <c r="X14" s="523">
        <f ca="1">INDEX(OFFSET('SK-ratings-final'!$I$20,'SK-ranking'!X$1-19,0,1,80),1,$B14)</f>
        <v>4.1544028465393428</v>
      </c>
      <c r="AA14" s="532">
        <f ca="1">INDEX(OFFSET('SK-ratios'!$AF$23,'SK-ranking'!AA$1-19,0,1,80),1,$B14)</f>
        <v>7.5706130567432872</v>
      </c>
      <c r="AB14" s="532">
        <f ca="1">INDEX(OFFSET('SK-ratios'!$AF$23,'SK-ranking'!AB$1-19,0,1,80),1,$B14)</f>
        <v>7.4001584474398374</v>
      </c>
      <c r="AC14" s="532">
        <f ca="1">INDEX(OFFSET('SK-ratios'!$AF$23,'SK-ranking'!AC$1-19,0,1,80),1,$B14)</f>
        <v>6.2277691312173298</v>
      </c>
      <c r="AD14" s="456"/>
      <c r="AE14" s="456">
        <f ca="1">INDEX(OFFSET('SK-ratios'!$AF$23,'SK-ranking'!AE$1-19,0,1,80),1,$B14)</f>
        <v>3.8529088853944075E-3</v>
      </c>
      <c r="AF14" s="456">
        <f ca="1">INDEX(OFFSET('SK-ratios'!$AF$23,'SK-ranking'!AF$1-19,0,1,80),1,$B14)</f>
        <v>3.9715656832525819E-3</v>
      </c>
      <c r="AG14" s="456">
        <f ca="1">INDEX(OFFSET('SK-ratios'!$AF$23,'SK-ranking'!AG$1-19,0,1,80),1,$B14)</f>
        <v>1.7237039917346507E-2</v>
      </c>
      <c r="AI14" s="456">
        <f ca="1">INDEX(OFFSET('SK-ratios'!$AF$23,'SK-ranking'!AI$1-19,0,1,80),1,$B14)</f>
        <v>2.9322071057547711E-2</v>
      </c>
      <c r="AJ14" s="456">
        <f ca="1">INDEX(OFFSET('SK-ratios'!$AF$23,'SK-ranking'!AJ$1-19,0,1,80),1,$B14)</f>
        <v>1.0069668115102228</v>
      </c>
      <c r="AL14" s="456">
        <f ca="1">INDEX(OFFSET('SK-ratios'!$AF$23,'SK-ranking'!AL$1-19,0,1,80),1,$B14)</f>
        <v>1.6501048669794149</v>
      </c>
      <c r="AM14" s="456">
        <f ca="1">INDEX(OFFSET('SK-ratios'!$AF$23,'SK-ranking'!AM$1-19,0,1,80),1,$B14)</f>
        <v>9.2479523942649475</v>
      </c>
    </row>
    <row r="15" spans="1:39" x14ac:dyDescent="0.25">
      <c r="A15" s="307">
        <v>4</v>
      </c>
      <c r="B15" s="525">
        <f>MATCH(C15,'SK-ratings-final'!I$2:CJ$2,0)</f>
        <v>66</v>
      </c>
      <c r="C15" s="307" t="str">
        <f>INDEX('SK-ratings-final'!$I$2:$CJ$2,MATCH('SK-ranking'!F15,'SK-ratings-final'!$I$35:$CJ$35,0))</f>
        <v>TIPOS, národná lotériová spoločnosť, a.s.</v>
      </c>
      <c r="D15" s="307" t="str">
        <f>INDEX('SK-info'!C$2:C$81,MATCH('SK-ranking'!C15,'SK-info'!B$2:B$81,0))</f>
        <v>state</v>
      </c>
      <c r="E15" s="323" t="s">
        <v>400</v>
      </c>
      <c r="F15" s="523">
        <f t="array" ref="F15">LARGE(IF('SK-ratings-final'!I$3:CJ$3="state",'SK-ratings-final'!$I$35:$CJ$35),'SK-ranking'!A15)</f>
        <v>6.7871792579566774</v>
      </c>
      <c r="H15" s="528">
        <f ca="1">INDEX(OFFSET('SK-ratings-final'!$I$20,'SK-ranking'!H$1-19,0,1,80),1,$B15)</f>
        <v>7.0040456118491061</v>
      </c>
      <c r="I15" s="528">
        <f ca="1">INDEX(OFFSET('SK-ratings-final'!$I$20,'SK-ranking'!I$1-19,0,1,80),1,$B15)</f>
        <v>7.3500118220500861</v>
      </c>
      <c r="J15" s="528">
        <f ca="1">INDEX(OFFSET('SK-ratings-final'!$I$20,'SK-ranking'!J$1-19,0,1,80),1,$B15)</f>
        <v>7.7961832393758801</v>
      </c>
      <c r="K15" s="523">
        <f ca="1">INDEX(OFFSET('SK-ratings-final'!$I$20,'SK-ranking'!K$1-19,0,1,80),1,$B15)</f>
        <v>7.3834135577583577</v>
      </c>
      <c r="M15" s="528">
        <f ca="1">INDEX(OFFSET('SK-ratings-final'!$I$20,'SK-ranking'!M$1-19,0,1,80),1,$B15)</f>
        <v>10</v>
      </c>
      <c r="N15" s="528">
        <f ca="1">INDEX(OFFSET('SK-ratings-final'!$I$20,'SK-ranking'!N$1-19,0,1,80),1,$B15)</f>
        <v>10</v>
      </c>
      <c r="O15" s="528">
        <f ca="1">INDEX(OFFSET('SK-ratings-final'!$I$20,'SK-ranking'!O$1-19,0,1,80),1,$B15)</f>
        <v>7.0544150250975965</v>
      </c>
      <c r="P15" s="523">
        <f ca="1">INDEX(OFFSET('SK-ratings-final'!$I$20,'SK-ranking'!P$1-19,0,1,80),1,$B15)</f>
        <v>8.8217660100390383</v>
      </c>
      <c r="R15" s="528">
        <f ca="1">INDEX(OFFSET('SK-ratings-final'!$I$20,'SK-ranking'!R$1-19,0,1,80),1,$B15)</f>
        <v>0</v>
      </c>
      <c r="S15" s="528">
        <f ca="1">INDEX(OFFSET('SK-ratings-final'!$I$20,'SK-ranking'!S$1-19,0,1,80),1,$B15)</f>
        <v>6.8980309688924288</v>
      </c>
      <c r="T15" s="523">
        <f ca="1">INDEX(OFFSET('SK-ratings-final'!$I$20,'SK-ranking'!T$1-19,0,1,80),1,$B15)</f>
        <v>3.449015484446214</v>
      </c>
      <c r="V15" s="528">
        <f ca="1">INDEX(OFFSET('SK-ratings-final'!$I$20,'SK-ranking'!V$1-19,0,1,80),1,$B15)</f>
        <v>7.4684197054383441</v>
      </c>
      <c r="W15" s="528">
        <f ca="1">INDEX(OFFSET('SK-ratings-final'!$I$20,'SK-ranking'!W$1-19,0,1,80),1,$B15)</f>
        <v>9.5433775012963</v>
      </c>
      <c r="X15" s="523">
        <f ca="1">INDEX(OFFSET('SK-ratings-final'!$I$20,'SK-ranking'!X$1-19,0,1,80),1,$B15)</f>
        <v>8.5058986033673225</v>
      </c>
      <c r="AA15" s="532">
        <f ca="1">INDEX(OFFSET('SK-ratios'!$AF$23,'SK-ranking'!AA$1-19,0,1,80),1,$B15)</f>
        <v>3.8355137417823961</v>
      </c>
      <c r="AB15" s="532">
        <f ca="1">INDEX(OFFSET('SK-ratios'!$AF$23,'SK-ranking'!AB$1-19,0,1,80),1,$B15)</f>
        <v>3.7145545192938765</v>
      </c>
      <c r="AC15" s="532">
        <f ca="1">INDEX(OFFSET('SK-ratios'!$AF$23,'SK-ranking'!AC$1-19,0,1,80),1,$B15)</f>
        <v>3.3650335374945151</v>
      </c>
      <c r="AD15" s="456"/>
      <c r="AE15" s="456">
        <f ca="1">INDEX(OFFSET('SK-ratios'!$AF$23,'SK-ranking'!AE$1-19,0,1,80),1,$B15)</f>
        <v>0.15518626686424625</v>
      </c>
      <c r="AF15" s="456">
        <f ca="1">INDEX(OFFSET('SK-ratios'!$AF$23,'SK-ranking'!AF$1-19,0,1,80),1,$B15)</f>
        <v>0.58043541377709018</v>
      </c>
      <c r="AG15" s="456">
        <f ca="1">INDEX(OFFSET('SK-ratios'!$AF$23,'SK-ranking'!AG$1-19,0,1,80),1,$B15)</f>
        <v>2.2709045497753787E-2</v>
      </c>
      <c r="AI15" s="456">
        <f ca="1">INDEX(OFFSET('SK-ratios'!$AF$23,'SK-ranking'!AI$1-19,0,1,80),1,$B15)</f>
        <v>0.4048740200497799</v>
      </c>
      <c r="AJ15" s="456">
        <f ca="1">INDEX(OFFSET('SK-ratios'!$AF$23,'SK-ranking'!AJ$1-19,0,1,80),1,$B15)</f>
        <v>1.838640608500516</v>
      </c>
      <c r="AL15" s="456">
        <f ca="1">INDEX(OFFSET('SK-ratios'!$AF$23,'SK-ranking'!AL$1-19,0,1,80),1,$B15)</f>
        <v>10.51949870894464</v>
      </c>
      <c r="AM15" s="456">
        <f ca="1">INDEX(OFFSET('SK-ratios'!$AF$23,'SK-ranking'!AM$1-19,0,1,80),1,$B15)</f>
        <v>94.216944833263824</v>
      </c>
    </row>
    <row r="16" spans="1:39" x14ac:dyDescent="0.25">
      <c r="A16" s="307">
        <v>5</v>
      </c>
      <c r="B16" s="525">
        <f>MATCH(C16,'SK-ratings-final'!I$2:CJ$2,0)</f>
        <v>59</v>
      </c>
      <c r="C16" s="307" t="str">
        <f>INDEX('SK-ratings-final'!$I$2:$CJ$2,MATCH('SK-ranking'!F16,'SK-ratings-final'!$I$35:$CJ$35,0))</f>
        <v>Správa služieb diplomatickému zboru, a.s.</v>
      </c>
      <c r="D16" s="307" t="str">
        <f>INDEX('SK-info'!C$2:C$81,MATCH('SK-ranking'!C16,'SK-info'!B$2:B$81,0))</f>
        <v>state</v>
      </c>
      <c r="E16" s="323" t="s">
        <v>400</v>
      </c>
      <c r="F16" s="523">
        <f t="array" ref="F16">LARGE(IF('SK-ratings-final'!I$3:CJ$3="state",'SK-ratings-final'!$I$35:$CJ$35),'SK-ranking'!A16)</f>
        <v>6.6785850696323337</v>
      </c>
      <c r="H16" s="528">
        <f ca="1">INDEX(OFFSET('SK-ratings-final'!$I$20,'SK-ranking'!H$1-19,0,1,80),1,$B16)</f>
        <v>8.729845366756356</v>
      </c>
      <c r="I16" s="528">
        <f ca="1">INDEX(OFFSET('SK-ratings-final'!$I$20,'SK-ranking'!I$1-19,0,1,80),1,$B16)</f>
        <v>9.2084524547530382</v>
      </c>
      <c r="J16" s="528">
        <f ca="1">INDEX(OFFSET('SK-ratings-final'!$I$20,'SK-ranking'!J$1-19,0,1,80),1,$B16)</f>
        <v>9.536588234382835</v>
      </c>
      <c r="K16" s="523">
        <f ca="1">INDEX(OFFSET('SK-ratings-final'!$I$20,'SK-ranking'!K$1-19,0,1,80),1,$B16)</f>
        <v>9.1582953519640764</v>
      </c>
      <c r="M16" s="528">
        <f ca="1">INDEX(OFFSET('SK-ratings-final'!$I$20,'SK-ranking'!M$1-19,0,1,80),1,$B16)</f>
        <v>6.1411281857120708</v>
      </c>
      <c r="N16" s="528">
        <f ca="1">INDEX(OFFSET('SK-ratings-final'!$I$20,'SK-ranking'!N$1-19,0,1,80),1,$B16)</f>
        <v>5.6554793882841619</v>
      </c>
      <c r="O16" s="528">
        <f ca="1">INDEX(OFFSET('SK-ratings-final'!$I$20,'SK-ranking'!O$1-19,0,1,80),1,$B16)</f>
        <v>8.9116818346306026</v>
      </c>
      <c r="P16" s="523">
        <f ca="1">INDEX(OFFSET('SK-ratings-final'!$I$20,'SK-ranking'!P$1-19,0,1,80),1,$B16)</f>
        <v>7.1522198857939019</v>
      </c>
      <c r="R16" s="528">
        <f ca="1">INDEX(OFFSET('SK-ratings-final'!$I$20,'SK-ranking'!R$1-19,0,1,80),1,$B16)</f>
        <v>4.7282624798879738</v>
      </c>
      <c r="S16" s="528">
        <f ca="1">INDEX(OFFSET('SK-ratings-final'!$I$20,'SK-ranking'!S$1-19,0,1,80),1,$B16)</f>
        <v>6.9333850644563313</v>
      </c>
      <c r="T16" s="523">
        <f ca="1">INDEX(OFFSET('SK-ratings-final'!$I$20,'SK-ranking'!T$1-19,0,1,80),1,$B16)</f>
        <v>5.8308237721721525</v>
      </c>
      <c r="V16" s="528">
        <f ca="1">INDEX(OFFSET('SK-ratings-final'!$I$20,'SK-ranking'!V$1-19,0,1,80),1,$B16)</f>
        <v>2.2485381029959339</v>
      </c>
      <c r="W16" s="528">
        <f ca="1">INDEX(OFFSET('SK-ratings-final'!$I$20,'SK-ranking'!W$1-19,0,1,80),1,$B16)</f>
        <v>6.2685531824159932</v>
      </c>
      <c r="X16" s="523">
        <f ca="1">INDEX(OFFSET('SK-ratings-final'!$I$20,'SK-ranking'!X$1-19,0,1,80),1,$B16)</f>
        <v>4.2585456427059638</v>
      </c>
      <c r="AA16" s="532">
        <f ca="1">INDEX(OFFSET('SK-ratios'!$AF$23,'SK-ranking'!AA$1-19,0,1,80),1,$B16)</f>
        <v>7.3779277816346411</v>
      </c>
      <c r="AB16" s="532">
        <f ca="1">INDEX(OFFSET('SK-ratios'!$AF$23,'SK-ranking'!AB$1-19,0,1,80),1,$B16)</f>
        <v>7.3540302901189136</v>
      </c>
      <c r="AC16" s="532">
        <f ca="1">INDEX(OFFSET('SK-ratios'!$AF$23,'SK-ranking'!AC$1-19,0,1,80),1,$B16)</f>
        <v>7.1554119080748819</v>
      </c>
      <c r="AD16" s="456"/>
      <c r="AE16" s="456">
        <f ca="1">INDEX(OFFSET('SK-ratios'!$AF$23,'SK-ranking'!AE$1-19,0,1,80),1,$B16)</f>
        <v>6.7306710314812383E-3</v>
      </c>
      <c r="AF16" s="456">
        <f ca="1">INDEX(OFFSET('SK-ratios'!$AF$23,'SK-ranking'!AF$1-19,0,1,80),1,$B16)</f>
        <v>7.1375484558874472E-3</v>
      </c>
      <c r="AG16" s="456">
        <f ca="1">INDEX(OFFSET('SK-ratios'!$AF$23,'SK-ranking'!AG$1-19,0,1,80),1,$B16)</f>
        <v>9.5801825780911856E-2</v>
      </c>
      <c r="AI16" s="456">
        <f ca="1">INDEX(OFFSET('SK-ratios'!$AF$23,'SK-ranking'!AI$1-19,0,1,80),1,$B16)</f>
        <v>5.3429758413556253E-2</v>
      </c>
      <c r="AJ16" s="456">
        <f ca="1">INDEX(OFFSET('SK-ratios'!$AF$23,'SK-ranking'!AJ$1-19,0,1,80),1,$B16)</f>
        <v>2.0038682040947036</v>
      </c>
      <c r="AL16" s="456">
        <f ca="1">INDEX(OFFSET('SK-ratios'!$AF$23,'SK-ranking'!AL$1-19,0,1,80),1,$B16)</f>
        <v>0.92443962848152583</v>
      </c>
      <c r="AM16" s="456">
        <f ca="1">INDEX(OFFSET('SK-ratios'!$AF$23,'SK-ranking'!AM$1-19,0,1,80),1,$B16)</f>
        <v>29.685113372987001</v>
      </c>
    </row>
    <row r="17" spans="1:39" x14ac:dyDescent="0.25">
      <c r="A17" s="307">
        <v>6</v>
      </c>
      <c r="B17" s="525">
        <f>MATCH(C17,'SK-ratings-final'!I$2:CJ$2,0)</f>
        <v>74</v>
      </c>
      <c r="C17" s="307" t="str">
        <f>INDEX('SK-ratings-final'!$I$2:$CJ$2,MATCH('SK-ranking'!F17,'SK-ratings-final'!$I$35:$CJ$35,0))</f>
        <v>Východoslovenský onkologický ústav, a.s.</v>
      </c>
      <c r="D17" s="307" t="str">
        <f>INDEX('SK-info'!C$2:C$81,MATCH('SK-ranking'!C17,'SK-info'!B$2:B$81,0))</f>
        <v>state</v>
      </c>
      <c r="E17" s="323" t="s">
        <v>400</v>
      </c>
      <c r="F17" s="523">
        <f t="array" ref="F17">LARGE(IF('SK-ratings-final'!I$3:CJ$3="state",'SK-ratings-final'!$I$35:$CJ$35),'SK-ranking'!A17)</f>
        <v>6.3941053958326224</v>
      </c>
      <c r="H17" s="528">
        <f ca="1">INDEX(OFFSET('SK-ratings-final'!$I$20,'SK-ranking'!H$1-19,0,1,80),1,$B17)</f>
        <v>8.4432788229586464</v>
      </c>
      <c r="I17" s="528">
        <f ca="1">INDEX(OFFSET('SK-ratings-final'!$I$20,'SK-ranking'!I$1-19,0,1,80),1,$B17)</f>
        <v>8.8080614870323046</v>
      </c>
      <c r="J17" s="528">
        <f ca="1">INDEX(OFFSET('SK-ratings-final'!$I$20,'SK-ranking'!J$1-19,0,1,80),1,$B17)</f>
        <v>8.3000392609691289</v>
      </c>
      <c r="K17" s="523">
        <f ca="1">INDEX(OFFSET('SK-ratings-final'!$I$20,'SK-ranking'!K$1-19,0,1,80),1,$B17)</f>
        <v>8.51712652365336</v>
      </c>
      <c r="M17" s="528">
        <f ca="1">INDEX(OFFSET('SK-ratings-final'!$I$20,'SK-ranking'!M$1-19,0,1,80),1,$B17)</f>
        <v>8.3135482437024173</v>
      </c>
      <c r="N17" s="528">
        <f ca="1">INDEX(OFFSET('SK-ratings-final'!$I$20,'SK-ranking'!N$1-19,0,1,80),1,$B17)</f>
        <v>7.482291566026853</v>
      </c>
      <c r="O17" s="528">
        <f ca="1">INDEX(OFFSET('SK-ratings-final'!$I$20,'SK-ranking'!O$1-19,0,1,80),1,$B17)</f>
        <v>8.2411387882665341</v>
      </c>
      <c r="P17" s="523">
        <f ca="1">INDEX(OFFSET('SK-ratings-final'!$I$20,'SK-ranking'!P$1-19,0,1,80),1,$B17)</f>
        <v>8.118333125992951</v>
      </c>
      <c r="R17" s="528">
        <f ca="1">INDEX(OFFSET('SK-ratings-final'!$I$20,'SK-ranking'!R$1-19,0,1,80),1,$B17)</f>
        <v>2.6022358783879946</v>
      </c>
      <c r="S17" s="528">
        <f ca="1">INDEX(OFFSET('SK-ratings-final'!$I$20,'SK-ranking'!S$1-19,0,1,80),1,$B17)</f>
        <v>7.5038614231362226</v>
      </c>
      <c r="T17" s="523">
        <f ca="1">INDEX(OFFSET('SK-ratings-final'!$I$20,'SK-ranking'!T$1-19,0,1,80),1,$B17)</f>
        <v>5.0530486507621086</v>
      </c>
      <c r="V17" s="528">
        <f ca="1">INDEX(OFFSET('SK-ratings-final'!$I$20,'SK-ranking'!V$1-19,0,1,80),1,$B17)</f>
        <v>4.0148273672201915</v>
      </c>
      <c r="W17" s="528">
        <f ca="1">INDEX(OFFSET('SK-ratings-final'!$I$20,'SK-ranking'!W$1-19,0,1,80),1,$B17)</f>
        <v>3.1784315147039357</v>
      </c>
      <c r="X17" s="523">
        <f ca="1">INDEX(OFFSET('SK-ratings-final'!$I$20,'SK-ranking'!X$1-19,0,1,80),1,$B17)</f>
        <v>3.5966294409620634</v>
      </c>
      <c r="AA17" s="532">
        <f ca="1">INDEX(OFFSET('SK-ratios'!$AF$23,'SK-ranking'!AA$1-19,0,1,80),1,$B17)</f>
        <v>6.1662543610018226</v>
      </c>
      <c r="AB17" s="532">
        <f ca="1">INDEX(OFFSET('SK-ratios'!$AF$23,'SK-ranking'!AB$1-19,0,1,80),1,$B17)</f>
        <v>5.8823760382106443</v>
      </c>
      <c r="AC17" s="532">
        <f ca="1">INDEX(OFFSET('SK-ratios'!$AF$23,'SK-ranking'!AC$1-19,0,1,80),1,$B17)</f>
        <v>3.8251821485691999</v>
      </c>
      <c r="AD17" s="456"/>
      <c r="AE17" s="456">
        <f ca="1">INDEX(OFFSET('SK-ratios'!$AF$23,'SK-ranking'!AE$1-19,0,1,80),1,$B17)</f>
        <v>3.597244768151478E-2</v>
      </c>
      <c r="AF17" s="456">
        <f ca="1">INDEX(OFFSET('SK-ratios'!$AF$23,'SK-ranking'!AF$1-19,0,1,80),1,$B17)</f>
        <v>4.3327229933454697E-2</v>
      </c>
      <c r="AG17" s="456">
        <f ca="1">INDEX(OFFSET('SK-ratios'!$AF$23,'SK-ranking'!AG$1-19,0,1,80),1,$B17)</f>
        <v>4.6813263838190268E-2</v>
      </c>
      <c r="AI17" s="456">
        <f ca="1">INDEX(OFFSET('SK-ratios'!$AF$23,'SK-ranking'!AI$1-19,0,1,80),1,$B17)</f>
        <v>0.13774393637201271</v>
      </c>
      <c r="AJ17" s="456">
        <f ca="1">INDEX(OFFSET('SK-ratios'!$AF$23,'SK-ranking'!AJ$1-19,0,1,80),1,$B17)</f>
        <v>1.3956032857165881</v>
      </c>
      <c r="AL17" s="456">
        <f ca="1">INDEX(OFFSET('SK-ratios'!$AF$23,'SK-ranking'!AL$1-19,0,1,80),1,$B17)</f>
        <v>2.601284112942809</v>
      </c>
      <c r="AM17" s="456">
        <f ca="1">INDEX(OFFSET('SK-ratios'!$AF$23,'SK-ranking'!AM$1-19,0,1,80),1,$B17)</f>
        <v>6.5326343133548068</v>
      </c>
    </row>
    <row r="18" spans="1:39" x14ac:dyDescent="0.25">
      <c r="A18" s="307">
        <v>7</v>
      </c>
      <c r="B18" s="525">
        <f>MATCH(C18,'SK-ratings-final'!I$2:CJ$2,0)</f>
        <v>69</v>
      </c>
      <c r="C18" s="307" t="str">
        <f>INDEX('SK-ratings-final'!$I$2:$CJ$2,MATCH('SK-ranking'!F18,'SK-ratings-final'!$I$35:$CJ$35,0))</f>
        <v>Verejné prístavy, a.s.</v>
      </c>
      <c r="D18" s="307" t="str">
        <f>INDEX('SK-info'!C$2:C$81,MATCH('SK-ranking'!C18,'SK-info'!B$2:B$81,0))</f>
        <v>state</v>
      </c>
      <c r="E18" s="323" t="s">
        <v>400</v>
      </c>
      <c r="F18" s="523">
        <f t="array" ref="F18">LARGE(IF('SK-ratings-final'!I$3:CJ$3="state",'SK-ratings-final'!$I$35:$CJ$35),'SK-ranking'!A18)</f>
        <v>6.2640350682212596</v>
      </c>
      <c r="H18" s="528">
        <f ca="1">INDEX(OFFSET('SK-ratings-final'!$I$20,'SK-ranking'!H$1-19,0,1,80),1,$B18)</f>
        <v>8.726627722911692</v>
      </c>
      <c r="I18" s="528">
        <f ca="1">INDEX(OFFSET('SK-ratings-final'!$I$20,'SK-ranking'!I$1-19,0,1,80),1,$B18)</f>
        <v>9.0188800539877985</v>
      </c>
      <c r="J18" s="528">
        <f ca="1">INDEX(OFFSET('SK-ratings-final'!$I$20,'SK-ranking'!J$1-19,0,1,80),1,$B18)</f>
        <v>9.2109092996217043</v>
      </c>
      <c r="K18" s="523">
        <f ca="1">INDEX(OFFSET('SK-ratings-final'!$I$20,'SK-ranking'!K$1-19,0,1,80),1,$B18)</f>
        <v>8.9854723588403971</v>
      </c>
      <c r="M18" s="528">
        <f ca="1">INDEX(OFFSET('SK-ratings-final'!$I$20,'SK-ranking'!M$1-19,0,1,80),1,$B18)</f>
        <v>4.7748054209312087</v>
      </c>
      <c r="N18" s="528">
        <f ca="1">INDEX(OFFSET('SK-ratings-final'!$I$20,'SK-ranking'!N$1-19,0,1,80),1,$B18)</f>
        <v>4.8624829548916324</v>
      </c>
      <c r="O18" s="528">
        <f ca="1">INDEX(OFFSET('SK-ratings-final'!$I$20,'SK-ranking'!O$1-19,0,1,80),1,$B18)</f>
        <v>4.2857142857142856</v>
      </c>
      <c r="P18" s="523">
        <f ca="1">INDEX(OFFSET('SK-ratings-final'!$I$20,'SK-ranking'!P$1-19,0,1,80),1,$B18)</f>
        <v>4.5967044736365246</v>
      </c>
      <c r="R18" s="528">
        <f ca="1">INDEX(OFFSET('SK-ratings-final'!$I$20,'SK-ranking'!R$1-19,0,1,80),1,$B18)</f>
        <v>9.5486485915330537</v>
      </c>
      <c r="S18" s="528">
        <f ca="1">INDEX(OFFSET('SK-ratings-final'!$I$20,'SK-ranking'!S$1-19,0,1,80),1,$B18)</f>
        <v>6.0479079497474846</v>
      </c>
      <c r="T18" s="523">
        <f ca="1">INDEX(OFFSET('SK-ratings-final'!$I$20,'SK-ranking'!T$1-19,0,1,80),1,$B18)</f>
        <v>7.79827827064027</v>
      </c>
      <c r="V18" s="528">
        <f ca="1">INDEX(OFFSET('SK-ratings-final'!$I$20,'SK-ranking'!V$1-19,0,1,80),1,$B18)</f>
        <v>2.2663735868110058</v>
      </c>
      <c r="W18" s="528">
        <f ca="1">INDEX(OFFSET('SK-ratings-final'!$I$20,'SK-ranking'!W$1-19,0,1,80),1,$B18)</f>
        <v>3.0237002022884769</v>
      </c>
      <c r="X18" s="523">
        <f ca="1">INDEX(OFFSET('SK-ratings-final'!$I$20,'SK-ranking'!X$1-19,0,1,80),1,$B18)</f>
        <v>2.6450368945497416</v>
      </c>
      <c r="AA18" s="532">
        <f ca="1">INDEX(OFFSET('SK-ratios'!$AF$23,'SK-ranking'!AA$1-19,0,1,80),1,$B18)</f>
        <v>5.76372538961584</v>
      </c>
      <c r="AB18" s="532">
        <f ca="1">INDEX(OFFSET('SK-ratios'!$AF$23,'SK-ranking'!AB$1-19,0,1,80),1,$B18)</f>
        <v>5.76372538961584</v>
      </c>
      <c r="AC18" s="532">
        <f ca="1">INDEX(OFFSET('SK-ratios'!$AF$23,'SK-ranking'!AC$1-19,0,1,80),1,$B18)</f>
        <v>5.0548418686637877</v>
      </c>
      <c r="AD18" s="456"/>
      <c r="AE18" s="456">
        <f ca="1">INDEX(OFFSET('SK-ratios'!$AF$23,'SK-ranking'!AE$1-19,0,1,80),1,$B18)</f>
        <v>-3.4835063440906708E-3</v>
      </c>
      <c r="AF18" s="456">
        <f ca="1">INDEX(OFFSET('SK-ratios'!$AF$23,'SK-ranking'!AF$1-19,0,1,80),1,$B18)</f>
        <v>-3.4886827489232814E-3</v>
      </c>
      <c r="AG18" s="456">
        <f ca="1">INDEX(OFFSET('SK-ratios'!$AF$23,'SK-ranking'!AG$1-19,0,1,80),1,$B18)</f>
        <v>-0.75159767604132699</v>
      </c>
      <c r="AI18" s="456">
        <f ca="1">INDEX(OFFSET('SK-ratios'!$AF$23,'SK-ranking'!AI$1-19,0,1,80),1,$B18)</f>
        <v>1.482272627240457E-3</v>
      </c>
      <c r="AJ18" s="456">
        <f ca="1">INDEX(OFFSET('SK-ratios'!$AF$23,'SK-ranking'!AJ$1-19,0,1,80),1,$B18)</f>
        <v>-0.57929449563506552</v>
      </c>
      <c r="AL18" s="456">
        <f ca="1">INDEX(OFFSET('SK-ratios'!$AF$23,'SK-ranking'!AL$1-19,0,1,80),1,$B18)</f>
        <v>1.0720422652122539</v>
      </c>
      <c r="AM18" s="456">
        <f ca="1">INDEX(OFFSET('SK-ratios'!$AF$23,'SK-ranking'!AM$1-19,0,1,80),1,$B18)</f>
        <v>7.2215658516561589</v>
      </c>
    </row>
    <row r="19" spans="1:39" x14ac:dyDescent="0.25">
      <c r="A19" s="307">
        <v>8</v>
      </c>
      <c r="B19" s="525">
        <f>MATCH(C19,'SK-ratings-final'!I$2:CJ$2,0)</f>
        <v>67</v>
      </c>
      <c r="C19" s="307" t="str">
        <f>INDEX('SK-ratings-final'!$I$2:$CJ$2,MATCH('SK-ranking'!F19,'SK-ratings-final'!$I$35:$CJ$35,0))</f>
        <v>Transpetrol, a.s.</v>
      </c>
      <c r="D19" s="307" t="str">
        <f>INDEX('SK-info'!C$2:C$81,MATCH('SK-ranking'!C19,'SK-info'!B$2:B$81,0))</f>
        <v>state</v>
      </c>
      <c r="E19" s="323" t="s">
        <v>400</v>
      </c>
      <c r="F19" s="523">
        <f t="array" ref="F19">LARGE(IF('SK-ratings-final'!I$3:CJ$3="state",'SK-ratings-final'!$I$35:$CJ$35),'SK-ranking'!A19)</f>
        <v>6.1788481805349145</v>
      </c>
      <c r="H19" s="528">
        <f ca="1">INDEX(OFFSET('SK-ratings-final'!$I$20,'SK-ranking'!H$1-19,0,1,80),1,$B19)</f>
        <v>6.5950439148270892</v>
      </c>
      <c r="I19" s="528">
        <f ca="1">INDEX(OFFSET('SK-ratings-final'!$I$20,'SK-ranking'!I$1-19,0,1,80),1,$B19)</f>
        <v>6.8226874874655987</v>
      </c>
      <c r="J19" s="528">
        <f ca="1">INDEX(OFFSET('SK-ratings-final'!$I$20,'SK-ranking'!J$1-19,0,1,80),1,$B19)</f>
        <v>6.8651124615960821</v>
      </c>
      <c r="K19" s="523">
        <f ca="1">INDEX(OFFSET('SK-ratings-final'!$I$20,'SK-ranking'!K$1-19,0,1,80),1,$B19)</f>
        <v>6.7609479546295894</v>
      </c>
      <c r="M19" s="528">
        <f ca="1">INDEX(OFFSET('SK-ratings-final'!$I$20,'SK-ranking'!M$1-19,0,1,80),1,$B19)</f>
        <v>7.2111446587394541</v>
      </c>
      <c r="N19" s="528">
        <f ca="1">INDEX(OFFSET('SK-ratings-final'!$I$20,'SK-ranking'!N$1-19,0,1,80),1,$B19)</f>
        <v>6.4585896320090939</v>
      </c>
      <c r="O19" s="528">
        <f ca="1">INDEX(OFFSET('SK-ratings-final'!$I$20,'SK-ranking'!O$1-19,0,1,80),1,$B19)</f>
        <v>9.3262838666807291</v>
      </c>
      <c r="P19" s="523">
        <f ca="1">INDEX(OFFSET('SK-ratings-final'!$I$20,'SK-ranking'!P$1-19,0,1,80),1,$B19)</f>
        <v>7.906689336569892</v>
      </c>
      <c r="R19" s="528">
        <f ca="1">INDEX(OFFSET('SK-ratings-final'!$I$20,'SK-ranking'!R$1-19,0,1,80),1,$B19)</f>
        <v>3.7722420419542995</v>
      </c>
      <c r="S19" s="528">
        <f ca="1">INDEX(OFFSET('SK-ratings-final'!$I$20,'SK-ranking'!S$1-19,0,1,80),1,$B19)</f>
        <v>7.6820991455809162</v>
      </c>
      <c r="T19" s="523">
        <f ca="1">INDEX(OFFSET('SK-ratings-final'!$I$20,'SK-ranking'!T$1-19,0,1,80),1,$B19)</f>
        <v>5.7271705937676076</v>
      </c>
      <c r="V19" s="528">
        <f ca="1">INDEX(OFFSET('SK-ratings-final'!$I$20,'SK-ranking'!V$1-19,0,1,80),1,$B19)</f>
        <v>4.2965561274856237</v>
      </c>
      <c r="W19" s="528">
        <f ca="1">INDEX(OFFSET('SK-ratings-final'!$I$20,'SK-ranking'!W$1-19,0,1,80),1,$B19)</f>
        <v>3.6413206685619923</v>
      </c>
      <c r="X19" s="523">
        <f ca="1">INDEX(OFFSET('SK-ratings-final'!$I$20,'SK-ranking'!X$1-19,0,1,80),1,$B19)</f>
        <v>3.9689383980238078</v>
      </c>
      <c r="AA19" s="532">
        <f ca="1">INDEX(OFFSET('SK-ratios'!$AF$23,'SK-ranking'!AA$1-19,0,1,80),1,$B19)</f>
        <v>4.2282370611836688</v>
      </c>
      <c r="AB19" s="532">
        <f ca="1">INDEX(OFFSET('SK-ratios'!$AF$23,'SK-ranking'!AB$1-19,0,1,80),1,$B19)</f>
        <v>4.058691876377809</v>
      </c>
      <c r="AC19" s="532">
        <f ca="1">INDEX(OFFSET('SK-ratios'!$AF$23,'SK-ranking'!AC$1-19,0,1,80),1,$B19)</f>
        <v>2.7440890710812691</v>
      </c>
      <c r="AD19" s="456"/>
      <c r="AE19" s="456">
        <f ca="1">INDEX(OFFSET('SK-ratios'!$AF$23,'SK-ranking'!AE$1-19,0,1,80),1,$B19)</f>
        <v>1.3337546674068178E-2</v>
      </c>
      <c r="AF19" s="456">
        <f ca="1">INDEX(OFFSET('SK-ratios'!$AF$23,'SK-ranking'!AF$1-19,0,1,80),1,$B19)</f>
        <v>1.463462161855723E-2</v>
      </c>
      <c r="AG19" s="456">
        <f ca="1">INDEX(OFFSET('SK-ratios'!$AF$23,'SK-ranking'!AG$1-19,0,1,80),1,$B19)</f>
        <v>8.4205984433684988E-2</v>
      </c>
      <c r="AI19" s="456">
        <f ca="1">INDEX(OFFSET('SK-ratios'!$AF$23,'SK-ranking'!AI$1-19,0,1,80),1,$B19)</f>
        <v>7.689088927532696E-2</v>
      </c>
      <c r="AJ19" s="456">
        <f ca="1">INDEX(OFFSET('SK-ratios'!$AF$23,'SK-ranking'!AJ$1-19,0,1,80),1,$B19)</f>
        <v>1.1131326253160967</v>
      </c>
      <c r="AL19" s="456">
        <f ca="1">INDEX(OFFSET('SK-ratios'!$AF$23,'SK-ranking'!AL$1-19,0,1,80),1,$B19)</f>
        <v>2.216531949569061</v>
      </c>
      <c r="AM19" s="456">
        <f ca="1">INDEX(OFFSET('SK-ratios'!$AF$23,'SK-ranking'!AM$1-19,0,1,80),1,$B19)</f>
        <v>5.4430817871885218</v>
      </c>
    </row>
    <row r="20" spans="1:39" x14ac:dyDescent="0.25">
      <c r="A20" s="307">
        <v>9</v>
      </c>
      <c r="B20" s="525">
        <f>MATCH(C20,'SK-ratings-final'!I$2:CJ$2,0)</f>
        <v>22</v>
      </c>
      <c r="C20" s="307" t="str">
        <f>INDEX('SK-ratings-final'!$I$2:$CJ$2,MATCH('SK-ranking'!F20,'SK-ratings-final'!$I$35:$CJ$35,0))</f>
        <v>Lesopoľnohospodársky majetok Ulič, š.p.</v>
      </c>
      <c r="D20" s="307" t="str">
        <f>INDEX('SK-info'!C$2:C$81,MATCH('SK-ranking'!C20,'SK-info'!B$2:B$81,0))</f>
        <v>state</v>
      </c>
      <c r="E20" s="323" t="s">
        <v>400</v>
      </c>
      <c r="F20" s="523">
        <f t="array" ref="F20">LARGE(IF('SK-ratings-final'!I$3:CJ$3="state",'SK-ratings-final'!$I$35:$CJ$35),'SK-ranking'!A20)</f>
        <v>6.1168377820897577</v>
      </c>
      <c r="H20" s="528">
        <f ca="1">INDEX(OFFSET('SK-ratings-final'!$I$20,'SK-ranking'!H$1-19,0,1,80),1,$B20)</f>
        <v>8.1242582050226169</v>
      </c>
      <c r="I20" s="528">
        <f ca="1">INDEX(OFFSET('SK-ratings-final'!$I$20,'SK-ranking'!I$1-19,0,1,80),1,$B20)</f>
        <v>7.550656153093251</v>
      </c>
      <c r="J20" s="528">
        <f ca="1">INDEX(OFFSET('SK-ratings-final'!$I$20,'SK-ranking'!J$1-19,0,1,80),1,$B20)</f>
        <v>6.2415155356766414</v>
      </c>
      <c r="K20" s="523">
        <f ca="1">INDEX(OFFSET('SK-ratings-final'!$I$20,'SK-ranking'!K$1-19,0,1,80),1,$B20)</f>
        <v>7.3054766312641695</v>
      </c>
      <c r="M20" s="528">
        <f ca="1">INDEX(OFFSET('SK-ratings-final'!$I$20,'SK-ranking'!M$1-19,0,1,80),1,$B20)</f>
        <v>5.7575015177312805</v>
      </c>
      <c r="N20" s="528">
        <f ca="1">INDEX(OFFSET('SK-ratings-final'!$I$20,'SK-ranking'!N$1-19,0,1,80),1,$B20)</f>
        <v>5.4008239013778097</v>
      </c>
      <c r="O20" s="528">
        <f ca="1">INDEX(OFFSET('SK-ratings-final'!$I$20,'SK-ranking'!O$1-19,0,1,80),1,$B20)</f>
        <v>6.6668611378014022</v>
      </c>
      <c r="P20" s="523">
        <f ca="1">INDEX(OFFSET('SK-ratings-final'!$I$20,'SK-ranking'!P$1-19,0,1,80),1,$B20)</f>
        <v>6.0499098424886357</v>
      </c>
      <c r="R20" s="528">
        <f ca="1">INDEX(OFFSET('SK-ratings-final'!$I$20,'SK-ranking'!R$1-19,0,1,80),1,$B20)</f>
        <v>5.993064774213523</v>
      </c>
      <c r="S20" s="528">
        <f ca="1">INDEX(OFFSET('SK-ratings-final'!$I$20,'SK-ranking'!S$1-19,0,1,80),1,$B20)</f>
        <v>7.6898067699063359</v>
      </c>
      <c r="T20" s="523">
        <f ca="1">INDEX(OFFSET('SK-ratings-final'!$I$20,'SK-ranking'!T$1-19,0,1,80),1,$B20)</f>
        <v>6.8414357720599295</v>
      </c>
      <c r="V20" s="528">
        <f ca="1">INDEX(OFFSET('SK-ratings-final'!$I$20,'SK-ranking'!V$1-19,0,1,80),1,$B20)</f>
        <v>4.1434484757023631</v>
      </c>
      <c r="W20" s="528">
        <f ca="1">INDEX(OFFSET('SK-ratings-final'!$I$20,'SK-ranking'!W$1-19,0,1,80),1,$B20)</f>
        <v>3.1121558446334094</v>
      </c>
      <c r="X20" s="523">
        <f ca="1">INDEX(OFFSET('SK-ratings-final'!$I$20,'SK-ranking'!X$1-19,0,1,80),1,$B20)</f>
        <v>3.6278021601678865</v>
      </c>
      <c r="AA20" s="532">
        <f ca="1">INDEX(OFFSET('SK-ratios'!$AF$23,'SK-ranking'!AA$1-19,0,1,80),1,$B20)</f>
        <v>6.0551212931558229</v>
      </c>
      <c r="AB20" s="532">
        <f ca="1">INDEX(OFFSET('SK-ratios'!$AF$23,'SK-ranking'!AB$1-19,0,1,80),1,$B20)</f>
        <v>4.0539014250929251</v>
      </c>
      <c r="AC20" s="532">
        <f ca="1">INDEX(OFFSET('SK-ratios'!$AF$23,'SK-ranking'!AC$1-19,0,1,80),1,$B20)</f>
        <v>1.2458081984701419</v>
      </c>
      <c r="AD20" s="456"/>
      <c r="AE20" s="456">
        <f ca="1">INDEX(OFFSET('SK-ratios'!$AF$23,'SK-ranking'!AE$1-19,0,1,80),1,$B20)</f>
        <v>3.2391406111851417E-3</v>
      </c>
      <c r="AF20" s="456">
        <f ca="1">INDEX(OFFSET('SK-ratios'!$AF$23,'SK-ranking'!AF$1-19,0,1,80),1,$B20)</f>
        <v>3.3264283280316398E-3</v>
      </c>
      <c r="AG20" s="456">
        <f ca="1">INDEX(OFFSET('SK-ratios'!$AF$23,'SK-ranking'!AG$1-19,0,1,80),1,$B20)</f>
        <v>1.4560890900617025E-2</v>
      </c>
      <c r="AI20" s="456">
        <f ca="1">INDEX(OFFSET('SK-ratios'!$AF$23,'SK-ranking'!AI$1-19,0,1,80),1,$B20)</f>
        <v>2.6240672649077996E-2</v>
      </c>
      <c r="AJ20" s="456">
        <f ca="1">INDEX(OFFSET('SK-ratios'!$AF$23,'SK-ranking'!AJ$1-19,0,1,80),1,$B20)</f>
        <v>1.0673055203600956</v>
      </c>
      <c r="AL20" s="456">
        <f ca="1">INDEX(OFFSET('SK-ratios'!$AF$23,'SK-ranking'!AL$1-19,0,1,80),1,$B20)</f>
        <v>2.8007891345589724</v>
      </c>
      <c r="AM20" s="456">
        <f ca="1">INDEX(OFFSET('SK-ratios'!$AF$23,'SK-ranking'!AM$1-19,0,1,80),1,$B20)</f>
        <v>5.1520619215299464</v>
      </c>
    </row>
    <row r="21" spans="1:39" x14ac:dyDescent="0.25">
      <c r="A21" s="307">
        <v>10</v>
      </c>
      <c r="B21" s="525">
        <f>MATCH(C21,'SK-ratings-final'!I$2:CJ$2,0)</f>
        <v>51</v>
      </c>
      <c r="C21" s="307" t="str">
        <f>INDEX('SK-ratings-final'!$I$2:$CJ$2,MATCH('SK-ranking'!F21,'SK-ratings-final'!$I$35:$CJ$35,0))</f>
        <v>Slovenská elektrizačná prenosová sústava, a.s.</v>
      </c>
      <c r="D21" s="307" t="str">
        <f>INDEX('SK-info'!C$2:C$81,MATCH('SK-ranking'!C21,'SK-info'!B$2:B$81,0))</f>
        <v>state</v>
      </c>
      <c r="E21" s="323" t="s">
        <v>400</v>
      </c>
      <c r="F21" s="523">
        <f t="array" ref="F21">LARGE(IF('SK-ratings-final'!I$3:CJ$3="state",'SK-ratings-final'!$I$35:$CJ$35),'SK-ranking'!A21)</f>
        <v>6.096753802399558</v>
      </c>
      <c r="H21" s="528">
        <f ca="1">INDEX(OFFSET('SK-ratings-final'!$I$20,'SK-ranking'!H$1-19,0,1,80),1,$B21)</f>
        <v>4.8894526284138999</v>
      </c>
      <c r="I21" s="528">
        <f ca="1">INDEX(OFFSET('SK-ratings-final'!$I$20,'SK-ranking'!I$1-19,0,1,80),1,$B21)</f>
        <v>5.1722805063822692</v>
      </c>
      <c r="J21" s="528">
        <f ca="1">INDEX(OFFSET('SK-ratings-final'!$I$20,'SK-ranking'!J$1-19,0,1,80),1,$B21)</f>
        <v>5.2178902342189115</v>
      </c>
      <c r="K21" s="523">
        <f ca="1">INDEX(OFFSET('SK-ratings-final'!$I$20,'SK-ranking'!K$1-19,0,1,80),1,$B21)</f>
        <v>5.093207789671693</v>
      </c>
      <c r="M21" s="528">
        <f ca="1">INDEX(OFFSET('SK-ratings-final'!$I$20,'SK-ranking'!M$1-19,0,1,80),1,$B21)</f>
        <v>9.1968319464849078</v>
      </c>
      <c r="N21" s="528">
        <f ca="1">INDEX(OFFSET('SK-ratings-final'!$I$20,'SK-ranking'!N$1-19,0,1,80),1,$B21)</f>
        <v>8.5452232618603539</v>
      </c>
      <c r="O21" s="528">
        <f ca="1">INDEX(OFFSET('SK-ratings-final'!$I$20,'SK-ranking'!O$1-19,0,1,80),1,$B21)</f>
        <v>9.957028410272855</v>
      </c>
      <c r="P21" s="523">
        <f ca="1">INDEX(OFFSET('SK-ratings-final'!$I$20,'SK-ranking'!P$1-19,0,1,80),1,$B21)</f>
        <v>9.3705887950751769</v>
      </c>
      <c r="R21" s="528">
        <f ca="1">INDEX(OFFSET('SK-ratings-final'!$I$20,'SK-ranking'!R$1-19,0,1,80),1,$B21)</f>
        <v>1.4499341961143932</v>
      </c>
      <c r="S21" s="528">
        <f ca="1">INDEX(OFFSET('SK-ratings-final'!$I$20,'SK-ranking'!S$1-19,0,1,80),1,$B21)</f>
        <v>6.7776421228749841</v>
      </c>
      <c r="T21" s="523">
        <f ca="1">INDEX(OFFSET('SK-ratings-final'!$I$20,'SK-ranking'!T$1-19,0,1,80),1,$B21)</f>
        <v>4.1137881594946881</v>
      </c>
      <c r="V21" s="528">
        <f ca="1">INDEX(OFFSET('SK-ratings-final'!$I$20,'SK-ranking'!V$1-19,0,1,80),1,$B21)</f>
        <v>7.7335170166053819</v>
      </c>
      <c r="W21" s="528">
        <f ca="1">INDEX(OFFSET('SK-ratings-final'!$I$20,'SK-ranking'!W$1-19,0,1,80),1,$B21)</f>
        <v>4.7331650670389607</v>
      </c>
      <c r="X21" s="523">
        <f ca="1">INDEX(OFFSET('SK-ratings-final'!$I$20,'SK-ranking'!X$1-19,0,1,80),1,$B21)</f>
        <v>6.2333410418221709</v>
      </c>
      <c r="AA21" s="532">
        <f ca="1">INDEX(OFFSET('SK-ratios'!$AF$23,'SK-ranking'!AA$1-19,0,1,80),1,$B21)</f>
        <v>1.5172969591179404</v>
      </c>
      <c r="AB21" s="532">
        <f ca="1">INDEX(OFFSET('SK-ratios'!$AF$23,'SK-ranking'!AB$1-19,0,1,80),1,$B21)</f>
        <v>1.4940433741915089</v>
      </c>
      <c r="AC21" s="532">
        <f ca="1">INDEX(OFFSET('SK-ratios'!$AF$23,'SK-ranking'!AC$1-19,0,1,80),1,$B21)</f>
        <v>0.89644694263476465</v>
      </c>
      <c r="AD21" s="456"/>
      <c r="AE21" s="456">
        <f ca="1">INDEX(OFFSET('SK-ratios'!$AF$23,'SK-ranking'!AE$1-19,0,1,80),1,$B21)</f>
        <v>6.3534913664186218E-2</v>
      </c>
      <c r="AF21" s="456">
        <f ca="1">INDEX(OFFSET('SK-ratios'!$AF$23,'SK-ranking'!AF$1-19,0,1,80),1,$B21)</f>
        <v>9.2357703846676353E-2</v>
      </c>
      <c r="AG21" s="456">
        <f ca="1">INDEX(OFFSET('SK-ratios'!$AF$23,'SK-ranking'!AG$1-19,0,1,80),1,$B21)</f>
        <v>0.15588495942127753</v>
      </c>
      <c r="AI21" s="456">
        <f ca="1">INDEX(OFFSET('SK-ratios'!$AF$23,'SK-ranking'!AI$1-19,0,1,80),1,$B21)</f>
        <v>0.20653353264645455</v>
      </c>
      <c r="AJ21" s="456">
        <f ca="1">INDEX(OFFSET('SK-ratios'!$AF$23,'SK-ranking'!AJ$1-19,0,1,80),1,$B21)</f>
        <v>2.4209034995031513</v>
      </c>
      <c r="AL21" s="456">
        <f ca="1">INDEX(OFFSET('SK-ratios'!$AF$23,'SK-ranking'!AL$1-19,0,1,80),1,$B21)</f>
        <v>13.813250049589746</v>
      </c>
      <c r="AM21" s="456">
        <f ca="1">INDEX(OFFSET('SK-ratios'!$AF$23,'SK-ranking'!AM$1-19,0,1,80),1,$B21)</f>
        <v>12.262153608106155</v>
      </c>
    </row>
    <row r="22" spans="1:39" x14ac:dyDescent="0.25">
      <c r="A22" s="307">
        <v>11</v>
      </c>
      <c r="B22" s="525">
        <f>MATCH(C22,'SK-ratings-final'!I$2:CJ$2,0)</f>
        <v>65</v>
      </c>
      <c r="C22" s="307" t="str">
        <f>INDEX('SK-ratings-final'!$I$2:$CJ$2,MATCH('SK-ranking'!F22,'SK-ratings-final'!$I$35:$CJ$35,0))</f>
        <v>Technický skúšobný ústav Piešťany, š.p.</v>
      </c>
      <c r="D22" s="307" t="str">
        <f>INDEX('SK-info'!C$2:C$81,MATCH('SK-ranking'!C22,'SK-info'!B$2:B$81,0))</f>
        <v>state</v>
      </c>
      <c r="E22" s="323" t="s">
        <v>400</v>
      </c>
      <c r="F22" s="523">
        <f t="array" ref="F22">LARGE(IF('SK-ratings-final'!I$3:CJ$3="state",'SK-ratings-final'!$I$35:$CJ$35),'SK-ranking'!A22)</f>
        <v>6.0297790166023342</v>
      </c>
      <c r="H22" s="528">
        <f ca="1">INDEX(OFFSET('SK-ratings-final'!$I$20,'SK-ranking'!H$1-19,0,1,80),1,$B22)</f>
        <v>7.0489085509644758</v>
      </c>
      <c r="I22" s="528">
        <f ca="1">INDEX(OFFSET('SK-ratings-final'!$I$20,'SK-ranking'!I$1-19,0,1,80),1,$B22)</f>
        <v>7.3640920422642688</v>
      </c>
      <c r="J22" s="528">
        <f ca="1">INDEX(OFFSET('SK-ratings-final'!$I$20,'SK-ranking'!J$1-19,0,1,80),1,$B22)</f>
        <v>7.6999413548331956</v>
      </c>
      <c r="K22" s="523">
        <f ca="1">INDEX(OFFSET('SK-ratings-final'!$I$20,'SK-ranking'!K$1-19,0,1,80),1,$B22)</f>
        <v>7.3709806493539798</v>
      </c>
      <c r="M22" s="528">
        <f ca="1">INDEX(OFFSET('SK-ratings-final'!$I$20,'SK-ranking'!M$1-19,0,1,80),1,$B22)</f>
        <v>8.3744461439424533</v>
      </c>
      <c r="N22" s="528">
        <f ca="1">INDEX(OFFSET('SK-ratings-final'!$I$20,'SK-ranking'!N$1-19,0,1,80),1,$B22)</f>
        <v>7.6074540415889924</v>
      </c>
      <c r="O22" s="528">
        <f ca="1">INDEX(OFFSET('SK-ratings-final'!$I$20,'SK-ranking'!O$1-19,0,1,80),1,$B22)</f>
        <v>8.4535516322714805</v>
      </c>
      <c r="P22" s="523">
        <f ca="1">INDEX(OFFSET('SK-ratings-final'!$I$20,'SK-ranking'!P$1-19,0,1,80),1,$B22)</f>
        <v>8.2526899188033731</v>
      </c>
      <c r="R22" s="528">
        <f ca="1">INDEX(OFFSET('SK-ratings-final'!$I$20,'SK-ranking'!R$1-19,0,1,80),1,$B22)</f>
        <v>1.4115082944468322</v>
      </c>
      <c r="S22" s="528">
        <f ca="1">INDEX(OFFSET('SK-ratings-final'!$I$20,'SK-ranking'!S$1-19,0,1,80),1,$B22)</f>
        <v>6.7933136573435542</v>
      </c>
      <c r="T22" s="523">
        <f ca="1">INDEX(OFFSET('SK-ratings-final'!$I$20,'SK-ranking'!T$1-19,0,1,80),1,$B22)</f>
        <v>4.1024109758951939</v>
      </c>
      <c r="V22" s="528">
        <f ca="1">INDEX(OFFSET('SK-ratings-final'!$I$20,'SK-ranking'!V$1-19,0,1,80),1,$B22)</f>
        <v>4.0694110580710703</v>
      </c>
      <c r="W22" s="528">
        <f ca="1">INDEX(OFFSET('SK-ratings-final'!$I$20,'SK-ranking'!W$1-19,0,1,80),1,$B22)</f>
        <v>4.861969759873304</v>
      </c>
      <c r="X22" s="523">
        <f ca="1">INDEX(OFFSET('SK-ratings-final'!$I$20,'SK-ranking'!X$1-19,0,1,80),1,$B22)</f>
        <v>4.4656904089721872</v>
      </c>
      <c r="AA22" s="532">
        <f ca="1">INDEX(OFFSET('SK-ratios'!$AF$23,'SK-ranking'!AA$1-19,0,1,80),1,$B22)</f>
        <v>4.5441683391984444</v>
      </c>
      <c r="AB22" s="532">
        <f ca="1">INDEX(OFFSET('SK-ratios'!$AF$23,'SK-ranking'!AB$1-19,0,1,80),1,$B22)</f>
        <v>4.4280511329715262</v>
      </c>
      <c r="AC22" s="532">
        <f ca="1">INDEX(OFFSET('SK-ratios'!$AF$23,'SK-ranking'!AC$1-19,0,1,80),1,$B22)</f>
        <v>3.8393199470789945</v>
      </c>
      <c r="AD22" s="456"/>
      <c r="AE22" s="456">
        <f ca="1">INDEX(OFFSET('SK-ratios'!$AF$23,'SK-ranking'!AE$1-19,0,1,80),1,$B22)</f>
        <v>4.6664902789501639E-2</v>
      </c>
      <c r="AF22" s="456">
        <f ca="1">INDEX(OFFSET('SK-ratios'!$AF$23,'SK-ranking'!AF$1-19,0,1,80),1,$B22)</f>
        <v>5.8654555144686975E-2</v>
      </c>
      <c r="AG22" s="456">
        <f ca="1">INDEX(OFFSET('SK-ratios'!$AF$23,'SK-ranking'!AG$1-19,0,1,80),1,$B22)</f>
        <v>6.7664907394439228E-2</v>
      </c>
      <c r="AI22" s="456">
        <f ca="1">INDEX(OFFSET('SK-ratios'!$AF$23,'SK-ranking'!AI$1-19,0,1,80),1,$B22)</f>
        <v>0.20439293444930354</v>
      </c>
      <c r="AJ22" s="456">
        <f ca="1">INDEX(OFFSET('SK-ratios'!$AF$23,'SK-ranking'!AJ$1-19,0,1,80),1,$B22)</f>
        <v>1.9546793882418969</v>
      </c>
      <c r="AL22" s="456">
        <f ca="1">INDEX(OFFSET('SK-ratios'!$AF$23,'SK-ranking'!AL$1-19,0,1,80),1,$B22)</f>
        <v>2.3873148648980376</v>
      </c>
      <c r="AM22" s="456">
        <f ca="1">INDEX(OFFSET('SK-ratios'!$AF$23,'SK-ranking'!AM$1-19,0,1,80),1,$B22)</f>
        <v>14.371662250305748</v>
      </c>
    </row>
    <row r="23" spans="1:39" x14ac:dyDescent="0.25">
      <c r="A23" s="307">
        <v>12</v>
      </c>
      <c r="B23" s="525">
        <f>MATCH(C23,'SK-ratings-final'!I$2:CJ$2,0)</f>
        <v>55</v>
      </c>
      <c r="C23" s="307" t="str">
        <f>INDEX('SK-ratings-final'!$I$2:$CJ$2,MATCH('SK-ranking'!F23,'SK-ratings-final'!$I$35:$CJ$35,0))</f>
        <v>Slovenský plynárenský priemysel, a.s.</v>
      </c>
      <c r="D23" s="307" t="str">
        <f>INDEX('SK-info'!C$2:C$81,MATCH('SK-ranking'!C23,'SK-info'!B$2:B$81,0))</f>
        <v>state</v>
      </c>
      <c r="E23" s="323" t="s">
        <v>400</v>
      </c>
      <c r="F23" s="523">
        <f t="array" ref="F23">LARGE(IF('SK-ratings-final'!I$3:CJ$3="state",'SK-ratings-final'!$I$35:$CJ$35),'SK-ranking'!A23)</f>
        <v>6.027338677375722</v>
      </c>
      <c r="H23" s="528">
        <f ca="1">INDEX(OFFSET('SK-ratings-final'!$I$20,'SK-ranking'!H$1-19,0,1,80),1,$B23)</f>
        <v>6.4238289089354703</v>
      </c>
      <c r="I23" s="528">
        <f ca="1">INDEX(OFFSET('SK-ratings-final'!$I$20,'SK-ranking'!I$1-19,0,1,80),1,$B23)</f>
        <v>6.2695188207135351</v>
      </c>
      <c r="J23" s="528">
        <f ca="1">INDEX(OFFSET('SK-ratings-final'!$I$20,'SK-ranking'!J$1-19,0,1,80),1,$B23)</f>
        <v>5.2211885530906068</v>
      </c>
      <c r="K23" s="523">
        <f ca="1">INDEX(OFFSET('SK-ratings-final'!$I$20,'SK-ranking'!K$1-19,0,1,80),1,$B23)</f>
        <v>5.9715120942465374</v>
      </c>
      <c r="M23" s="528">
        <f ca="1">INDEX(OFFSET('SK-ratings-final'!$I$20,'SK-ranking'!M$1-19,0,1,80),1,$B23)</f>
        <v>10</v>
      </c>
      <c r="N23" s="528">
        <f ca="1">INDEX(OFFSET('SK-ratings-final'!$I$20,'SK-ranking'!N$1-19,0,1,80),1,$B23)</f>
        <v>9.2230946865532619</v>
      </c>
      <c r="O23" s="528">
        <f ca="1">INDEX(OFFSET('SK-ratings-final'!$I$20,'SK-ranking'!O$1-19,0,1,80),1,$B23)</f>
        <v>10</v>
      </c>
      <c r="P23" s="523">
        <f ca="1">INDEX(OFFSET('SK-ratings-final'!$I$20,'SK-ranking'!P$1-19,0,1,80),1,$B23)</f>
        <v>9.8446189373106527</v>
      </c>
      <c r="R23" s="528">
        <f ca="1">INDEX(OFFSET('SK-ratings-final'!$I$20,'SK-ranking'!R$1-19,0,1,80),1,$B23)</f>
        <v>2.3395017283839934</v>
      </c>
      <c r="S23" s="528">
        <f ca="1">INDEX(OFFSET('SK-ratings-final'!$I$20,'SK-ranking'!S$1-19,0,1,80),1,$B23)</f>
        <v>7.8555719168281124</v>
      </c>
      <c r="T23" s="523">
        <f ca="1">INDEX(OFFSET('SK-ratings-final'!$I$20,'SK-ranking'!T$1-19,0,1,80),1,$B23)</f>
        <v>5.0975368226060525</v>
      </c>
      <c r="V23" s="528">
        <f ca="1">INDEX(OFFSET('SK-ratings-final'!$I$20,'SK-ranking'!V$1-19,0,1,80),1,$B23)</f>
        <v>3.524971766117631</v>
      </c>
      <c r="W23" s="528">
        <f ca="1">INDEX(OFFSET('SK-ratings-final'!$I$20,'SK-ranking'!W$1-19,0,1,80),1,$B23)</f>
        <v>1.9154769609284561</v>
      </c>
      <c r="X23" s="523">
        <f ca="1">INDEX(OFFSET('SK-ratings-final'!$I$20,'SK-ranking'!X$1-19,0,1,80),1,$B23)</f>
        <v>2.7202243635230436</v>
      </c>
      <c r="AA23" s="532">
        <f ca="1">INDEX(OFFSET('SK-ratios'!$AF$23,'SK-ranking'!AA$1-19,0,1,80),1,$B23)</f>
        <v>2.8639393345100346</v>
      </c>
      <c r="AB23" s="532">
        <f ca="1">INDEX(OFFSET('SK-ratios'!$AF$23,'SK-ranking'!AB$1-19,0,1,80),1,$B23)</f>
        <v>2.5193750408576845</v>
      </c>
      <c r="AC23" s="532">
        <f ca="1">INDEX(OFFSET('SK-ratios'!$AF$23,'SK-ranking'!AC$1-19,0,1,80),1,$B23)</f>
        <v>1.288341504870236</v>
      </c>
      <c r="AD23" s="456"/>
      <c r="AE23" s="456">
        <f ca="1">INDEX(OFFSET('SK-ratios'!$AF$23,'SK-ranking'!AE$1-19,0,1,80),1,$B23)</f>
        <v>0.14180224212128945</v>
      </c>
      <c r="AF23" s="456">
        <f ca="1">INDEX(OFFSET('SK-ratios'!$AF$23,'SK-ranking'!AF$1-19,0,1,80),1,$B23)</f>
        <v>0.16906188871081587</v>
      </c>
      <c r="AG23" s="456">
        <f ca="1">INDEX(OFFSET('SK-ratios'!$AF$23,'SK-ranking'!AG$1-19,0,1,80),1,$B23)</f>
        <v>0.36171382990608497</v>
      </c>
      <c r="AI23" s="456">
        <f ca="1">INDEX(OFFSET('SK-ratios'!$AF$23,'SK-ranking'!AI$1-19,0,1,80),1,$B23)</f>
        <v>0.16124063677151196</v>
      </c>
      <c r="AJ23" s="456">
        <f ca="1">INDEX(OFFSET('SK-ratios'!$AF$23,'SK-ranking'!AJ$1-19,0,1,80),1,$B23)</f>
        <v>1.0893485296186858</v>
      </c>
      <c r="AL23" s="456">
        <f ca="1">INDEX(OFFSET('SK-ratios'!$AF$23,'SK-ranking'!AL$1-19,0,1,80),1,$B23)</f>
        <v>1.7956740650124787</v>
      </c>
      <c r="AM23" s="456">
        <f ca="1">INDEX(OFFSET('SK-ratios'!$AF$23,'SK-ranking'!AM$1-19,0,1,80),1,$B23)</f>
        <v>2.7188759882577349</v>
      </c>
    </row>
    <row r="24" spans="1:39" x14ac:dyDescent="0.25">
      <c r="A24" s="307">
        <v>13</v>
      </c>
      <c r="B24" s="525">
        <f>MATCH(C24,'SK-ratings-final'!I$2:CJ$2,0)</f>
        <v>1</v>
      </c>
      <c r="C24" s="307" t="str">
        <f>INDEX('SK-ratings-final'!$I$2:$CJ$2,MATCH('SK-ranking'!F24,'SK-ratings-final'!$I$35:$CJ$35,0))</f>
        <v>Agroinštitút Nitra, š.p.</v>
      </c>
      <c r="D24" s="307" t="str">
        <f>INDEX('SK-info'!C$2:C$81,MATCH('SK-ranking'!C24,'SK-info'!B$2:B$81,0))</f>
        <v>state</v>
      </c>
      <c r="E24" s="323" t="s">
        <v>400</v>
      </c>
      <c r="F24" s="523">
        <f t="array" ref="F24">LARGE(IF('SK-ratings-final'!I$3:CJ$3="state",'SK-ratings-final'!$I$35:$CJ$35),'SK-ranking'!A24)</f>
        <v>6.0183483093673065</v>
      </c>
      <c r="H24" s="528">
        <f ca="1">INDEX(OFFSET('SK-ratings-final'!$I$20,'SK-ranking'!H$1-19,0,1,80),1,$B24)</f>
        <v>9.8073361827853009</v>
      </c>
      <c r="I24" s="528">
        <f ca="1">INDEX(OFFSET('SK-ratings-final'!$I$20,'SK-ranking'!I$1-19,0,1,80),1,$B24)</f>
        <v>10</v>
      </c>
      <c r="J24" s="528">
        <f ca="1">INDEX(OFFSET('SK-ratings-final'!$I$20,'SK-ranking'!J$1-19,0,1,80),1,$B24)</f>
        <v>10</v>
      </c>
      <c r="K24" s="523">
        <f ca="1">INDEX(OFFSET('SK-ratings-final'!$I$20,'SK-ranking'!K$1-19,0,1,80),1,$B24)</f>
        <v>9.9357787275950997</v>
      </c>
      <c r="M24" s="528">
        <f ca="1">INDEX(OFFSET('SK-ratings-final'!$I$20,'SK-ranking'!M$1-19,0,1,80),1,$B24)</f>
        <v>5.0680418998776284</v>
      </c>
      <c r="N24" s="528">
        <f ca="1">INDEX(OFFSET('SK-ratings-final'!$I$20,'SK-ranking'!N$1-19,0,1,80),1,$B24)</f>
        <v>5.0472748543377888</v>
      </c>
      <c r="O24" s="528">
        <f ca="1">INDEX(OFFSET('SK-ratings-final'!$I$20,'SK-ranking'!O$1-19,0,1,80),1,$B24)</f>
        <v>5.1741152803496728</v>
      </c>
      <c r="P24" s="523">
        <f ca="1">INDEX(OFFSET('SK-ratings-final'!$I$20,'SK-ranking'!P$1-19,0,1,80),1,$B24)</f>
        <v>5.1063178429584788</v>
      </c>
      <c r="R24" s="528">
        <f ca="1">INDEX(OFFSET('SK-ratings-final'!$I$20,'SK-ranking'!R$1-19,0,1,80),1,$B24)</f>
        <v>3.5020340028057575</v>
      </c>
      <c r="S24" s="528">
        <f ca="1">INDEX(OFFSET('SK-ratings-final'!$I$20,'SK-ranking'!S$1-19,0,1,80),1,$B24)</f>
        <v>6.8200107865774457</v>
      </c>
      <c r="T24" s="523">
        <f ca="1">INDEX(OFFSET('SK-ratings-final'!$I$20,'SK-ranking'!T$1-19,0,1,80),1,$B24)</f>
        <v>5.1610223946916012</v>
      </c>
      <c r="V24" s="528">
        <f ca="1">INDEX(OFFSET('SK-ratings-final'!$I$20,'SK-ranking'!V$1-19,0,1,80),1,$B24)</f>
        <v>2.4651786999794405</v>
      </c>
      <c r="W24" s="528">
        <f ca="1">INDEX(OFFSET('SK-ratings-final'!$I$20,'SK-ranking'!W$1-19,0,1,80),1,$B24)</f>
        <v>4.6299957832348753</v>
      </c>
      <c r="X24" s="523">
        <f ca="1">INDEX(OFFSET('SK-ratings-final'!$I$20,'SK-ranking'!X$1-19,0,1,80),1,$B24)</f>
        <v>3.5475872416071579</v>
      </c>
      <c r="AA24" s="532">
        <f ca="1">INDEX(OFFSET('SK-ratios'!$AF$23,'SK-ranking'!AA$1-19,0,1,80),1,$B24)</f>
        <v>11.079598488062638</v>
      </c>
      <c r="AB24" s="532">
        <f ca="1">INDEX(OFFSET('SK-ratios'!$AF$23,'SK-ranking'!AB$1-19,0,1,80),1,$B24)</f>
        <v>11.079598488062638</v>
      </c>
      <c r="AC24" s="532">
        <f ca="1">INDEX(OFFSET('SK-ratios'!$AF$23,'SK-ranking'!AC$1-19,0,1,80),1,$B24)</f>
        <v>10.176389478150192</v>
      </c>
      <c r="AD24" s="456"/>
      <c r="AE24" s="456">
        <f ca="1">INDEX(OFFSET('SK-ratios'!$AF$23,'SK-ranking'!AE$1-19,0,1,80),1,$B24)</f>
        <v>1.3591590662186404E-3</v>
      </c>
      <c r="AF24" s="456">
        <f ca="1">INDEX(OFFSET('SK-ratios'!$AF$23,'SK-ranking'!AF$1-19,0,1,80),1,$B24)</f>
        <v>1.509170302614288E-3</v>
      </c>
      <c r="AG24" s="456">
        <f ca="1">INDEX(OFFSET('SK-ratios'!$AF$23,'SK-ranking'!AG$1-19,0,1,80),1,$B24)</f>
        <v>3.1479346421841529E-3</v>
      </c>
      <c r="AI24" s="456">
        <f ca="1">INDEX(OFFSET('SK-ratios'!$AF$23,'SK-ranking'!AI$1-19,0,1,80),1,$B24)</f>
        <v>9.1292618301710413E-2</v>
      </c>
      <c r="AJ24" s="456">
        <f ca="1">INDEX(OFFSET('SK-ratios'!$AF$23,'SK-ranking'!AJ$1-19,0,1,80),1,$B24)</f>
        <v>2.2208233701132207</v>
      </c>
      <c r="AL24" s="456">
        <f ca="1">INDEX(OFFSET('SK-ratios'!$AF$23,'SK-ranking'!AL$1-19,0,1,80),1,$B24)</f>
        <v>1.0462990333242452</v>
      </c>
      <c r="AM24" s="456">
        <f ca="1">INDEX(OFFSET('SK-ratios'!$AF$23,'SK-ranking'!AM$1-19,0,1,80),1,$B24)</f>
        <v>11.676449236681968</v>
      </c>
    </row>
    <row r="25" spans="1:39" x14ac:dyDescent="0.25">
      <c r="A25" s="307">
        <v>14</v>
      </c>
      <c r="B25" s="525">
        <f>MATCH(C25,'SK-ratings-final'!I$2:CJ$2,0)</f>
        <v>52</v>
      </c>
      <c r="C25" s="307" t="str">
        <f>INDEX('SK-ratings-final'!$I$2:$CJ$2,MATCH('SK-ranking'!F25,'SK-ratings-final'!$I$35:$CJ$35,0))</f>
        <v>Slovenská konsolidačná, a.s.</v>
      </c>
      <c r="D25" s="307" t="str">
        <f>INDEX('SK-info'!C$2:C$81,MATCH('SK-ranking'!C25,'SK-info'!B$2:B$81,0))</f>
        <v>state</v>
      </c>
      <c r="E25" s="323" t="s">
        <v>400</v>
      </c>
      <c r="F25" s="523">
        <f t="array" ref="F25">LARGE(IF('SK-ratings-final'!I$3:CJ$3="state",'SK-ratings-final'!$I$35:$CJ$35),'SK-ranking'!A25)</f>
        <v>5.9677032846052471</v>
      </c>
      <c r="H25" s="528">
        <f ca="1">INDEX(OFFSET('SK-ratings-final'!$I$20,'SK-ranking'!H$1-19,0,1,80),1,$B25)</f>
        <v>10</v>
      </c>
      <c r="I25" s="528">
        <f ca="1">INDEX(OFFSET('SK-ratings-final'!$I$20,'SK-ranking'!I$1-19,0,1,80),1,$B25)</f>
        <v>10</v>
      </c>
      <c r="J25" s="528">
        <f ca="1">INDEX(OFFSET('SK-ratings-final'!$I$20,'SK-ranking'!J$1-19,0,1,80),1,$B25)</f>
        <v>10</v>
      </c>
      <c r="K25" s="523">
        <f ca="1">INDEX(OFFSET('SK-ratings-final'!$I$20,'SK-ranking'!K$1-19,0,1,80),1,$B25)</f>
        <v>10</v>
      </c>
      <c r="M25" s="528">
        <f ca="1">INDEX(OFFSET('SK-ratings-final'!$I$20,'SK-ranking'!M$1-19,0,1,80),1,$B25)</f>
        <v>8.5630716172492036</v>
      </c>
      <c r="N25" s="528">
        <f ca="1">INDEX(OFFSET('SK-ratings-final'!$I$20,'SK-ranking'!N$1-19,0,1,80),1,$B25)</f>
        <v>8.6416373572014145</v>
      </c>
      <c r="O25" s="528">
        <f ca="1">INDEX(OFFSET('SK-ratings-final'!$I$20,'SK-ranking'!O$1-19,0,1,80),1,$B25)</f>
        <v>10</v>
      </c>
      <c r="P25" s="523">
        <f ca="1">INDEX(OFFSET('SK-ratings-final'!$I$20,'SK-ranking'!P$1-19,0,1,80),1,$B25)</f>
        <v>9.1535561183399636</v>
      </c>
      <c r="R25" s="528">
        <f ca="1">INDEX(OFFSET('SK-ratings-final'!$I$20,'SK-ranking'!R$1-19,0,1,80),1,$B25)</f>
        <v>0</v>
      </c>
      <c r="S25" s="528">
        <f ca="1">INDEX(OFFSET('SK-ratings-final'!$I$20,'SK-ranking'!S$1-19,0,1,80),1,$B25)</f>
        <v>4.1185297299087473</v>
      </c>
      <c r="T25" s="523">
        <f ca="1">INDEX(OFFSET('SK-ratings-final'!$I$20,'SK-ranking'!T$1-19,0,1,80),1,$B25)</f>
        <v>2.0592648649543737</v>
      </c>
      <c r="V25" s="528">
        <f ca="1">INDEX(OFFSET('SK-ratings-final'!$I$20,'SK-ranking'!V$1-19,0,1,80),1,$B25)</f>
        <v>0.67810576464827022</v>
      </c>
      <c r="W25" s="528">
        <f ca="1">INDEX(OFFSET('SK-ratings-final'!$I$20,'SK-ranking'!W$1-19,0,1,80),1,$B25)</f>
        <v>4.9372421906911734</v>
      </c>
      <c r="X25" s="523">
        <f ca="1">INDEX(OFFSET('SK-ratings-final'!$I$20,'SK-ranking'!X$1-19,0,1,80),1,$B25)</f>
        <v>2.8076739776697215</v>
      </c>
      <c r="AA25" s="532">
        <f ca="1">INDEX(OFFSET('SK-ratios'!$AF$23,'SK-ranking'!AA$1-19,0,1,80),1,$B25)</f>
        <v>40.443231638711815</v>
      </c>
      <c r="AB25" s="532">
        <f ca="1">INDEX(OFFSET('SK-ratios'!$AF$23,'SK-ranking'!AB$1-19,0,1,80),1,$B25)</f>
        <v>40.443231638711815</v>
      </c>
      <c r="AC25" s="532">
        <f ca="1">INDEX(OFFSET('SK-ratios'!$AF$23,'SK-ranking'!AC$1-19,0,1,80),1,$B25)</f>
        <v>40.234128688991397</v>
      </c>
      <c r="AD25" s="456"/>
      <c r="AE25" s="456">
        <f ca="1">INDEX(OFFSET('SK-ratios'!$AF$23,'SK-ranking'!AE$1-19,0,1,80),1,$B25)</f>
        <v>4.6063712484386593E-2</v>
      </c>
      <c r="AF25" s="456">
        <f ca="1">INDEX(OFFSET('SK-ratios'!$AF$23,'SK-ranking'!AF$1-19,0,1,80),1,$B25)</f>
        <v>0.1094774037204507</v>
      </c>
      <c r="AG25" s="456">
        <f ca="1">INDEX(OFFSET('SK-ratios'!$AF$23,'SK-ranking'!AG$1-19,0,1,80),1,$B25)</f>
        <v>0.22298499518246109</v>
      </c>
      <c r="AI25" s="456">
        <f ca="1">INDEX(OFFSET('SK-ratios'!$AF$23,'SK-ranking'!AI$1-19,0,1,80),1,$B25)</f>
        <v>0.57923285479049125</v>
      </c>
      <c r="AJ25" s="456">
        <f ca="1">INDEX(OFFSET('SK-ratios'!$AF$23,'SK-ranking'!AJ$1-19,0,1,80),1,$B25)</f>
        <v>11.554287937914951</v>
      </c>
      <c r="AL25" s="456">
        <f ca="1">INDEX(OFFSET('SK-ratios'!$AF$23,'SK-ranking'!AL$1-19,0,1,80),1,$B25)</f>
        <v>0.21658148003290442</v>
      </c>
      <c r="AM25" s="456">
        <f ca="1">INDEX(OFFSET('SK-ratios'!$AF$23,'SK-ranking'!AM$1-19,0,1,80),1,$B25)</f>
        <v>40.853911898493322</v>
      </c>
    </row>
    <row r="26" spans="1:39" x14ac:dyDescent="0.25">
      <c r="A26" s="307">
        <v>15</v>
      </c>
      <c r="B26" s="525">
        <f>MATCH(C26,'SK-ratings-final'!I$2:CJ$2,0)</f>
        <v>60</v>
      </c>
      <c r="C26" s="307" t="str">
        <f>INDEX('SK-ratings-final'!$I$2:$CJ$2,MATCH('SK-ranking'!F26,'SK-ratings-final'!$I$35:$CJ$35,0))</f>
        <v>Stredoslovenská energetika, a.s.</v>
      </c>
      <c r="D26" s="307" t="str">
        <f>INDEX('SK-info'!C$2:C$81,MATCH('SK-ranking'!C26,'SK-info'!B$2:B$81,0))</f>
        <v>state</v>
      </c>
      <c r="E26" s="323" t="s">
        <v>400</v>
      </c>
      <c r="F26" s="523">
        <f t="array" ref="F26">LARGE(IF('SK-ratings-final'!I$3:CJ$3="state",'SK-ratings-final'!$I$35:$CJ$35),'SK-ranking'!A26)</f>
        <v>5.9595718286141182</v>
      </c>
      <c r="H26" s="528">
        <f ca="1">INDEX(OFFSET('SK-ratings-final'!$I$20,'SK-ranking'!H$1-19,0,1,80),1,$B26)</f>
        <v>3.9445304219017081</v>
      </c>
      <c r="I26" s="528">
        <f ca="1">INDEX(OFFSET('SK-ratings-final'!$I$20,'SK-ranking'!I$1-19,0,1,80),1,$B26)</f>
        <v>4.2019848327318332</v>
      </c>
      <c r="J26" s="528">
        <f ca="1">INDEX(OFFSET('SK-ratings-final'!$I$20,'SK-ranking'!J$1-19,0,1,80),1,$B26)</f>
        <v>2.6856212007310378</v>
      </c>
      <c r="K26" s="523">
        <f ca="1">INDEX(OFFSET('SK-ratings-final'!$I$20,'SK-ranking'!K$1-19,0,1,80),1,$B26)</f>
        <v>3.6107121517881926</v>
      </c>
      <c r="M26" s="528">
        <f ca="1">INDEX(OFFSET('SK-ratings-final'!$I$20,'SK-ranking'!M$1-19,0,1,80),1,$B26)</f>
        <v>9.2455280737769048</v>
      </c>
      <c r="N26" s="528">
        <f ca="1">INDEX(OFFSET('SK-ratings-final'!$I$20,'SK-ranking'!N$1-19,0,1,80),1,$B26)</f>
        <v>8.2841214254441073</v>
      </c>
      <c r="O26" s="528">
        <f ca="1">INDEX(OFFSET('SK-ratings-final'!$I$20,'SK-ranking'!O$1-19,0,1,80),1,$B26)</f>
        <v>9.4410830886260868</v>
      </c>
      <c r="P26" s="523">
        <f ca="1">INDEX(OFFSET('SK-ratings-final'!$I$20,'SK-ranking'!P$1-19,0,1,80),1,$B26)</f>
        <v>9.1314687500500185</v>
      </c>
      <c r="R26" s="528">
        <f ca="1">INDEX(OFFSET('SK-ratings-final'!$I$20,'SK-ranking'!R$1-19,0,1,80),1,$B26)</f>
        <v>2.4006176049444798</v>
      </c>
      <c r="S26" s="528">
        <f ca="1">INDEX(OFFSET('SK-ratings-final'!$I$20,'SK-ranking'!S$1-19,0,1,80),1,$B26)</f>
        <v>7.1169353754408027</v>
      </c>
      <c r="T26" s="523">
        <f ca="1">INDEX(OFFSET('SK-ratings-final'!$I$20,'SK-ranking'!T$1-19,0,1,80),1,$B26)</f>
        <v>4.7587764901926413</v>
      </c>
      <c r="V26" s="528">
        <f ca="1">INDEX(OFFSET('SK-ratings-final'!$I$20,'SK-ranking'!V$1-19,0,1,80),1,$B26)</f>
        <v>10</v>
      </c>
      <c r="W26" s="528">
        <f ca="1">INDEX(OFFSET('SK-ratings-final'!$I$20,'SK-ranking'!W$1-19,0,1,80),1,$B26)</f>
        <v>3.4639365609677353</v>
      </c>
      <c r="X26" s="523">
        <f ca="1">INDEX(OFFSET('SK-ratings-final'!$I$20,'SK-ranking'!X$1-19,0,1,80),1,$B26)</f>
        <v>6.7319682804838674</v>
      </c>
      <c r="AA26" s="532">
        <f ca="1">INDEX(OFFSET('SK-ratios'!$AF$23,'SK-ranking'!AA$1-19,0,1,80),1,$B26)</f>
        <v>1.0616823927720016</v>
      </c>
      <c r="AB26" s="532">
        <f ca="1">INDEX(OFFSET('SK-ratios'!$AF$23,'SK-ranking'!AB$1-19,0,1,80),1,$B26)</f>
        <v>1.0616823927720016</v>
      </c>
      <c r="AC26" s="532">
        <f ca="1">INDEX(OFFSET('SK-ratios'!$AF$23,'SK-ranking'!AC$1-19,0,1,80),1,$B26)</f>
        <v>0.21346435082236512</v>
      </c>
      <c r="AD26" s="456"/>
      <c r="AE26" s="456">
        <f ca="1">INDEX(OFFSET('SK-ratios'!$AF$23,'SK-ranking'!AE$1-19,0,1,80),1,$B26)</f>
        <v>7.9640235623207045E-2</v>
      </c>
      <c r="AF26" s="456">
        <f ca="1">INDEX(OFFSET('SK-ratios'!$AF$23,'SK-ranking'!AF$1-19,0,1,80),1,$B26)</f>
        <v>9.1272432004904674E-2</v>
      </c>
      <c r="AG26" s="456">
        <f ca="1">INDEX(OFFSET('SK-ratios'!$AF$23,'SK-ranking'!AG$1-19,0,1,80),1,$B26)</f>
        <v>0.12077122669259303</v>
      </c>
      <c r="AI26" s="456">
        <f ca="1">INDEX(OFFSET('SK-ratios'!$AF$23,'SK-ranking'!AI$1-19,0,1,80),1,$B26)</f>
        <v>0.12568068359315182</v>
      </c>
      <c r="AJ26" s="456">
        <f ca="1">INDEX(OFFSET('SK-ratios'!$AF$23,'SK-ranking'!AJ$1-19,0,1,80),1,$B26)</f>
        <v>1.4393377839613708</v>
      </c>
      <c r="AL26" s="456">
        <f ca="1">INDEX(OFFSET('SK-ratios'!$AF$23,'SK-ranking'!AL$1-19,0,1,80),1,$B26)</f>
        <v>86.493304767005895</v>
      </c>
      <c r="AM26" s="456">
        <f ca="1">INDEX(OFFSET('SK-ratios'!$AF$23,'SK-ranking'!AM$1-19,0,1,80),1,$B26)</f>
        <v>7.6278267852292725</v>
      </c>
    </row>
    <row r="27" spans="1:39" x14ac:dyDescent="0.25">
      <c r="A27" s="307">
        <v>16</v>
      </c>
      <c r="B27" s="525">
        <f>MATCH(C27,'SK-ratings-final'!I$2:CJ$2,0)</f>
        <v>64</v>
      </c>
      <c r="C27" s="307" t="str">
        <f>INDEX('SK-ratings-final'!$I$2:$CJ$2,MATCH('SK-ranking'!F27,'SK-ratings-final'!$I$35:$CJ$35,0))</f>
        <v>Technická obnova a ochrana železníc, a.s.</v>
      </c>
      <c r="D27" s="307" t="str">
        <f>INDEX('SK-info'!C$2:C$81,MATCH('SK-ranking'!C27,'SK-info'!B$2:B$81,0))</f>
        <v>state</v>
      </c>
      <c r="E27" s="323" t="s">
        <v>400</v>
      </c>
      <c r="F27" s="523">
        <f t="array" ref="F27">LARGE(IF('SK-ratings-final'!I$3:CJ$3="state",'SK-ratings-final'!$I$35:$CJ$35),'SK-ranking'!A27)</f>
        <v>5.9005776995877532</v>
      </c>
      <c r="H27" s="528">
        <f ca="1">INDEX(OFFSET('SK-ratings-final'!$I$20,'SK-ranking'!H$1-19,0,1,80),1,$B27)</f>
        <v>6.8541832778844531</v>
      </c>
      <c r="I27" s="528">
        <f ca="1">INDEX(OFFSET('SK-ratings-final'!$I$20,'SK-ranking'!I$1-19,0,1,80),1,$B27)</f>
        <v>7.0109582957497514</v>
      </c>
      <c r="J27" s="528">
        <f ca="1">INDEX(OFFSET('SK-ratings-final'!$I$20,'SK-ranking'!J$1-19,0,1,80),1,$B27)</f>
        <v>3.857177797949316</v>
      </c>
      <c r="K27" s="523">
        <f ca="1">INDEX(OFFSET('SK-ratings-final'!$I$20,'SK-ranking'!K$1-19,0,1,80),1,$B27)</f>
        <v>5.9074397905278397</v>
      </c>
      <c r="M27" s="528">
        <f ca="1">INDEX(OFFSET('SK-ratings-final'!$I$20,'SK-ranking'!M$1-19,0,1,80),1,$B27)</f>
        <v>8.0254017080408619</v>
      </c>
      <c r="N27" s="528">
        <f ca="1">INDEX(OFFSET('SK-ratings-final'!$I$20,'SK-ranking'!N$1-19,0,1,80),1,$B27)</f>
        <v>7.1464887926140852</v>
      </c>
      <c r="O27" s="528">
        <f ca="1">INDEX(OFFSET('SK-ratings-final'!$I$20,'SK-ranking'!O$1-19,0,1,80),1,$B27)</f>
        <v>8.5001691968113153</v>
      </c>
      <c r="P27" s="523">
        <f ca="1">INDEX(OFFSET('SK-ratings-final'!$I$20,'SK-ranking'!P$1-19,0,1,80),1,$B27)</f>
        <v>8.0395261204636874</v>
      </c>
      <c r="R27" s="528">
        <f ca="1">INDEX(OFFSET('SK-ratings-final'!$I$20,'SK-ranking'!R$1-19,0,1,80),1,$B27)</f>
        <v>3.8669756188160318</v>
      </c>
      <c r="S27" s="528">
        <f ca="1">INDEX(OFFSET('SK-ratings-final'!$I$20,'SK-ranking'!S$1-19,0,1,80),1,$B27)</f>
        <v>8.0801572367217567</v>
      </c>
      <c r="T27" s="523">
        <f ca="1">INDEX(OFFSET('SK-ratings-final'!$I$20,'SK-ranking'!T$1-19,0,1,80),1,$B27)</f>
        <v>5.973566427768894</v>
      </c>
      <c r="V27" s="528">
        <f ca="1">INDEX(OFFSET('SK-ratings-final'!$I$20,'SK-ranking'!V$1-19,0,1,80),1,$B27)</f>
        <v>4.241645418580573</v>
      </c>
      <c r="W27" s="528">
        <f ca="1">INDEX(OFFSET('SK-ratings-final'!$I$20,'SK-ranking'!W$1-19,0,1,80),1,$B27)</f>
        <v>1.9760175165114668</v>
      </c>
      <c r="X27" s="523">
        <f ca="1">INDEX(OFFSET('SK-ratings-final'!$I$20,'SK-ranking'!X$1-19,0,1,80),1,$B27)</f>
        <v>3.1088314675460196</v>
      </c>
      <c r="AA27" s="532">
        <f ca="1">INDEX(OFFSET('SK-ratios'!$AF$23,'SK-ranking'!AA$1-19,0,1,80),1,$B27)</f>
        <v>5.0550306487665075</v>
      </c>
      <c r="AB27" s="532">
        <f ca="1">INDEX(OFFSET('SK-ratios'!$AF$23,'SK-ranking'!AB$1-19,0,1,80),1,$B27)</f>
        <v>4.667765999753164</v>
      </c>
      <c r="AC27" s="532">
        <f ca="1">INDEX(OFFSET('SK-ratios'!$AF$23,'SK-ranking'!AC$1-19,0,1,80),1,$B27)</f>
        <v>0.76831726615745377</v>
      </c>
      <c r="AD27" s="456"/>
      <c r="AE27" s="456">
        <f ca="1">INDEX(OFFSET('SK-ratios'!$AF$23,'SK-ranking'!AE$1-19,0,1,80),1,$B27)</f>
        <v>1.8853263206680324E-2</v>
      </c>
      <c r="AF27" s="456">
        <f ca="1">INDEX(OFFSET('SK-ratios'!$AF$23,'SK-ranking'!AF$1-19,0,1,80),1,$B27)</f>
        <v>2.0050675375360094E-2</v>
      </c>
      <c r="AG27" s="456">
        <f ca="1">INDEX(OFFSET('SK-ratios'!$AF$23,'SK-ranking'!AG$1-19,0,1,80),1,$B27)</f>
        <v>3.5765447948402224E-2</v>
      </c>
      <c r="AI27" s="456">
        <f ca="1">INDEX(OFFSET('SK-ratios'!$AF$23,'SK-ranking'!AI$1-19,0,1,80),1,$B27)</f>
        <v>5.5082645152141556E-2</v>
      </c>
      <c r="AJ27" s="456">
        <f ca="1">INDEX(OFFSET('SK-ratios'!$AF$23,'SK-ranking'!AJ$1-19,0,1,80),1,$B27)</f>
        <v>0.41160836781153687</v>
      </c>
      <c r="AL27" s="456">
        <f ca="1">INDEX(OFFSET('SK-ratios'!$AF$23,'SK-ranking'!AL$1-19,0,1,80),1,$B27)</f>
        <v>2.4009557003984274</v>
      </c>
      <c r="AM27" s="456">
        <f ca="1">INDEX(OFFSET('SK-ratios'!$AF$23,'SK-ranking'!AM$1-19,0,1,80),1,$B27)</f>
        <v>3.2158517651071969</v>
      </c>
    </row>
    <row r="28" spans="1:39" x14ac:dyDescent="0.25">
      <c r="A28" s="307">
        <v>17</v>
      </c>
      <c r="B28" s="525">
        <f>MATCH(C28,'SK-ratings-final'!I$2:CJ$2,0)</f>
        <v>58</v>
      </c>
      <c r="C28" s="307" t="str">
        <f>INDEX('SK-ratings-final'!$I$2:$CJ$2,MATCH('SK-ranking'!F28,'SK-ratings-final'!$I$35:$CJ$35,0))</f>
        <v>SLOVTHERMAE, Kúpele Diamant Dudince, š.p.</v>
      </c>
      <c r="D28" s="307" t="str">
        <f>INDEX('SK-info'!C$2:C$81,MATCH('SK-ranking'!C28,'SK-info'!B$2:B$81,0))</f>
        <v>state</v>
      </c>
      <c r="E28" s="323" t="s">
        <v>400</v>
      </c>
      <c r="F28" s="523">
        <f t="array" ref="F28">LARGE(IF('SK-ratings-final'!I$3:CJ$3="state",'SK-ratings-final'!$I$35:$CJ$35),'SK-ranking'!A28)</f>
        <v>5.8334638005373609</v>
      </c>
      <c r="H28" s="528">
        <f ca="1">INDEX(OFFSET('SK-ratings-final'!$I$20,'SK-ranking'!H$1-19,0,1,80),1,$B28)</f>
        <v>9.8200826201286553</v>
      </c>
      <c r="I28" s="528">
        <f ca="1">INDEX(OFFSET('SK-ratings-final'!$I$20,'SK-ranking'!I$1-19,0,1,80),1,$B28)</f>
        <v>9.9093070758497852</v>
      </c>
      <c r="J28" s="528">
        <f ca="1">INDEX(OFFSET('SK-ratings-final'!$I$20,'SK-ranking'!J$1-19,0,1,80),1,$B28)</f>
        <v>10</v>
      </c>
      <c r="K28" s="523">
        <f ca="1">INDEX(OFFSET('SK-ratings-final'!$I$20,'SK-ranking'!K$1-19,0,1,80),1,$B28)</f>
        <v>9.9097965653261468</v>
      </c>
      <c r="M28" s="528">
        <f ca="1">INDEX(OFFSET('SK-ratings-final'!$I$20,'SK-ranking'!M$1-19,0,1,80),1,$B28)</f>
        <v>4.2096771486450226</v>
      </c>
      <c r="N28" s="528">
        <f ca="1">INDEX(OFFSET('SK-ratings-final'!$I$20,'SK-ranking'!N$1-19,0,1,80),1,$B28)</f>
        <v>4.3603006846594621</v>
      </c>
      <c r="O28" s="528">
        <f ca="1">INDEX(OFFSET('SK-ratings-final'!$I$20,'SK-ranking'!O$1-19,0,1,80),1,$B28)</f>
        <v>3.9011566634305308</v>
      </c>
      <c r="P28" s="523">
        <f ca="1">INDEX(OFFSET('SK-ratings-final'!$I$20,'SK-ranking'!P$1-19,0,1,80),1,$B28)</f>
        <v>4.116393661762114</v>
      </c>
      <c r="R28" s="528">
        <f ca="1">INDEX(OFFSET('SK-ratings-final'!$I$20,'SK-ranking'!R$1-19,0,1,80),1,$B28)</f>
        <v>3.7050165936270298</v>
      </c>
      <c r="S28" s="528">
        <f ca="1">INDEX(OFFSET('SK-ratings-final'!$I$20,'SK-ranking'!S$1-19,0,1,80),1,$B28)</f>
        <v>6.1224784298558017</v>
      </c>
      <c r="T28" s="523">
        <f ca="1">INDEX(OFFSET('SK-ratings-final'!$I$20,'SK-ranking'!T$1-19,0,1,80),1,$B28)</f>
        <v>4.9137475117414153</v>
      </c>
      <c r="V28" s="528">
        <f ca="1">INDEX(OFFSET('SK-ratings-final'!$I$20,'SK-ranking'!V$1-19,0,1,80),1,$B28)</f>
        <v>3.025346835006562</v>
      </c>
      <c r="W28" s="528">
        <f ca="1">INDEX(OFFSET('SK-ratings-final'!$I$20,'SK-ranking'!W$1-19,0,1,80),1,$B28)</f>
        <v>5.5025730674221407</v>
      </c>
      <c r="X28" s="523">
        <f ca="1">INDEX(OFFSET('SK-ratings-final'!$I$20,'SK-ranking'!X$1-19,0,1,80),1,$B28)</f>
        <v>4.2639599512143507</v>
      </c>
      <c r="AA28" s="532">
        <f ca="1">INDEX(OFFSET('SK-ratios'!$AF$23,'SK-ranking'!AA$1-19,0,1,80),1,$B28)</f>
        <v>9.9812940555618379</v>
      </c>
      <c r="AB28" s="532">
        <f ca="1">INDEX(OFFSET('SK-ratios'!$AF$23,'SK-ranking'!AB$1-19,0,1,80),1,$B28)</f>
        <v>9.8136991594104561</v>
      </c>
      <c r="AC28" s="532">
        <f ca="1">INDEX(OFFSET('SK-ratios'!$AF$23,'SK-ranking'!AC$1-19,0,1,80),1,$B28)</f>
        <v>9.0602359681857596</v>
      </c>
      <c r="AD28" s="456"/>
      <c r="AE28" s="456">
        <f ca="1">INDEX(OFFSET('SK-ratios'!$AF$23,'SK-ranking'!AE$1-19,0,1,80),1,$B28)</f>
        <v>-2.4228507361019867E-2</v>
      </c>
      <c r="AF28" s="456">
        <f ca="1">INDEX(OFFSET('SK-ratios'!$AF$23,'SK-ranking'!AF$1-19,0,1,80),1,$B28)</f>
        <v>-2.6669123837061916E-2</v>
      </c>
      <c r="AG28" s="456">
        <f ca="1">INDEX(OFFSET('SK-ratios'!$AF$23,'SK-ranking'!AG$1-19,0,1,80),1,$B28)</f>
        <v>-5.3042726788709117E-2</v>
      </c>
      <c r="AI28" s="456">
        <f ca="1">INDEX(OFFSET('SK-ratios'!$AF$23,'SK-ranking'!AI$1-19,0,1,80),1,$B28)</f>
        <v>9.0261923053765653E-2</v>
      </c>
      <c r="AJ28" s="456">
        <f ca="1">INDEX(OFFSET('SK-ratios'!$AF$23,'SK-ranking'!AJ$1-19,0,1,80),1,$B28)</f>
        <v>5.6364020104448898</v>
      </c>
      <c r="AL28" s="456">
        <f ca="1">INDEX(OFFSET('SK-ratios'!$AF$23,'SK-ranking'!AL$1-19,0,1,80),1,$B28)</f>
        <v>1.5050708583759682</v>
      </c>
      <c r="AM28" s="456">
        <f ca="1">INDEX(OFFSET('SK-ratios'!$AF$23,'SK-ranking'!AM$1-19,0,1,80),1,$B28)</f>
        <v>18.170340631234016</v>
      </c>
    </row>
    <row r="29" spans="1:39" x14ac:dyDescent="0.25">
      <c r="A29" s="307">
        <v>18</v>
      </c>
      <c r="B29" s="525">
        <f>MATCH(C29,'SK-ratings-final'!I$2:CJ$2,0)</f>
        <v>7</v>
      </c>
      <c r="C29" s="307" t="str">
        <f>INDEX('SK-ratings-final'!$I$2:$CJ$2,MATCH('SK-ranking'!F29,'SK-ratings-final'!$I$35:$CJ$35,0))</f>
        <v>BIONT, a.s.</v>
      </c>
      <c r="D29" s="307" t="str">
        <f>INDEX('SK-info'!C$2:C$81,MATCH('SK-ranking'!C29,'SK-info'!B$2:B$81,0))</f>
        <v>state</v>
      </c>
      <c r="E29" s="323" t="s">
        <v>400</v>
      </c>
      <c r="F29" s="523">
        <f t="array" ref="F29">LARGE(IF('SK-ratings-final'!I$3:CJ$3="state",'SK-ratings-final'!$I$35:$CJ$35),'SK-ranking'!A29)</f>
        <v>5.7837833925024471</v>
      </c>
      <c r="H29" s="528">
        <f ca="1">INDEX(OFFSET('SK-ratings-final'!$I$20,'SK-ranking'!H$1-19,0,1,80),1,$B29)</f>
        <v>6.1576890990064621</v>
      </c>
      <c r="I29" s="528">
        <f ca="1">INDEX(OFFSET('SK-ratings-final'!$I$20,'SK-ranking'!I$1-19,0,1,80),1,$B29)</f>
        <v>6.3732223661520049</v>
      </c>
      <c r="J29" s="528">
        <f ca="1">INDEX(OFFSET('SK-ratings-final'!$I$20,'SK-ranking'!J$1-19,0,1,80),1,$B29)</f>
        <v>5.1481883820824441</v>
      </c>
      <c r="K29" s="523">
        <f ca="1">INDEX(OFFSET('SK-ratings-final'!$I$20,'SK-ranking'!K$1-19,0,1,80),1,$B29)</f>
        <v>5.8930332824136364</v>
      </c>
      <c r="M29" s="528">
        <f ca="1">INDEX(OFFSET('SK-ratings-final'!$I$20,'SK-ranking'!M$1-19,0,1,80),1,$B29)</f>
        <v>7.8217406528070823</v>
      </c>
      <c r="N29" s="528">
        <f ca="1">INDEX(OFFSET('SK-ratings-final'!$I$20,'SK-ranking'!N$1-19,0,1,80),1,$B29)</f>
        <v>7.1026777374471504</v>
      </c>
      <c r="O29" s="528">
        <f ca="1">INDEX(OFFSET('SK-ratings-final'!$I$20,'SK-ranking'!O$1-19,0,1,80),1,$B29)</f>
        <v>7.6975195686989313</v>
      </c>
      <c r="P29" s="523">
        <f ca="1">INDEX(OFFSET('SK-ratings-final'!$I$20,'SK-ranking'!P$1-19,0,1,80),1,$B29)</f>
        <v>7.6282396360918359</v>
      </c>
      <c r="R29" s="528">
        <f ca="1">INDEX(OFFSET('SK-ratings-final'!$I$20,'SK-ranking'!R$1-19,0,1,80),1,$B29)</f>
        <v>1.6834309977065449</v>
      </c>
      <c r="S29" s="528">
        <f ca="1">INDEX(OFFSET('SK-ratings-final'!$I$20,'SK-ranking'!S$1-19,0,1,80),1,$B29)</f>
        <v>8.0279436337729813</v>
      </c>
      <c r="T29" s="523">
        <f ca="1">INDEX(OFFSET('SK-ratings-final'!$I$20,'SK-ranking'!T$1-19,0,1,80),1,$B29)</f>
        <v>4.8556873157397629</v>
      </c>
      <c r="V29" s="528">
        <f ca="1">INDEX(OFFSET('SK-ratings-final'!$I$20,'SK-ranking'!V$1-19,0,1,80),1,$B29)</f>
        <v>6.1323558253481378</v>
      </c>
      <c r="W29" s="528">
        <f ca="1">INDEX(OFFSET('SK-ratings-final'!$I$20,'SK-ranking'!W$1-19,0,1,80),1,$B29)</f>
        <v>3.3352338561933688</v>
      </c>
      <c r="X29" s="523">
        <f ca="1">INDEX(OFFSET('SK-ratings-final'!$I$20,'SK-ranking'!X$1-19,0,1,80),1,$B29)</f>
        <v>4.7337948407707531</v>
      </c>
      <c r="AA29" s="532">
        <f ca="1">INDEX(OFFSET('SK-ratios'!$AF$23,'SK-ranking'!AA$1-19,0,1,80),1,$B29)</f>
        <v>3.2563392978602015</v>
      </c>
      <c r="AB29" s="532">
        <f ca="1">INDEX(OFFSET('SK-ratios'!$AF$23,'SK-ranking'!AB$1-19,0,1,80),1,$B29)</f>
        <v>3.1425314147765686</v>
      </c>
      <c r="AC29" s="532">
        <f ca="1">INDEX(OFFSET('SK-ratios'!$AF$23,'SK-ranking'!AC$1-19,0,1,80),1,$B29)</f>
        <v>1.6464368161486875</v>
      </c>
      <c r="AD29" s="456"/>
      <c r="AE29" s="456">
        <f ca="1">INDEX(OFFSET('SK-ratios'!$AF$23,'SK-ranking'!AE$1-19,0,1,80),1,$B29)</f>
        <v>4.131008359875777E-2</v>
      </c>
      <c r="AF29" s="456">
        <f ca="1">INDEX(OFFSET('SK-ratios'!$AF$23,'SK-ranking'!AF$1-19,0,1,80),1,$B29)</f>
        <v>5.0402890495665535E-2</v>
      </c>
      <c r="AG29" s="456">
        <f ca="1">INDEX(OFFSET('SK-ratios'!$AF$23,'SK-ranking'!AG$1-19,0,1,80),1,$B29)</f>
        <v>5.1559624304739655E-2</v>
      </c>
      <c r="AI29" s="456">
        <f ca="1">INDEX(OFFSET('SK-ratios'!$AF$23,'SK-ranking'!AI$1-19,0,1,80),1,$B29)</f>
        <v>0.18026464359505212</v>
      </c>
      <c r="AJ29" s="456">
        <f ca="1">INDEX(OFFSET('SK-ratios'!$AF$23,'SK-ranking'!AJ$1-19,0,1,80),1,$B29)</f>
        <v>0.78358379581813875</v>
      </c>
      <c r="AL29" s="456">
        <f ca="1">INDEX(OFFSET('SK-ratios'!$AF$23,'SK-ranking'!AL$1-19,0,1,80),1,$B29)</f>
        <v>5.1671889973141134</v>
      </c>
      <c r="AM29" s="456">
        <f ca="1">INDEX(OFFSET('SK-ratios'!$AF$23,'SK-ranking'!AM$1-19,0,1,80),1,$B29)</f>
        <v>7.7933735127792083</v>
      </c>
    </row>
    <row r="30" spans="1:39" x14ac:dyDescent="0.25">
      <c r="A30" s="307">
        <v>19</v>
      </c>
      <c r="B30" s="525">
        <f>MATCH(C30,'SK-ratings-final'!I$2:CJ$2,0)</f>
        <v>16</v>
      </c>
      <c r="C30" s="307" t="str">
        <f>INDEX('SK-ratings-final'!$I$2:$CJ$2,MATCH('SK-ranking'!F30,'SK-ratings-final'!$I$35:$CJ$35,0))</f>
        <v>eustream, a.s.</v>
      </c>
      <c r="D30" s="307" t="str">
        <f>INDEX('SK-info'!C$2:C$81,MATCH('SK-ranking'!C30,'SK-info'!B$2:B$81,0))</f>
        <v>state</v>
      </c>
      <c r="E30" s="323" t="s">
        <v>400</v>
      </c>
      <c r="F30" s="523">
        <f t="array" ref="F30">LARGE(IF('SK-ratings-final'!I$3:CJ$3="state",'SK-ratings-final'!$I$35:$CJ$35),'SK-ranking'!A30)</f>
        <v>5.7609929718263073</v>
      </c>
      <c r="H30" s="528">
        <f ca="1">INDEX(OFFSET('SK-ratings-final'!$I$20,'SK-ranking'!H$1-19,0,1,80),1,$B30)</f>
        <v>9.1614916663880255</v>
      </c>
      <c r="I30" s="528">
        <f ca="1">INDEX(OFFSET('SK-ratings-final'!$I$20,'SK-ranking'!I$1-19,0,1,80),1,$B30)</f>
        <v>9.5173894935284284</v>
      </c>
      <c r="J30" s="528">
        <f ca="1">INDEX(OFFSET('SK-ratings-final'!$I$20,'SK-ranking'!J$1-19,0,1,80),1,$B30)</f>
        <v>5.8947070181053585</v>
      </c>
      <c r="K30" s="523">
        <f ca="1">INDEX(OFFSET('SK-ratings-final'!$I$20,'SK-ranking'!K$1-19,0,1,80),1,$B30)</f>
        <v>8.191196059340605</v>
      </c>
      <c r="M30" s="528">
        <f ca="1">INDEX(OFFSET('SK-ratings-final'!$I$20,'SK-ranking'!M$1-19,0,1,80),1,$B30)</f>
        <v>9.5335814930631102</v>
      </c>
      <c r="N30" s="528">
        <f ca="1">INDEX(OFFSET('SK-ratings-final'!$I$20,'SK-ranking'!N$1-19,0,1,80),1,$B30)</f>
        <v>9.4323881856373823</v>
      </c>
      <c r="O30" s="528">
        <f ca="1">INDEX(OFFSET('SK-ratings-final'!$I$20,'SK-ranking'!O$1-19,0,1,80),1,$B30)</f>
        <v>10</v>
      </c>
      <c r="P30" s="523">
        <f ca="1">INDEX(OFFSET('SK-ratings-final'!$I$20,'SK-ranking'!P$1-19,0,1,80),1,$B30)</f>
        <v>9.6999102343527213</v>
      </c>
      <c r="R30" s="528">
        <f ca="1">INDEX(OFFSET('SK-ratings-final'!$I$20,'SK-ranking'!R$1-19,0,1,80),1,$B30)</f>
        <v>0</v>
      </c>
      <c r="S30" s="528">
        <f ca="1">INDEX(OFFSET('SK-ratings-final'!$I$20,'SK-ranking'!S$1-19,0,1,80),1,$B30)</f>
        <v>5.8251575142734087</v>
      </c>
      <c r="T30" s="523">
        <f ca="1">INDEX(OFFSET('SK-ratings-final'!$I$20,'SK-ranking'!T$1-19,0,1,80),1,$B30)</f>
        <v>2.9125787571367043</v>
      </c>
      <c r="V30" s="528">
        <f ca="1">INDEX(OFFSET('SK-ratings-final'!$I$20,'SK-ranking'!V$1-19,0,1,80),1,$B30)</f>
        <v>2.9352661359919621</v>
      </c>
      <c r="W30" s="528">
        <f ca="1">INDEX(OFFSET('SK-ratings-final'!$I$20,'SK-ranking'!W$1-19,0,1,80),1,$B30)</f>
        <v>1.209161576627688</v>
      </c>
      <c r="X30" s="523">
        <f ca="1">INDEX(OFFSET('SK-ratings-final'!$I$20,'SK-ranking'!X$1-19,0,1,80),1,$B30)</f>
        <v>2.0722138563098249</v>
      </c>
      <c r="AA30" s="532">
        <f ca="1">INDEX(OFFSET('SK-ratios'!$AF$23,'SK-ranking'!AA$1-19,0,1,80),1,$B30)</f>
        <v>9.6144394239833559</v>
      </c>
      <c r="AB30" s="532">
        <f ca="1">INDEX(OFFSET('SK-ratios'!$AF$23,'SK-ranking'!AB$1-19,0,1,80),1,$B30)</f>
        <v>9.1787374443324765</v>
      </c>
      <c r="AC30" s="532">
        <f ca="1">INDEX(OFFSET('SK-ratios'!$AF$23,'SK-ranking'!AC$1-19,0,1,80),1,$B30)</f>
        <v>1.6947144296720085</v>
      </c>
      <c r="AD30" s="456"/>
      <c r="AE30" s="456">
        <f ca="1">INDEX(OFFSET('SK-ratios'!$AF$23,'SK-ranking'!AE$1-19,0,1,80),1,$B30)</f>
        <v>7.7526844281157581E-2</v>
      </c>
      <c r="AF30" s="456">
        <f ca="1">INDEX(OFFSET('SK-ratios'!$AF$23,'SK-ranking'!AF$1-19,0,1,80),1,$B30)</f>
        <v>0.14845287191864726</v>
      </c>
      <c r="AG30" s="456">
        <f ca="1">INDEX(OFFSET('SK-ratios'!$AF$23,'SK-ranking'!AG$1-19,0,1,80),1,$B30)</f>
        <v>0.50937891555097436</v>
      </c>
      <c r="AI30" s="456">
        <f ca="1">INDEX(OFFSET('SK-ratios'!$AF$23,'SK-ranking'!AI$1-19,0,1,80),1,$B30)</f>
        <v>0.47639604269471358</v>
      </c>
      <c r="AJ30" s="456">
        <f ca="1">INDEX(OFFSET('SK-ratios'!$AF$23,'SK-ranking'!AJ$1-19,0,1,80),1,$B30)</f>
        <v>4.8114846866802212</v>
      </c>
      <c r="AL30" s="456">
        <f ca="1">INDEX(OFFSET('SK-ratios'!$AF$23,'SK-ranking'!AL$1-19,0,1,80),1,$B30)</f>
        <v>1.4350410934092059</v>
      </c>
      <c r="AM30" s="456">
        <f ca="1">INDEX(OFFSET('SK-ratios'!$AF$23,'SK-ranking'!AM$1-19,0,1,80),1,$B30)</f>
        <v>1.6517953707363473</v>
      </c>
    </row>
    <row r="31" spans="1:39" x14ac:dyDescent="0.25">
      <c r="A31" s="307">
        <v>20</v>
      </c>
      <c r="B31" s="525">
        <f>MATCH(C31,'SK-ratings-final'!I$2:CJ$2,0)</f>
        <v>44</v>
      </c>
      <c r="C31" s="307" t="str">
        <f>INDEX('SK-ratings-final'!$I$2:$CJ$2,MATCH('SK-ranking'!F31,'SK-ratings-final'!$I$35:$CJ$35,0))</f>
        <v>Poľnonákup Tatry, a.s.</v>
      </c>
      <c r="D31" s="307" t="str">
        <f>INDEX('SK-info'!C$2:C$81,MATCH('SK-ranking'!C31,'SK-info'!B$2:B$81,0))</f>
        <v>state</v>
      </c>
      <c r="E31" s="323" t="s">
        <v>400</v>
      </c>
      <c r="F31" s="523">
        <f t="array" ref="F31">LARGE(IF('SK-ratings-final'!I$3:CJ$3="state",'SK-ratings-final'!$I$35:$CJ$35),'SK-ranking'!A31)</f>
        <v>5.551727349817452</v>
      </c>
      <c r="H31" s="528">
        <f ca="1">INDEX(OFFSET('SK-ratings-final'!$I$20,'SK-ranking'!H$1-19,0,1,80),1,$B31)</f>
        <v>5.8352482193055</v>
      </c>
      <c r="I31" s="528">
        <f ca="1">INDEX(OFFSET('SK-ratings-final'!$I$20,'SK-ranking'!I$1-19,0,1,80),1,$B31)</f>
        <v>5.5265484156717166</v>
      </c>
      <c r="J31" s="528">
        <f ca="1">INDEX(OFFSET('SK-ratings-final'!$I$20,'SK-ranking'!J$1-19,0,1,80),1,$B31)</f>
        <v>5.3550663005833643</v>
      </c>
      <c r="K31" s="523">
        <f ca="1">INDEX(OFFSET('SK-ratings-final'!$I$20,'SK-ranking'!K$1-19,0,1,80),1,$B31)</f>
        <v>5.5722876451868597</v>
      </c>
      <c r="M31" s="528">
        <f ca="1">INDEX(OFFSET('SK-ratings-final'!$I$20,'SK-ranking'!M$1-19,0,1,80),1,$B31)</f>
        <v>7.5754687881158818</v>
      </c>
      <c r="N31" s="528">
        <f ca="1">INDEX(OFFSET('SK-ratings-final'!$I$20,'SK-ranking'!N$1-19,0,1,80),1,$B31)</f>
        <v>6.9435745012279737</v>
      </c>
      <c r="O31" s="528">
        <f ca="1">INDEX(OFFSET('SK-ratings-final'!$I$20,'SK-ranking'!O$1-19,0,1,80),1,$B31)</f>
        <v>6.091747472662683</v>
      </c>
      <c r="P31" s="523">
        <f ca="1">INDEX(OFFSET('SK-ratings-final'!$I$20,'SK-ranking'!P$1-19,0,1,80),1,$B31)</f>
        <v>6.8556014045570208</v>
      </c>
      <c r="R31" s="528">
        <f ca="1">INDEX(OFFSET('SK-ratings-final'!$I$20,'SK-ranking'!R$1-19,0,1,80),1,$B31)</f>
        <v>1.2080850588197281</v>
      </c>
      <c r="S31" s="528">
        <f ca="1">INDEX(OFFSET('SK-ratings-final'!$I$20,'SK-ranking'!S$1-19,0,1,80),1,$B31)</f>
        <v>6.1185010309705552</v>
      </c>
      <c r="T31" s="523">
        <f ca="1">INDEX(OFFSET('SK-ratings-final'!$I$20,'SK-ranking'!T$1-19,0,1,80),1,$B31)</f>
        <v>3.6632930448951417</v>
      </c>
      <c r="V31" s="528">
        <f ca="1">INDEX(OFFSET('SK-ratings-final'!$I$20,'SK-ranking'!V$1-19,0,1,80),1,$B31)</f>
        <v>7.6348754389584803</v>
      </c>
      <c r="W31" s="528">
        <f ca="1">INDEX(OFFSET('SK-ratings-final'!$I$20,'SK-ranking'!W$1-19,0,1,80),1,$B31)</f>
        <v>5.8227963001709169</v>
      </c>
      <c r="X31" s="523">
        <f ca="1">INDEX(OFFSET('SK-ratings-final'!$I$20,'SK-ranking'!X$1-19,0,1,80),1,$B31)</f>
        <v>6.7288358695646986</v>
      </c>
      <c r="AA31" s="532">
        <f ca="1">INDEX(OFFSET('SK-ratios'!$AF$23,'SK-ranking'!AA$1-19,0,1,80),1,$B31)</f>
        <v>2.0376925208852992</v>
      </c>
      <c r="AB31" s="532">
        <f ca="1">INDEX(OFFSET('SK-ratios'!$AF$23,'SK-ranking'!AB$1-19,0,1,80),1,$B31)</f>
        <v>1.5801318006449256</v>
      </c>
      <c r="AC31" s="532">
        <f ca="1">INDEX(OFFSET('SK-ratios'!$AF$23,'SK-ranking'!AC$1-19,0,1,80),1,$B31)</f>
        <v>0.95992970045707904</v>
      </c>
      <c r="AD31" s="456"/>
      <c r="AE31" s="456">
        <f ca="1">INDEX(OFFSET('SK-ratios'!$AF$23,'SK-ranking'!AE$1-19,0,1,80),1,$B31)</f>
        <v>2.3673195450084211E-2</v>
      </c>
      <c r="AF31" s="456">
        <f ca="1">INDEX(OFFSET('SK-ratios'!$AF$23,'SK-ranking'!AF$1-19,0,1,80),1,$B31)</f>
        <v>3.2939881496053772E-2</v>
      </c>
      <c r="AG31" s="456">
        <f ca="1">INDEX(OFFSET('SK-ratios'!$AF$23,'SK-ranking'!AG$1-19,0,1,80),1,$B31)</f>
        <v>1.1026205366504716E-2</v>
      </c>
      <c r="AI31" s="456">
        <f ca="1">INDEX(OFFSET('SK-ratios'!$AF$23,'SK-ranking'!AI$1-19,0,1,80),1,$B31)</f>
        <v>0.28132117133085982</v>
      </c>
      <c r="AJ31" s="456">
        <f ca="1">INDEX(OFFSET('SK-ratios'!$AF$23,'SK-ranking'!AJ$1-19,0,1,80),1,$B31)</f>
        <v>4.1620288231082894</v>
      </c>
      <c r="AL31" s="456">
        <f ca="1">INDEX(OFFSET('SK-ratios'!$AF$23,'SK-ranking'!AL$1-19,0,1,80),1,$B31)</f>
        <v>8.6524815478991517</v>
      </c>
      <c r="AM31" s="456">
        <f ca="1">INDEX(OFFSET('SK-ratios'!$AF$23,'SK-ranking'!AM$1-19,0,1,80),1,$B31)</f>
        <v>14.476918711874024</v>
      </c>
    </row>
    <row r="32" spans="1:39" x14ac:dyDescent="0.25">
      <c r="A32" s="307">
        <v>21</v>
      </c>
      <c r="B32" s="525">
        <f>MATCH(C32,'SK-ratings-final'!I$2:CJ$2,0)</f>
        <v>47</v>
      </c>
      <c r="C32" s="307" t="str">
        <f>INDEX('SK-ratings-final'!$I$2:$CJ$2,MATCH('SK-ranking'!F32,'SK-ratings-final'!$I$35:$CJ$35,0))</f>
        <v>Rudné Bane, š.p.</v>
      </c>
      <c r="D32" s="307" t="str">
        <f>INDEX('SK-info'!C$2:C$81,MATCH('SK-ranking'!C32,'SK-info'!B$2:B$81,0))</f>
        <v>state</v>
      </c>
      <c r="E32" s="323" t="s">
        <v>400</v>
      </c>
      <c r="F32" s="523">
        <f t="array" ref="F32">LARGE(IF('SK-ratings-final'!I$3:CJ$3="state",'SK-ratings-final'!$I$35:$CJ$35),'SK-ranking'!A32)</f>
        <v>5.5277233862518242</v>
      </c>
      <c r="H32" s="528">
        <f ca="1">INDEX(OFFSET('SK-ratings-final'!$I$20,'SK-ranking'!H$1-19,0,1,80),1,$B32)</f>
        <v>9.0749012841093837</v>
      </c>
      <c r="I32" s="528">
        <f ca="1">INDEX(OFFSET('SK-ratings-final'!$I$20,'SK-ranking'!I$1-19,0,1,80),1,$B32)</f>
        <v>9.5419898169778783</v>
      </c>
      <c r="J32" s="528">
        <f ca="1">INDEX(OFFSET('SK-ratings-final'!$I$20,'SK-ranking'!J$1-19,0,1,80),1,$B32)</f>
        <v>9.8294303470242728</v>
      </c>
      <c r="K32" s="523">
        <f ca="1">INDEX(OFFSET('SK-ratings-final'!$I$20,'SK-ranking'!K$1-19,0,1,80),1,$B32)</f>
        <v>9.4821071493705116</v>
      </c>
      <c r="M32" s="528">
        <f ca="1">INDEX(OFFSET('SK-ratings-final'!$I$20,'SK-ranking'!M$1-19,0,1,80),1,$B32)</f>
        <v>5.7469515602267984</v>
      </c>
      <c r="N32" s="528">
        <f ca="1">INDEX(OFFSET('SK-ratings-final'!$I$20,'SK-ranking'!N$1-19,0,1,80),1,$B32)</f>
        <v>5.424226864283912</v>
      </c>
      <c r="O32" s="528">
        <f ca="1">INDEX(OFFSET('SK-ratings-final'!$I$20,'SK-ranking'!O$1-19,0,1,80),1,$B32)</f>
        <v>5.7150411398082692</v>
      </c>
      <c r="P32" s="523">
        <f ca="1">INDEX(OFFSET('SK-ratings-final'!$I$20,'SK-ranking'!P$1-19,0,1,80),1,$B32)</f>
        <v>5.6696424528708089</v>
      </c>
      <c r="R32" s="528">
        <f ca="1">INDEX(OFFSET('SK-ratings-final'!$I$20,'SK-ranking'!R$1-19,0,1,80),1,$B32)</f>
        <v>3.0790125580611147</v>
      </c>
      <c r="S32" s="528">
        <f ca="1">INDEX(OFFSET('SK-ratings-final'!$I$20,'SK-ranking'!S$1-19,0,1,80),1,$B32)</f>
        <v>2.1223305740279375</v>
      </c>
      <c r="T32" s="523">
        <f ca="1">INDEX(OFFSET('SK-ratings-final'!$I$20,'SK-ranking'!T$1-19,0,1,80),1,$B32)</f>
        <v>2.6006715660445261</v>
      </c>
      <c r="V32" s="528">
        <f ca="1">INDEX(OFFSET('SK-ratings-final'!$I$20,'SK-ranking'!V$1-19,0,1,80),1,$B32)</f>
        <v>2.4769651980078722</v>
      </c>
      <c r="W32" s="528">
        <f ca="1">INDEX(OFFSET('SK-ratings-final'!$I$20,'SK-ranking'!W$1-19,0,1,80),1,$B32)</f>
        <v>7.1188799607734916</v>
      </c>
      <c r="X32" s="523">
        <f ca="1">INDEX(OFFSET('SK-ratings-final'!$I$20,'SK-ranking'!X$1-19,0,1,80),1,$B32)</f>
        <v>4.7979225793906819</v>
      </c>
      <c r="AA32" s="532">
        <f ca="1">INDEX(OFFSET('SK-ratios'!$AF$23,'SK-ranking'!AA$1-19,0,1,80),1,$B32)</f>
        <v>8.268648704728653</v>
      </c>
      <c r="AB32" s="532">
        <f ca="1">INDEX(OFFSET('SK-ratios'!$AF$23,'SK-ranking'!AB$1-19,0,1,80),1,$B32)</f>
        <v>8.1643639119314724</v>
      </c>
      <c r="AC32" s="532">
        <f ca="1">INDEX(OFFSET('SK-ratios'!$AF$23,'SK-ranking'!AC$1-19,0,1,80),1,$B32)</f>
        <v>7.9832063547911281</v>
      </c>
      <c r="AD32" s="456"/>
      <c r="AE32" s="456">
        <f ca="1">INDEX(OFFSET('SK-ratios'!$AF$23,'SK-ranking'!AE$1-19,0,1,80),1,$B32)</f>
        <v>2.998030987169345E-3</v>
      </c>
      <c r="AF32" s="456">
        <f ca="1">INDEX(OFFSET('SK-ratios'!$AF$23,'SK-ranking'!AF$1-19,0,1,80),1,$B32)</f>
        <v>3.383898749817905E-3</v>
      </c>
      <c r="AG32" s="456">
        <f ca="1">INDEX(OFFSET('SK-ratios'!$AF$23,'SK-ranking'!AG$1-19,0,1,80),1,$B32)</f>
        <v>4.23957793330471E-3</v>
      </c>
      <c r="AI32" s="456">
        <f ca="1">INDEX(OFFSET('SK-ratios'!$AF$23,'SK-ranking'!AI$1-19,0,1,80),1,$B32)</f>
        <v>0.11402430846442269</v>
      </c>
      <c r="AJ32" s="456">
        <f ca="1">INDEX(OFFSET('SK-ratios'!$AF$23,'SK-ranking'!AJ$1-19,0,1,80),1,$B32)</f>
        <v>-3.574740100669096</v>
      </c>
      <c r="AL32" s="456">
        <f ca="1">INDEX(OFFSET('SK-ratios'!$AF$23,'SK-ranking'!AL$1-19,0,1,80),1,$B32)</f>
        <v>1.128866683132741</v>
      </c>
      <c r="AM32" s="456">
        <f ca="1">INDEX(OFFSET('SK-ratios'!$AF$23,'SK-ranking'!AM$1-19,0,1,80),1,$B32)</f>
        <v>45.293916984138839</v>
      </c>
    </row>
    <row r="33" spans="1:39" x14ac:dyDescent="0.25">
      <c r="A33" s="307">
        <v>22</v>
      </c>
      <c r="B33" s="525">
        <f>MATCH(C33,'SK-ratings-final'!I$2:CJ$2,0)</f>
        <v>34</v>
      </c>
      <c r="C33" s="307" t="str">
        <f>INDEX('SK-ratings-final'!$I$2:$CJ$2,MATCH('SK-ranking'!F33,'SK-ratings-final'!$I$35:$CJ$35,0))</f>
        <v>Mincovňa Kremnica, š.p.</v>
      </c>
      <c r="D33" s="307" t="str">
        <f>INDEX('SK-info'!C$2:C$81,MATCH('SK-ranking'!C33,'SK-info'!B$2:B$81,0))</f>
        <v>state</v>
      </c>
      <c r="E33" s="323" t="s">
        <v>400</v>
      </c>
      <c r="F33" s="523">
        <f t="array" ref="F33">LARGE(IF('SK-ratings-final'!I$3:CJ$3="state",'SK-ratings-final'!$I$35:$CJ$35),'SK-ranking'!A33)</f>
        <v>5.4688374050192614</v>
      </c>
      <c r="H33" s="528">
        <f ca="1">INDEX(OFFSET('SK-ratings-final'!$I$20,'SK-ranking'!H$1-19,0,1,80),1,$B33)</f>
        <v>8.0013319164817265</v>
      </c>
      <c r="I33" s="528">
        <f ca="1">INDEX(OFFSET('SK-ratings-final'!$I$20,'SK-ranking'!I$1-19,0,1,80),1,$B33)</f>
        <v>6.41403152186568</v>
      </c>
      <c r="J33" s="528">
        <f ca="1">INDEX(OFFSET('SK-ratings-final'!$I$20,'SK-ranking'!J$1-19,0,1,80),1,$B33)</f>
        <v>6.2838751936742137</v>
      </c>
      <c r="K33" s="523">
        <f ca="1">INDEX(OFFSET('SK-ratings-final'!$I$20,'SK-ranking'!K$1-19,0,1,80),1,$B33)</f>
        <v>6.8997462106738734</v>
      </c>
      <c r="M33" s="528">
        <f ca="1">INDEX(OFFSET('SK-ratings-final'!$I$20,'SK-ranking'!M$1-19,0,1,80),1,$B33)</f>
        <v>8.4794151138682601</v>
      </c>
      <c r="N33" s="528">
        <f ca="1">INDEX(OFFSET('SK-ratings-final'!$I$20,'SK-ranking'!N$1-19,0,1,80),1,$B33)</f>
        <v>7.910521964003749</v>
      </c>
      <c r="O33" s="528">
        <f ca="1">INDEX(OFFSET('SK-ratings-final'!$I$20,'SK-ranking'!O$1-19,0,1,80),1,$B33)</f>
        <v>8.2936386241874089</v>
      </c>
      <c r="P33" s="523">
        <f ca="1">INDEX(OFFSET('SK-ratings-final'!$I$20,'SK-ranking'!P$1-19,0,1,80),1,$B33)</f>
        <v>8.2913258880230174</v>
      </c>
      <c r="R33" s="528">
        <f ca="1">INDEX(OFFSET('SK-ratings-final'!$I$20,'SK-ranking'!R$1-19,0,1,80),1,$B33)</f>
        <v>0.32198777947776719</v>
      </c>
      <c r="S33" s="528">
        <f ca="1">INDEX(OFFSET('SK-ratings-final'!$I$20,'SK-ranking'!S$1-19,0,1,80),1,$B33)</f>
        <v>6.1674574368196824</v>
      </c>
      <c r="T33" s="523">
        <f ca="1">INDEX(OFFSET('SK-ratings-final'!$I$20,'SK-ranking'!T$1-19,0,1,80),1,$B33)</f>
        <v>3.2447226081487246</v>
      </c>
      <c r="V33" s="528">
        <f ca="1">INDEX(OFFSET('SK-ratings-final'!$I$20,'SK-ranking'!V$1-19,0,1,80),1,$B33)</f>
        <v>3.1987149972579334</v>
      </c>
      <c r="W33" s="528">
        <f ca="1">INDEX(OFFSET('SK-ratings-final'!$I$20,'SK-ranking'!W$1-19,0,1,80),1,$B33)</f>
        <v>3.7778109817462799</v>
      </c>
      <c r="X33" s="523">
        <f ca="1">INDEX(OFFSET('SK-ratings-final'!$I$20,'SK-ranking'!X$1-19,0,1,80),1,$B33)</f>
        <v>3.4882629895021067</v>
      </c>
      <c r="AA33" s="532">
        <f ca="1">INDEX(OFFSET('SK-ratios'!$AF$23,'SK-ranking'!AA$1-19,0,1,80),1,$B33)</f>
        <v>6.4971112376311249</v>
      </c>
      <c r="AB33" s="532">
        <f ca="1">INDEX(OFFSET('SK-ratios'!$AF$23,'SK-ranking'!AB$1-19,0,1,80),1,$B33)</f>
        <v>2.820515170133532</v>
      </c>
      <c r="AC33" s="532">
        <f ca="1">INDEX(OFFSET('SK-ratios'!$AF$23,'SK-ranking'!AC$1-19,0,1,80),1,$B33)</f>
        <v>1.9787932093804408</v>
      </c>
      <c r="AD33" s="456"/>
      <c r="AE33" s="456">
        <f ca="1">INDEX(OFFSET('SK-ratios'!$AF$23,'SK-ranking'!AE$1-19,0,1,80),1,$B33)</f>
        <v>4.6978605466334263E-2</v>
      </c>
      <c r="AF33" s="456">
        <f ca="1">INDEX(OFFSET('SK-ratios'!$AF$23,'SK-ranking'!AF$1-19,0,1,80),1,$B33)</f>
        <v>6.8702705482787535E-2</v>
      </c>
      <c r="AG33" s="456">
        <f ca="1">INDEX(OFFSET('SK-ratios'!$AF$23,'SK-ranking'!AG$1-19,0,1,80),1,$B33)</f>
        <v>5.9460503600538991E-2</v>
      </c>
      <c r="AI33" s="456">
        <f ca="1">INDEX(OFFSET('SK-ratios'!$AF$23,'SK-ranking'!AI$1-19,0,1,80),1,$B33)</f>
        <v>0.31595458283542766</v>
      </c>
      <c r="AJ33" s="456">
        <f ca="1">INDEX(OFFSET('SK-ratios'!$AF$23,'SK-ranking'!AJ$1-19,0,1,80),1,$B33)</f>
        <v>3.0739418856288809</v>
      </c>
      <c r="AL33" s="456">
        <f ca="1">INDEX(OFFSET('SK-ratios'!$AF$23,'SK-ranking'!AL$1-19,0,1,80),1,$B33)</f>
        <v>1.5591807771053903</v>
      </c>
      <c r="AM33" s="456">
        <f ca="1">INDEX(OFFSET('SK-ratios'!$AF$23,'SK-ranking'!AM$1-19,0,1,80),1,$B33)</f>
        <v>10.183875285551114</v>
      </c>
    </row>
    <row r="34" spans="1:39" x14ac:dyDescent="0.25">
      <c r="A34" s="307">
        <v>23</v>
      </c>
      <c r="B34" s="525">
        <f>MATCH(C34,'SK-ratings-final'!I$2:CJ$2,0)</f>
        <v>32</v>
      </c>
      <c r="C34" s="307" t="str">
        <f>INDEX('SK-ratings-final'!$I$2:$CJ$2,MATCH('SK-ranking'!F34,'SK-ratings-final'!$I$35:$CJ$35,0))</f>
        <v>Letové prevádzkové služby SR, š.p.</v>
      </c>
      <c r="D34" s="307" t="str">
        <f>INDEX('SK-info'!C$2:C$81,MATCH('SK-ranking'!C34,'SK-info'!B$2:B$81,0))</f>
        <v>state</v>
      </c>
      <c r="E34" s="323" t="s">
        <v>400</v>
      </c>
      <c r="F34" s="523">
        <f t="array" ref="F34">LARGE(IF('SK-ratings-final'!I$3:CJ$3="state",'SK-ratings-final'!$I$35:$CJ$35),'SK-ranking'!A34)</f>
        <v>5.4293957986685832</v>
      </c>
      <c r="H34" s="528">
        <f ca="1">INDEX(OFFSET('SK-ratings-final'!$I$20,'SK-ranking'!H$1-19,0,1,80),1,$B34)</f>
        <v>7.7688677226113194</v>
      </c>
      <c r="I34" s="528">
        <f ca="1">INDEX(OFFSET('SK-ratings-final'!$I$20,'SK-ranking'!I$1-19,0,1,80),1,$B34)</f>
        <v>8.0435629089584033</v>
      </c>
      <c r="J34" s="528">
        <f ca="1">INDEX(OFFSET('SK-ratings-final'!$I$20,'SK-ranking'!J$1-19,0,1,80),1,$B34)</f>
        <v>7.4602961120571347</v>
      </c>
      <c r="K34" s="523">
        <f ca="1">INDEX(OFFSET('SK-ratings-final'!$I$20,'SK-ranking'!K$1-19,0,1,80),1,$B34)</f>
        <v>7.7575755812089522</v>
      </c>
      <c r="M34" s="528">
        <f ca="1">INDEX(OFFSET('SK-ratings-final'!$I$20,'SK-ranking'!M$1-19,0,1,80),1,$B34)</f>
        <v>7.1817386561472505</v>
      </c>
      <c r="N34" s="528">
        <f ca="1">INDEX(OFFSET('SK-ratings-final'!$I$20,'SK-ranking'!N$1-19,0,1,80),1,$B34)</f>
        <v>6.6662794096873297</v>
      </c>
      <c r="O34" s="528">
        <f ca="1">INDEX(OFFSET('SK-ratings-final'!$I$20,'SK-ranking'!O$1-19,0,1,80),1,$B34)</f>
        <v>7.2293561734880569</v>
      </c>
      <c r="P34" s="523">
        <f ca="1">INDEX(OFFSET('SK-ratings-final'!$I$20,'SK-ranking'!P$1-19,0,1,80),1,$B34)</f>
        <v>7.0976938137915893</v>
      </c>
      <c r="R34" s="528">
        <f ca="1">INDEX(OFFSET('SK-ratings-final'!$I$20,'SK-ranking'!R$1-19,0,1,80),1,$B34)</f>
        <v>0.94913524167073382</v>
      </c>
      <c r="S34" s="528">
        <f ca="1">INDEX(OFFSET('SK-ratings-final'!$I$20,'SK-ranking'!S$1-19,0,1,80),1,$B34)</f>
        <v>6.6012324643121314</v>
      </c>
      <c r="T34" s="523">
        <f ca="1">INDEX(OFFSET('SK-ratings-final'!$I$20,'SK-ranking'!T$1-19,0,1,80),1,$B34)</f>
        <v>3.7751838529914323</v>
      </c>
      <c r="V34" s="528">
        <f ca="1">INDEX(OFFSET('SK-ratings-final'!$I$20,'SK-ranking'!V$1-19,0,1,80),1,$B34)</f>
        <v>3.4265697512341164</v>
      </c>
      <c r="W34" s="528">
        <f ca="1">INDEX(OFFSET('SK-ratings-final'!$I$20,'SK-ranking'!W$1-19,0,1,80),1,$B34)</f>
        <v>2.4036631889760636</v>
      </c>
      <c r="X34" s="523">
        <f ca="1">INDEX(OFFSET('SK-ratings-final'!$I$20,'SK-ranking'!X$1-19,0,1,80),1,$B34)</f>
        <v>2.9151164701050902</v>
      </c>
      <c r="AA34" s="532">
        <f ca="1">INDEX(OFFSET('SK-ratios'!$AF$23,'SK-ranking'!AA$1-19,0,1,80),1,$B34)</f>
        <v>5.4911249720238118</v>
      </c>
      <c r="AB34" s="532">
        <f ca="1">INDEX(OFFSET('SK-ratios'!$AF$23,'SK-ranking'!AB$1-19,0,1,80),1,$B34)</f>
        <v>5.1881525193738485</v>
      </c>
      <c r="AC34" s="532">
        <f ca="1">INDEX(OFFSET('SK-ratios'!$AF$23,'SK-ranking'!AC$1-19,0,1,80),1,$B34)</f>
        <v>2.9614138692786365</v>
      </c>
      <c r="AD34" s="456"/>
      <c r="AE34" s="456">
        <f ca="1">INDEX(OFFSET('SK-ratios'!$AF$23,'SK-ranking'!AE$1-19,0,1,80),1,$B34)</f>
        <v>1.2062282857077217E-2</v>
      </c>
      <c r="AF34" s="456">
        <f ca="1">INDEX(OFFSET('SK-ratios'!$AF$23,'SK-ranking'!AF$1-19,0,1,80),1,$B34)</f>
        <v>1.7176359320148573E-2</v>
      </c>
      <c r="AG34" s="456">
        <f ca="1">INDEX(OFFSET('SK-ratios'!$AF$23,'SK-ranking'!AG$1-19,0,1,80),1,$B34)</f>
        <v>1.8106903863618296E-2</v>
      </c>
      <c r="AI34" s="456">
        <f ca="1">INDEX(OFFSET('SK-ratios'!$AF$23,'SK-ranking'!AI$1-19,0,1,80),1,$B34)</f>
        <v>0.24897341622392882</v>
      </c>
      <c r="AJ34" s="456">
        <f ca="1">INDEX(OFFSET('SK-ratios'!$AF$23,'SK-ranking'!AJ$1-19,0,1,80),1,$B34)</f>
        <v>2.5531905300128006</v>
      </c>
      <c r="AL34" s="456">
        <f ca="1">INDEX(OFFSET('SK-ratios'!$AF$23,'SK-ranking'!AL$1-19,0,1,80),1,$B34)</f>
        <v>1.750332438556965</v>
      </c>
      <c r="AM34" s="456">
        <f ca="1">INDEX(OFFSET('SK-ratios'!$AF$23,'SK-ranking'!AM$1-19,0,1,80),1,$B34)</f>
        <v>3.5305980231483343</v>
      </c>
    </row>
    <row r="35" spans="1:39" x14ac:dyDescent="0.25">
      <c r="A35" s="307">
        <v>24</v>
      </c>
      <c r="B35" s="525">
        <f>MATCH(C35,'SK-ratings-final'!I$2:CJ$2,0)</f>
        <v>23</v>
      </c>
      <c r="C35" s="307" t="str">
        <f>INDEX('SK-ratings-final'!$I$2:$CJ$2,MATCH('SK-ranking'!F35,'SK-ratings-final'!$I$35:$CJ$35,0))</f>
        <v>Lesy Slovenskej republiky, š.p.</v>
      </c>
      <c r="D35" s="307" t="str">
        <f>INDEX('SK-info'!C$2:C$81,MATCH('SK-ranking'!C35,'SK-info'!B$2:B$81,0))</f>
        <v>state</v>
      </c>
      <c r="E35" s="323" t="s">
        <v>400</v>
      </c>
      <c r="F35" s="523">
        <f t="array" ref="F35">LARGE(IF('SK-ratings-final'!I$3:CJ$3="state",'SK-ratings-final'!$I$35:$CJ$35),'SK-ranking'!A35)</f>
        <v>5.3733079090107898</v>
      </c>
      <c r="H35" s="528">
        <f ca="1">INDEX(OFFSET('SK-ratings-final'!$I$20,'SK-ranking'!H$1-19,0,1,80),1,$B35)</f>
        <v>6.3288881248697413</v>
      </c>
      <c r="I35" s="528">
        <f ca="1">INDEX(OFFSET('SK-ratings-final'!$I$20,'SK-ranking'!I$1-19,0,1,80),1,$B35)</f>
        <v>6.0255136982414843</v>
      </c>
      <c r="J35" s="528">
        <f ca="1">INDEX(OFFSET('SK-ratings-final'!$I$20,'SK-ranking'!J$1-19,0,1,80),1,$B35)</f>
        <v>5.0038027027247045</v>
      </c>
      <c r="K35" s="523">
        <f ca="1">INDEX(OFFSET('SK-ratings-final'!$I$20,'SK-ranking'!K$1-19,0,1,80),1,$B35)</f>
        <v>5.7860681752786434</v>
      </c>
      <c r="M35" s="528">
        <f ca="1">INDEX(OFFSET('SK-ratings-final'!$I$20,'SK-ranking'!M$1-19,0,1,80),1,$B35)</f>
        <v>6.5214431839483158</v>
      </c>
      <c r="N35" s="528">
        <f ca="1">INDEX(OFFSET('SK-ratings-final'!$I$20,'SK-ranking'!N$1-19,0,1,80),1,$B35)</f>
        <v>5.9729975469045327</v>
      </c>
      <c r="O35" s="528">
        <f ca="1">INDEX(OFFSET('SK-ratings-final'!$I$20,'SK-ranking'!O$1-19,0,1,80),1,$B35)</f>
        <v>7.7413698998424048</v>
      </c>
      <c r="P35" s="523">
        <f ca="1">INDEX(OFFSET('SK-ratings-final'!$I$20,'SK-ranking'!P$1-19,0,1,80),1,$B35)</f>
        <v>6.8997247428971953</v>
      </c>
      <c r="R35" s="528">
        <f ca="1">INDEX(OFFSET('SK-ratings-final'!$I$20,'SK-ranking'!R$1-19,0,1,80),1,$B35)</f>
        <v>3.5307955764333365</v>
      </c>
      <c r="S35" s="528">
        <f ca="1">INDEX(OFFSET('SK-ratings-final'!$I$20,'SK-ranking'!S$1-19,0,1,80),1,$B35)</f>
        <v>6.0227582973576164</v>
      </c>
      <c r="T35" s="523">
        <f ca="1">INDEX(OFFSET('SK-ratings-final'!$I$20,'SK-ranking'!T$1-19,0,1,80),1,$B35)</f>
        <v>4.7767769368954767</v>
      </c>
      <c r="V35" s="528">
        <f ca="1">INDEX(OFFSET('SK-ratings-final'!$I$20,'SK-ranking'!V$1-19,0,1,80),1,$B35)</f>
        <v>4.6551130322767635</v>
      </c>
      <c r="W35" s="528">
        <f ca="1">INDEX(OFFSET('SK-ratings-final'!$I$20,'SK-ranking'!W$1-19,0,1,80),1,$B35)</f>
        <v>3.0331529517051132</v>
      </c>
      <c r="X35" s="523">
        <f ca="1">INDEX(OFFSET('SK-ratings-final'!$I$20,'SK-ranking'!X$1-19,0,1,80),1,$B35)</f>
        <v>3.8441329919909384</v>
      </c>
      <c r="AA35" s="532">
        <f ca="1">INDEX(OFFSET('SK-ratios'!$AF$23,'SK-ranking'!AA$1-19,0,1,80),1,$B35)</f>
        <v>2.7054808514041375</v>
      </c>
      <c r="AB35" s="532">
        <f ca="1">INDEX(OFFSET('SK-ratios'!$AF$23,'SK-ranking'!AB$1-19,0,1,80),1,$B35)</f>
        <v>2.0839045200838422</v>
      </c>
      <c r="AC35" s="532">
        <f ca="1">INDEX(OFFSET('SK-ratios'!$AF$23,'SK-ranking'!AC$1-19,0,1,80),1,$B35)</f>
        <v>0.59326609311160972</v>
      </c>
      <c r="AD35" s="456"/>
      <c r="AE35" s="456">
        <f ca="1">INDEX(OFFSET('SK-ratios'!$AF$23,'SK-ranking'!AE$1-19,0,1,80),1,$B35)</f>
        <v>8.0644990240745958E-3</v>
      </c>
      <c r="AF35" s="456">
        <f ca="1">INDEX(OFFSET('SK-ratios'!$AF$23,'SK-ranking'!AF$1-19,0,1,80),1,$B35)</f>
        <v>9.580036018748803E-3</v>
      </c>
      <c r="AG35" s="456">
        <f ca="1">INDEX(OFFSET('SK-ratios'!$AF$23,'SK-ranking'!AG$1-19,0,1,80),1,$B35)</f>
        <v>3.3284111540002069E-2</v>
      </c>
      <c r="AI35" s="456">
        <f ca="1">INDEX(OFFSET('SK-ratios'!$AF$23,'SK-ranking'!AI$1-19,0,1,80),1,$B35)</f>
        <v>9.5025687332744899E-2</v>
      </c>
      <c r="AJ35" s="456">
        <f ca="1">INDEX(OFFSET('SK-ratios'!$AF$23,'SK-ranking'!AJ$1-19,0,1,80),1,$B35)</f>
        <v>4.1407267088449364</v>
      </c>
      <c r="AL35" s="456">
        <f ca="1">INDEX(OFFSET('SK-ratios'!$AF$23,'SK-ranking'!AL$1-19,0,1,80),1,$B35)</f>
        <v>3.4422455013744195</v>
      </c>
      <c r="AM35" s="456">
        <f ca="1">INDEX(OFFSET('SK-ratios'!$AF$23,'SK-ranking'!AM$1-19,0,1,80),1,$B35)</f>
        <v>3.9383687433515129</v>
      </c>
    </row>
    <row r="36" spans="1:39" x14ac:dyDescent="0.25">
      <c r="A36" s="307">
        <v>25</v>
      </c>
      <c r="B36" s="525">
        <f>MATCH(C36,'SK-ratings-final'!I$2:CJ$2,0)</f>
        <v>63</v>
      </c>
      <c r="C36" s="307" t="str">
        <f>INDEX('SK-ratings-final'!$I$2:$CJ$2,MATCH('SK-ranking'!F36,'SK-ratings-final'!$I$35:$CJ$35,0))</f>
        <v>Technická inšpekcia, a.s.</v>
      </c>
      <c r="D36" s="307" t="str">
        <f>INDEX('SK-info'!C$2:C$81,MATCH('SK-ranking'!C36,'SK-info'!B$2:B$81,0))</f>
        <v>state</v>
      </c>
      <c r="E36" s="323" t="s">
        <v>400</v>
      </c>
      <c r="F36" s="523">
        <f t="array" ref="F36">LARGE(IF('SK-ratings-final'!I$3:CJ$3="state",'SK-ratings-final'!$I$35:$CJ$35),'SK-ranking'!A36)</f>
        <v>5.3524164884540362</v>
      </c>
      <c r="H36" s="528">
        <f ca="1">INDEX(OFFSET('SK-ratings-final'!$I$20,'SK-ranking'!H$1-19,0,1,80),1,$B36)</f>
        <v>7.0508173819318314</v>
      </c>
      <c r="I36" s="528">
        <f ca="1">INDEX(OFFSET('SK-ratings-final'!$I$20,'SK-ranking'!I$1-19,0,1,80),1,$B36)</f>
        <v>7.4704529611252743</v>
      </c>
      <c r="J36" s="528">
        <f ca="1">INDEX(OFFSET('SK-ratings-final'!$I$20,'SK-ranking'!J$1-19,0,1,80),1,$B36)</f>
        <v>7.5199477186335892</v>
      </c>
      <c r="K36" s="523">
        <f ca="1">INDEX(OFFSET('SK-ratings-final'!$I$20,'SK-ranking'!K$1-19,0,1,80),1,$B36)</f>
        <v>7.3470726872302308</v>
      </c>
      <c r="M36" s="528">
        <f ca="1">INDEX(OFFSET('SK-ratings-final'!$I$20,'SK-ranking'!M$1-19,0,1,80),1,$B36)</f>
        <v>7.8523521144503814</v>
      </c>
      <c r="N36" s="528">
        <f ca="1">INDEX(OFFSET('SK-ratings-final'!$I$20,'SK-ranking'!N$1-19,0,1,80),1,$B36)</f>
        <v>7.2470998062415521</v>
      </c>
      <c r="O36" s="528">
        <f ca="1">INDEX(OFFSET('SK-ratings-final'!$I$20,'SK-ranking'!O$1-19,0,1,80),1,$B36)</f>
        <v>6.9717624113026417</v>
      </c>
      <c r="P36" s="523">
        <f ca="1">INDEX(OFFSET('SK-ratings-final'!$I$20,'SK-ranking'!P$1-19,0,1,80),1,$B36)</f>
        <v>7.37906577154952</v>
      </c>
      <c r="R36" s="528">
        <f ca="1">INDEX(OFFSET('SK-ratings-final'!$I$20,'SK-ranking'!R$1-19,0,1,80),1,$B36)</f>
        <v>0.75774665678856912</v>
      </c>
      <c r="S36" s="528">
        <f ca="1">INDEX(OFFSET('SK-ratings-final'!$I$20,'SK-ranking'!S$1-19,0,1,80),1,$B36)</f>
        <v>5.8068370567860432</v>
      </c>
      <c r="T36" s="523">
        <f ca="1">INDEX(OFFSET('SK-ratings-final'!$I$20,'SK-ranking'!T$1-19,0,1,80),1,$B36)</f>
        <v>3.2822918567873063</v>
      </c>
      <c r="V36" s="528">
        <f ca="1">INDEX(OFFSET('SK-ratings-final'!$I$20,'SK-ranking'!V$1-19,0,1,80),1,$B36)</f>
        <v>3.649757804058118</v>
      </c>
      <c r="W36" s="528">
        <f ca="1">INDEX(OFFSET('SK-ratings-final'!$I$20,'SK-ranking'!W$1-19,0,1,80),1,$B36)</f>
        <v>3.212185363170954</v>
      </c>
      <c r="X36" s="523">
        <f ca="1">INDEX(OFFSET('SK-ratings-final'!$I$20,'SK-ranking'!X$1-19,0,1,80),1,$B36)</f>
        <v>3.4309715836145358</v>
      </c>
      <c r="AA36" s="532">
        <f ca="1">INDEX(OFFSET('SK-ratios'!$AF$23,'SK-ranking'!AA$1-19,0,1,80),1,$B36)</f>
        <v>3.6855082010205304</v>
      </c>
      <c r="AB36" s="532">
        <f ca="1">INDEX(OFFSET('SK-ratios'!$AF$23,'SK-ranking'!AB$1-19,0,1,80),1,$B36)</f>
        <v>3.6832893002062166</v>
      </c>
      <c r="AC36" s="532">
        <f ca="1">INDEX(OFFSET('SK-ratios'!$AF$23,'SK-ranking'!AC$1-19,0,1,80),1,$B36)</f>
        <v>2.7789735073896771</v>
      </c>
      <c r="AD36" s="456"/>
      <c r="AE36" s="456">
        <f ca="1">INDEX(OFFSET('SK-ratios'!$AF$23,'SK-ranking'!AE$1-19,0,1,80),1,$B36)</f>
        <v>2.9137910099747609E-2</v>
      </c>
      <c r="AF36" s="456">
        <f ca="1">INDEX(OFFSET('SK-ratios'!$AF$23,'SK-ranking'!AF$1-19,0,1,80),1,$B36)</f>
        <v>4.1471875973657743E-2</v>
      </c>
      <c r="AG36" s="456">
        <f ca="1">INDEX(OFFSET('SK-ratios'!$AF$23,'SK-ranking'!AG$1-19,0,1,80),1,$B36)</f>
        <v>2.0093615578479558E-2</v>
      </c>
      <c r="AI36" s="456">
        <f ca="1">INDEX(OFFSET('SK-ratios'!$AF$23,'SK-ranking'!AI$1-19,0,1,80),1,$B36)</f>
        <v>0.2974055449467603</v>
      </c>
      <c r="AJ36" s="456">
        <f ca="1">INDEX(OFFSET('SK-ratios'!$AF$23,'SK-ranking'!AJ$1-19,0,1,80),1,$B36)</f>
        <v>4.5987986783920176</v>
      </c>
      <c r="AL36" s="456">
        <f ca="1">INDEX(OFFSET('SK-ratios'!$AF$23,'SK-ranking'!AL$1-19,0,1,80),1,$B36)</f>
        <v>2.2071462020527228</v>
      </c>
      <c r="AM36" s="456">
        <f ca="1">INDEX(OFFSET('SK-ratios'!$AF$23,'SK-ranking'!AM$1-19,0,1,80),1,$B36)</f>
        <v>6.5885997942806389</v>
      </c>
    </row>
    <row r="37" spans="1:39" x14ac:dyDescent="0.25">
      <c r="A37" s="307">
        <v>26</v>
      </c>
      <c r="B37" s="525">
        <f>MATCH(C37,'SK-ratings-final'!I$2:CJ$2,0)</f>
        <v>75</v>
      </c>
      <c r="C37" s="307" t="str">
        <f>INDEX('SK-ratings-final'!$I$2:$CJ$2,MATCH('SK-ranking'!F37,'SK-ratings-final'!$I$35:$CJ$35,0))</f>
        <v>Východoslovenský ústav srdcových a cievnych chorôb, a.s.</v>
      </c>
      <c r="D37" s="307" t="str">
        <f>INDEX('SK-info'!C$2:C$81,MATCH('SK-ranking'!C37,'SK-info'!B$2:B$81,0))</f>
        <v>state</v>
      </c>
      <c r="E37" s="323" t="s">
        <v>400</v>
      </c>
      <c r="F37" s="523">
        <f t="array" ref="F37">LARGE(IF('SK-ratings-final'!I$3:CJ$3="state",'SK-ratings-final'!$I$35:$CJ$35),'SK-ranking'!A37)</f>
        <v>5.2462570523811527</v>
      </c>
      <c r="H37" s="528">
        <f ca="1">INDEX(OFFSET('SK-ratings-final'!$I$20,'SK-ranking'!H$1-19,0,1,80),1,$B37)</f>
        <v>6.1537823854082934</v>
      </c>
      <c r="I37" s="528">
        <f ca="1">INDEX(OFFSET('SK-ratings-final'!$I$20,'SK-ranking'!I$1-19,0,1,80),1,$B37)</f>
        <v>6.3986489753215547</v>
      </c>
      <c r="J37" s="528">
        <f ca="1">INDEX(OFFSET('SK-ratings-final'!$I$20,'SK-ranking'!J$1-19,0,1,80),1,$B37)</f>
        <v>5.9254442787677437</v>
      </c>
      <c r="K37" s="523">
        <f ca="1">INDEX(OFFSET('SK-ratings-final'!$I$20,'SK-ranking'!K$1-19,0,1,80),1,$B37)</f>
        <v>6.15929187983253</v>
      </c>
      <c r="M37" s="528">
        <f ca="1">INDEX(OFFSET('SK-ratings-final'!$I$20,'SK-ranking'!M$1-19,0,1,80),1,$B37)</f>
        <v>8.2662998223813222</v>
      </c>
      <c r="N37" s="528">
        <f ca="1">INDEX(OFFSET('SK-ratings-final'!$I$20,'SK-ranking'!N$1-19,0,1,80),1,$B37)</f>
        <v>7.7556499197094579</v>
      </c>
      <c r="O37" s="528">
        <f ca="1">INDEX(OFFSET('SK-ratings-final'!$I$20,'SK-ranking'!O$1-19,0,1,80),1,$B37)</f>
        <v>7.6732977503147408</v>
      </c>
      <c r="P37" s="523">
        <f ca="1">INDEX(OFFSET('SK-ratings-final'!$I$20,'SK-ranking'!P$1-19,0,1,80),1,$B37)</f>
        <v>7.926969013020317</v>
      </c>
      <c r="R37" s="528">
        <f ca="1">INDEX(OFFSET('SK-ratings-final'!$I$20,'SK-ranking'!R$1-19,0,1,80),1,$B37)</f>
        <v>0.20311355205027176</v>
      </c>
      <c r="S37" s="528">
        <f ca="1">INDEX(OFFSET('SK-ratings-final'!$I$20,'SK-ranking'!S$1-19,0,1,80),1,$B37)</f>
        <v>5.9185333930951378</v>
      </c>
      <c r="T37" s="523">
        <f ca="1">INDEX(OFFSET('SK-ratings-final'!$I$20,'SK-ranking'!T$1-19,0,1,80),1,$B37)</f>
        <v>3.0608234725727046</v>
      </c>
      <c r="V37" s="528">
        <f ca="1">INDEX(OFFSET('SK-ratings-final'!$I$20,'SK-ranking'!V$1-19,0,1,80),1,$B37)</f>
        <v>5.0128268357392916</v>
      </c>
      <c r="W37" s="528">
        <f ca="1">INDEX(OFFSET('SK-ratings-final'!$I$20,'SK-ranking'!W$1-19,0,1,80),1,$B37)</f>
        <v>3.0516210382220015</v>
      </c>
      <c r="X37" s="523">
        <f ca="1">INDEX(OFFSET('SK-ratings-final'!$I$20,'SK-ranking'!X$1-19,0,1,80),1,$B37)</f>
        <v>4.0322239369806461</v>
      </c>
      <c r="AA37" s="532">
        <f ca="1">INDEX(OFFSET('SK-ratios'!$AF$23,'SK-ranking'!AA$1-19,0,1,80),1,$B37)</f>
        <v>2.9168577074703537</v>
      </c>
      <c r="AB37" s="532">
        <f ca="1">INDEX(OFFSET('SK-ratios'!$AF$23,'SK-ranking'!AB$1-19,0,1,80),1,$B37)</f>
        <v>2.7430613009745568</v>
      </c>
      <c r="AC37" s="532">
        <f ca="1">INDEX(OFFSET('SK-ratios'!$AF$23,'SK-ranking'!AC$1-19,0,1,80),1,$B37)</f>
        <v>1.6977963991488874</v>
      </c>
      <c r="AD37" s="456"/>
      <c r="AE37" s="456">
        <f ca="1">INDEX(OFFSET('SK-ratios'!$AF$23,'SK-ranking'!AE$1-19,0,1,80),1,$B37)</f>
        <v>5.3649606482568758E-2</v>
      </c>
      <c r="AF37" s="456">
        <f ca="1">INDEX(OFFSET('SK-ratios'!$AF$23,'SK-ranking'!AF$1-19,0,1,80),1,$B37)</f>
        <v>8.1060011573757057E-2</v>
      </c>
      <c r="AG37" s="456">
        <f ca="1">INDEX(OFFSET('SK-ratios'!$AF$23,'SK-ranking'!AG$1-19,0,1,80),1,$B37)</f>
        <v>4.914964814361282E-2</v>
      </c>
      <c r="AI37" s="456">
        <f ca="1">INDEX(OFFSET('SK-ratios'!$AF$23,'SK-ranking'!AI$1-19,0,1,80),1,$B37)</f>
        <v>0.33753188922086469</v>
      </c>
      <c r="AJ37" s="456">
        <f ca="1">INDEX(OFFSET('SK-ratios'!$AF$23,'SK-ranking'!AJ$1-19,0,1,80),1,$B37)</f>
        <v>3.3705135441477343</v>
      </c>
      <c r="AL37" s="456">
        <f ca="1">INDEX(OFFSET('SK-ratios'!$AF$23,'SK-ranking'!AL$1-19,0,1,80),1,$B37)</f>
        <v>3.7556260299635431</v>
      </c>
      <c r="AM37" s="456">
        <f ca="1">INDEX(OFFSET('SK-ratios'!$AF$23,'SK-ranking'!AM$1-19,0,1,80),1,$B37)</f>
        <v>6.8872500065180207</v>
      </c>
    </row>
    <row r="38" spans="1:39" x14ac:dyDescent="0.25">
      <c r="A38" s="307">
        <v>27</v>
      </c>
      <c r="B38" s="525">
        <f>MATCH(C38,'SK-ratings-final'!I$2:CJ$2,0)</f>
        <v>38</v>
      </c>
      <c r="C38" s="307" t="str">
        <f>INDEX('SK-ratings-final'!$I$2:$CJ$2,MATCH('SK-ranking'!F38,'SK-ratings-final'!$I$35:$CJ$35,0))</f>
        <v>Nemocnica Poprad, a.s.</v>
      </c>
      <c r="D38" s="307" t="str">
        <f>INDEX('SK-info'!C$2:C$81,MATCH('SK-ranking'!C38,'SK-info'!B$2:B$81,0))</f>
        <v>state</v>
      </c>
      <c r="E38" s="323" t="s">
        <v>400</v>
      </c>
      <c r="F38" s="523">
        <f t="array" ref="F38">LARGE(IF('SK-ratings-final'!I$3:CJ$3="state",'SK-ratings-final'!$I$35:$CJ$35),'SK-ranking'!A38)</f>
        <v>5.1538105189392578</v>
      </c>
      <c r="H38" s="528">
        <f ca="1">INDEX(OFFSET('SK-ratings-final'!$I$20,'SK-ranking'!H$1-19,0,1,80),1,$B38)</f>
        <v>5.1411044442914147</v>
      </c>
      <c r="I38" s="528">
        <f ca="1">INDEX(OFFSET('SK-ratings-final'!$I$20,'SK-ranking'!I$1-19,0,1,80),1,$B38)</f>
        <v>4.989836732606415</v>
      </c>
      <c r="J38" s="528">
        <f ca="1">INDEX(OFFSET('SK-ratings-final'!$I$20,'SK-ranking'!J$1-19,0,1,80),1,$B38)</f>
        <v>3.2793875690180374</v>
      </c>
      <c r="K38" s="523">
        <f ca="1">INDEX(OFFSET('SK-ratings-final'!$I$20,'SK-ranking'!K$1-19,0,1,80),1,$B38)</f>
        <v>4.4701095819719558</v>
      </c>
      <c r="M38" s="528">
        <f ca="1">INDEX(OFFSET('SK-ratings-final'!$I$20,'SK-ranking'!M$1-19,0,1,80),1,$B38)</f>
        <v>6.7809294783412595</v>
      </c>
      <c r="N38" s="528">
        <f ca="1">INDEX(OFFSET('SK-ratings-final'!$I$20,'SK-ranking'!N$1-19,0,1,80),1,$B38)</f>
        <v>6.4662960962705629</v>
      </c>
      <c r="O38" s="528">
        <f ca="1">INDEX(OFFSET('SK-ratings-final'!$I$20,'SK-ranking'!O$1-19,0,1,80),1,$B38)</f>
        <v>6.5955190529613787</v>
      </c>
      <c r="P38" s="523">
        <f ca="1">INDEX(OFFSET('SK-ratings-final'!$I$20,'SK-ranking'!P$1-19,0,1,80),1,$B38)</f>
        <v>6.6438386317751679</v>
      </c>
      <c r="R38" s="528">
        <f ca="1">INDEX(OFFSET('SK-ratings-final'!$I$20,'SK-ranking'!R$1-19,0,1,80),1,$B38)</f>
        <v>2.048664388119898</v>
      </c>
      <c r="S38" s="528">
        <f ca="1">INDEX(OFFSET('SK-ratings-final'!$I$20,'SK-ranking'!S$1-19,0,1,80),1,$B38)</f>
        <v>6.8815680281991431</v>
      </c>
      <c r="T38" s="523">
        <f ca="1">INDEX(OFFSET('SK-ratings-final'!$I$20,'SK-ranking'!T$1-19,0,1,80),1,$B38)</f>
        <v>4.4651162081595208</v>
      </c>
      <c r="V38" s="528">
        <f ca="1">INDEX(OFFSET('SK-ratings-final'!$I$20,'SK-ranking'!V$1-19,0,1,80),1,$B38)</f>
        <v>7.1177470524644066</v>
      </c>
      <c r="W38" s="528">
        <f ca="1">INDEX(OFFSET('SK-ratings-final'!$I$20,'SK-ranking'!W$1-19,0,1,80),1,$B38)</f>
        <v>3.2401389780817973</v>
      </c>
      <c r="X38" s="523">
        <f ca="1">INDEX(OFFSET('SK-ratings-final'!$I$20,'SK-ranking'!X$1-19,0,1,80),1,$B38)</f>
        <v>5.1789430152731013</v>
      </c>
      <c r="AA38" s="532">
        <f ca="1">INDEX(OFFSET('SK-ratios'!$AF$23,'SK-ranking'!AA$1-19,0,1,80),1,$B38)</f>
        <v>1.8133881895525057</v>
      </c>
      <c r="AB38" s="532">
        <f ca="1">INDEX(OFFSET('SK-ratios'!$AF$23,'SK-ranking'!AB$1-19,0,1,80),1,$B38)</f>
        <v>1.4872202276594764</v>
      </c>
      <c r="AC38" s="532">
        <f ca="1">INDEX(OFFSET('SK-ratios'!$AF$23,'SK-ranking'!AC$1-19,0,1,80),1,$B38)</f>
        <v>0.4015943563608293</v>
      </c>
      <c r="AD38" s="456"/>
      <c r="AE38" s="456">
        <f ca="1">INDEX(OFFSET('SK-ratios'!$AF$23,'SK-ranking'!AE$1-19,0,1,80),1,$B38)</f>
        <v>5.5770895814300824E-3</v>
      </c>
      <c r="AF38" s="456">
        <f ca="1">INDEX(OFFSET('SK-ratios'!$AF$23,'SK-ranking'!AF$1-19,0,1,80),1,$B38)</f>
        <v>9.0323109499018724E-3</v>
      </c>
      <c r="AG38" s="456">
        <f ca="1">INDEX(OFFSET('SK-ratios'!$AF$23,'SK-ranking'!AG$1-19,0,1,80),1,$B38)</f>
        <v>6.4604321205700256E-3</v>
      </c>
      <c r="AI38" s="456">
        <f ca="1">INDEX(OFFSET('SK-ratios'!$AF$23,'SK-ranking'!AI$1-19,0,1,80),1,$B38)</f>
        <v>0.16774337736482178</v>
      </c>
      <c r="AJ38" s="456">
        <f ca="1">INDEX(OFFSET('SK-ratios'!$AF$23,'SK-ranking'!AJ$1-19,0,1,80),1,$B38)</f>
        <v>2.3224510411106429</v>
      </c>
      <c r="AL38" s="456">
        <f ca="1">INDEX(OFFSET('SK-ratios'!$AF$23,'SK-ranking'!AL$1-19,0,1,80),1,$B38)</f>
        <v>9.094151044336952</v>
      </c>
      <c r="AM38" s="456">
        <f ca="1">INDEX(OFFSET('SK-ratios'!$AF$23,'SK-ranking'!AM$1-19,0,1,80),1,$B38)</f>
        <v>6.8161253916819327</v>
      </c>
    </row>
    <row r="39" spans="1:39" x14ac:dyDescent="0.25">
      <c r="A39" s="307">
        <v>28</v>
      </c>
      <c r="B39" s="525">
        <f>MATCH(C39,'SK-ratings-final'!I$2:CJ$2,0)</f>
        <v>29</v>
      </c>
      <c r="C39" s="307" t="str">
        <f>INDEX('SK-ratings-final'!$I$2:$CJ$2,MATCH('SK-ranking'!F39,'SK-ratings-final'!$I$35:$CJ$35,0))</f>
        <v>Letisko Poprad - Tatry, a.s.</v>
      </c>
      <c r="D39" s="307" t="str">
        <f>INDEX('SK-info'!C$2:C$81,MATCH('SK-ranking'!C39,'SK-info'!B$2:B$81,0))</f>
        <v>state</v>
      </c>
      <c r="E39" s="323" t="s">
        <v>400</v>
      </c>
      <c r="F39" s="523">
        <f t="array" ref="F39">LARGE(IF('SK-ratings-final'!I$3:CJ$3="state",'SK-ratings-final'!$I$35:$CJ$35),'SK-ranking'!A39)</f>
        <v>5.1476570317692394</v>
      </c>
      <c r="H39" s="528">
        <f ca="1">INDEX(OFFSET('SK-ratings-final'!$I$20,'SK-ranking'!H$1-19,0,1,80),1,$B39)</f>
        <v>7.4962095671870754</v>
      </c>
      <c r="I39" s="528">
        <f ca="1">INDEX(OFFSET('SK-ratings-final'!$I$20,'SK-ranking'!I$1-19,0,1,80),1,$B39)</f>
        <v>7.7031952193342983</v>
      </c>
      <c r="J39" s="528">
        <f ca="1">INDEX(OFFSET('SK-ratings-final'!$I$20,'SK-ranking'!J$1-19,0,1,80),1,$B39)</f>
        <v>6.5976239716120721</v>
      </c>
      <c r="K39" s="523">
        <f ca="1">INDEX(OFFSET('SK-ratings-final'!$I$20,'SK-ranking'!K$1-19,0,1,80),1,$B39)</f>
        <v>7.265676252711148</v>
      </c>
      <c r="M39" s="528">
        <f ca="1">INDEX(OFFSET('SK-ratings-final'!$I$20,'SK-ranking'!M$1-19,0,1,80),1,$B39)</f>
        <v>3.3060172741998719</v>
      </c>
      <c r="N39" s="528">
        <f ca="1">INDEX(OFFSET('SK-ratings-final'!$I$20,'SK-ranking'!N$1-19,0,1,80),1,$B39)</f>
        <v>3.827067744740305</v>
      </c>
      <c r="O39" s="528">
        <f ca="1">INDEX(OFFSET('SK-ratings-final'!$I$20,'SK-ranking'!O$1-19,0,1,80),1,$B39)</f>
        <v>0.69573666206810558</v>
      </c>
      <c r="P39" s="523">
        <f ca="1">INDEX(OFFSET('SK-ratings-final'!$I$20,'SK-ranking'!P$1-19,0,1,80),1,$B39)</f>
        <v>2.3661151234552524</v>
      </c>
      <c r="R39" s="528">
        <f ca="1">INDEX(OFFSET('SK-ratings-final'!$I$20,'SK-ranking'!R$1-19,0,1,80),1,$B39)</f>
        <v>7.5561342704287764</v>
      </c>
      <c r="S39" s="528">
        <f ca="1">INDEX(OFFSET('SK-ratings-final'!$I$20,'SK-ranking'!S$1-19,0,1,80),1,$B39)</f>
        <v>6.3685988836667091</v>
      </c>
      <c r="T39" s="523">
        <f ca="1">INDEX(OFFSET('SK-ratings-final'!$I$20,'SK-ranking'!T$1-19,0,1,80),1,$B39)</f>
        <v>6.9623665770477441</v>
      </c>
      <c r="V39" s="528">
        <f ca="1">INDEX(OFFSET('SK-ratings-final'!$I$20,'SK-ranking'!V$1-19,0,1,80),1,$B39)</f>
        <v>4.1006285958696234</v>
      </c>
      <c r="W39" s="528">
        <f ca="1">INDEX(OFFSET('SK-ratings-final'!$I$20,'SK-ranking'!W$1-19,0,1,80),1,$B39)</f>
        <v>2.4093635502635382</v>
      </c>
      <c r="X39" s="523">
        <f ca="1">INDEX(OFFSET('SK-ratings-final'!$I$20,'SK-ranking'!X$1-19,0,1,80),1,$B39)</f>
        <v>3.254996073066581</v>
      </c>
      <c r="AA39" s="532">
        <f ca="1">INDEX(OFFSET('SK-ratios'!$AF$23,'SK-ranking'!AA$1-19,0,1,80),1,$B39)</f>
        <v>3.1307412427766286</v>
      </c>
      <c r="AB39" s="532">
        <f ca="1">INDEX(OFFSET('SK-ratios'!$AF$23,'SK-ranking'!AB$1-19,0,1,80),1,$B39)</f>
        <v>2.7826686642410405</v>
      </c>
      <c r="AC39" s="532">
        <f ca="1">INDEX(OFFSET('SK-ratios'!$AF$23,'SK-ranking'!AC$1-19,0,1,80),1,$B39)</f>
        <v>1.0326650971439442</v>
      </c>
      <c r="AD39" s="456"/>
      <c r="AE39" s="456">
        <f ca="1">INDEX(OFFSET('SK-ratios'!$AF$23,'SK-ranking'!AE$1-19,0,1,80),1,$B39)</f>
        <v>-2.005963303566187E-2</v>
      </c>
      <c r="AF39" s="456">
        <f ca="1">INDEX(OFFSET('SK-ratios'!$AF$23,'SK-ranking'!AF$1-19,0,1,80),1,$B39)</f>
        <v>-2.3917890054159997E-2</v>
      </c>
      <c r="AG39" s="456">
        <f ca="1">INDEX(OFFSET('SK-ratios'!$AF$23,'SK-ranking'!AG$1-19,0,1,80),1,$B39)</f>
        <v>-0.35587647405398121</v>
      </c>
      <c r="AI39" s="456">
        <f ca="1">INDEX(OFFSET('SK-ratios'!$AF$23,'SK-ranking'!AI$1-19,0,1,80),1,$B39)</f>
        <v>1.3510505981316442E-2</v>
      </c>
      <c r="AJ39" s="456">
        <f ca="1">INDEX(OFFSET('SK-ratios'!$AF$23,'SK-ranking'!AJ$1-19,0,1,80),1,$B39)</f>
        <v>6.9359418625373754</v>
      </c>
      <c r="AL39" s="456">
        <f ca="1">INDEX(OFFSET('SK-ratios'!$AF$23,'SK-ranking'!AL$1-19,0,1,80),1,$B39)</f>
        <v>3.2619737990486586</v>
      </c>
      <c r="AM39" s="456">
        <f ca="1">INDEX(OFFSET('SK-ratios'!$AF$23,'SK-ranking'!AM$1-19,0,1,80),1,$B39)</f>
        <v>3.9716616795353681</v>
      </c>
    </row>
    <row r="40" spans="1:39" x14ac:dyDescent="0.25">
      <c r="A40" s="307">
        <v>29</v>
      </c>
      <c r="B40" s="525">
        <f>MATCH(C40,'SK-ratings-final'!I$2:CJ$2,0)</f>
        <v>12</v>
      </c>
      <c r="C40" s="307" t="str">
        <f>INDEX('SK-ratings-final'!$I$2:$CJ$2,MATCH('SK-ranking'!F40,'SK-ratings-final'!$I$35:$CJ$35,0))</f>
        <v>DMD GROUP, a.s.</v>
      </c>
      <c r="D40" s="307" t="str">
        <f>INDEX('SK-info'!C$2:C$81,MATCH('SK-ranking'!C40,'SK-info'!B$2:B$81,0))</f>
        <v>state</v>
      </c>
      <c r="E40" s="323" t="s">
        <v>400</v>
      </c>
      <c r="F40" s="523">
        <f t="array" ref="F40">LARGE(IF('SK-ratings-final'!I$3:CJ$3="state",'SK-ratings-final'!$I$35:$CJ$35),'SK-ranking'!A40)</f>
        <v>5.1275329783881727</v>
      </c>
      <c r="H40" s="528">
        <f ca="1">INDEX(OFFSET('SK-ratings-final'!$I$20,'SK-ranking'!H$1-19,0,1,80),1,$B40)</f>
        <v>9.7867644106255796</v>
      </c>
      <c r="I40" s="528">
        <f ca="1">INDEX(OFFSET('SK-ratings-final'!$I$20,'SK-ranking'!I$1-19,0,1,80),1,$B40)</f>
        <v>10</v>
      </c>
      <c r="J40" s="528">
        <f ca="1">INDEX(OFFSET('SK-ratings-final'!$I$20,'SK-ranking'!J$1-19,0,1,80),1,$B40)</f>
        <v>10</v>
      </c>
      <c r="K40" s="523">
        <f ca="1">INDEX(OFFSET('SK-ratings-final'!$I$20,'SK-ranking'!K$1-19,0,1,80),1,$B40)</f>
        <v>9.9289214702085253</v>
      </c>
      <c r="M40" s="528">
        <f ca="1">INDEX(OFFSET('SK-ratings-final'!$I$20,'SK-ranking'!M$1-19,0,1,80),1,$B40)</f>
        <v>1.3180993242500312</v>
      </c>
      <c r="N40" s="528">
        <f ca="1">INDEX(OFFSET('SK-ratings-final'!$I$20,'SK-ranking'!N$1-19,0,1,80),1,$B40)</f>
        <v>2.4223100139623428</v>
      </c>
      <c r="O40" s="528">
        <f ca="1">INDEX(OFFSET('SK-ratings-final'!$I$20,'SK-ranking'!O$1-19,0,1,80),1,$B40)</f>
        <v>0</v>
      </c>
      <c r="P40" s="523">
        <f ca="1">INDEX(OFFSET('SK-ratings-final'!$I$20,'SK-ranking'!P$1-19,0,1,80),1,$B40)</f>
        <v>1.0117017324924811</v>
      </c>
      <c r="R40" s="528">
        <f ca="1">INDEX(OFFSET('SK-ratings-final'!$I$20,'SK-ranking'!R$1-19,0,1,80),1,$B40)</f>
        <v>9.0599400031045274</v>
      </c>
      <c r="S40" s="528">
        <f ca="1">INDEX(OFFSET('SK-ratings-final'!$I$20,'SK-ranking'!S$1-19,0,1,80),1,$B40)</f>
        <v>4.5071812294029296</v>
      </c>
      <c r="T40" s="523">
        <f ca="1">INDEX(OFFSET('SK-ratings-final'!$I$20,'SK-ranking'!T$1-19,0,1,80),1,$B40)</f>
        <v>6.7835606162537294</v>
      </c>
      <c r="V40" s="528">
        <f ca="1">INDEX(OFFSET('SK-ratings-final'!$I$20,'SK-ranking'!V$1-19,0,1,80),1,$B40)</f>
        <v>1.6124329230027794</v>
      </c>
      <c r="W40" s="528">
        <f ca="1">INDEX(OFFSET('SK-ratings-final'!$I$20,'SK-ranking'!W$1-19,0,1,80),1,$B40)</f>
        <v>1.960657005365245</v>
      </c>
      <c r="X40" s="523">
        <f ca="1">INDEX(OFFSET('SK-ratings-final'!$I$20,'SK-ranking'!X$1-19,0,1,80),1,$B40)</f>
        <v>1.7865449641840121</v>
      </c>
      <c r="AA40" s="532">
        <f ca="1">INDEX(OFFSET('SK-ratios'!$AF$23,'SK-ranking'!AA$1-19,0,1,80),1,$B40)</f>
        <v>16.54524661526543</v>
      </c>
      <c r="AB40" s="532">
        <f ca="1">INDEX(OFFSET('SK-ratios'!$AF$23,'SK-ranking'!AB$1-19,0,1,80),1,$B40)</f>
        <v>16.54524661526543</v>
      </c>
      <c r="AC40" s="532">
        <f ca="1">INDEX(OFFSET('SK-ratios'!$AF$23,'SK-ranking'!AC$1-19,0,1,80),1,$B40)</f>
        <v>13.716475449145976</v>
      </c>
      <c r="AD40" s="456"/>
      <c r="AE40" s="456">
        <f ca="1">INDEX(OFFSET('SK-ratios'!$AF$23,'SK-ranking'!AE$1-19,0,1,80),1,$B40)</f>
        <v>-4.3545992216441974E-2</v>
      </c>
      <c r="AF40" s="456">
        <f ca="1">INDEX(OFFSET('SK-ratios'!$AF$23,'SK-ranking'!AF$1-19,0,1,80),1,$B40)</f>
        <v>-4.3681386130855329E-2</v>
      </c>
      <c r="AG40" s="456">
        <f ca="1">INDEX(OFFSET('SK-ratios'!$AF$23,'SK-ranking'!AG$1-19,0,1,80),1,$B40)</f>
        <v>-2.445144991640297</v>
      </c>
      <c r="AI40" s="456">
        <f ca="1">INDEX(OFFSET('SK-ratios'!$AF$23,'SK-ranking'!AI$1-19,0,1,80),1,$B40)</f>
        <v>3.099579166461388E-3</v>
      </c>
      <c r="AJ40" s="456">
        <f ca="1">INDEX(OFFSET('SK-ratios'!$AF$23,'SK-ranking'!AJ$1-19,0,1,80),1,$B40)</f>
        <v>-0.34381876524852695</v>
      </c>
      <c r="AL40" s="456">
        <f ca="1">INDEX(OFFSET('SK-ratios'!$AF$23,'SK-ranking'!AL$1-19,0,1,80),1,$B40)</f>
        <v>0.54859214257745292</v>
      </c>
      <c r="AM40" s="456">
        <f ca="1">INDEX(OFFSET('SK-ratios'!$AF$23,'SK-ranking'!AM$1-19,0,1,80),1,$B40)</f>
        <v>3.0147366636454334</v>
      </c>
    </row>
    <row r="41" spans="1:39" x14ac:dyDescent="0.25">
      <c r="A41" s="307">
        <v>30</v>
      </c>
      <c r="B41" s="525">
        <f>MATCH(C41,'SK-ratings-final'!I$2:CJ$2,0)</f>
        <v>36</v>
      </c>
      <c r="C41" s="307" t="str">
        <f>INDEX('SK-ratings-final'!$I$2:$CJ$2,MATCH('SK-ranking'!F41,'SK-ratings-final'!$I$35:$CJ$35,0))</f>
        <v>Národný ústav srdcových a cievnych chorôb, a.s.</v>
      </c>
      <c r="D41" s="307" t="str">
        <f>INDEX('SK-info'!C$2:C$81,MATCH('SK-ranking'!C41,'SK-info'!B$2:B$81,0))</f>
        <v>state</v>
      </c>
      <c r="E41" s="323" t="s">
        <v>400</v>
      </c>
      <c r="F41" s="523">
        <f t="array" ref="F41">LARGE(IF('SK-ratings-final'!I$3:CJ$3="state",'SK-ratings-final'!$I$35:$CJ$35),'SK-ranking'!A41)</f>
        <v>5.0838876956189658</v>
      </c>
      <c r="H41" s="528">
        <f ca="1">INDEX(OFFSET('SK-ratings-final'!$I$20,'SK-ranking'!H$1-19,0,1,80),1,$B41)</f>
        <v>7.9028442460450847</v>
      </c>
      <c r="I41" s="528">
        <f ca="1">INDEX(OFFSET('SK-ratings-final'!$I$20,'SK-ranking'!I$1-19,0,1,80),1,$B41)</f>
        <v>7.9591065717590732</v>
      </c>
      <c r="J41" s="528">
        <f ca="1">INDEX(OFFSET('SK-ratings-final'!$I$20,'SK-ranking'!J$1-19,0,1,80),1,$B41)</f>
        <v>7.4409797979902823</v>
      </c>
      <c r="K41" s="523">
        <f ca="1">INDEX(OFFSET('SK-ratings-final'!$I$20,'SK-ranking'!K$1-19,0,1,80),1,$B41)</f>
        <v>7.7676435385981462</v>
      </c>
      <c r="M41" s="528">
        <f ca="1">INDEX(OFFSET('SK-ratings-final'!$I$20,'SK-ranking'!M$1-19,0,1,80),1,$B41)</f>
        <v>5.1634998857989922</v>
      </c>
      <c r="N41" s="528">
        <f ca="1">INDEX(OFFSET('SK-ratings-final'!$I$20,'SK-ranking'!N$1-19,0,1,80),1,$B41)</f>
        <v>5.0878164275471134</v>
      </c>
      <c r="O41" s="528">
        <f ca="1">INDEX(OFFSET('SK-ratings-final'!$I$20,'SK-ranking'!O$1-19,0,1,80),1,$B41)</f>
        <v>5.1546723869922833</v>
      </c>
      <c r="P41" s="523">
        <f ca="1">INDEX(OFFSET('SK-ratings-final'!$I$20,'SK-ranking'!P$1-19,0,1,80),1,$B41)</f>
        <v>5.1448321946259332</v>
      </c>
      <c r="R41" s="528">
        <f ca="1">INDEX(OFFSET('SK-ratings-final'!$I$20,'SK-ranking'!R$1-19,0,1,80),1,$B41)</f>
        <v>2.9293716913903651</v>
      </c>
      <c r="S41" s="528">
        <f ca="1">INDEX(OFFSET('SK-ratings-final'!$I$20,'SK-ranking'!S$1-19,0,1,80),1,$B41)</f>
        <v>5.757971379723644</v>
      </c>
      <c r="T41" s="523">
        <f ca="1">INDEX(OFFSET('SK-ratings-final'!$I$20,'SK-ranking'!T$1-19,0,1,80),1,$B41)</f>
        <v>4.3436715355570046</v>
      </c>
      <c r="V41" s="528">
        <f ca="1">INDEX(OFFSET('SK-ratings-final'!$I$20,'SK-ranking'!V$1-19,0,1,80),1,$B41)</f>
        <v>3.1437738600981753</v>
      </c>
      <c r="W41" s="528">
        <f ca="1">INDEX(OFFSET('SK-ratings-final'!$I$20,'SK-ranking'!W$1-19,0,1,80),1,$B41)</f>
        <v>2.3828991563602733</v>
      </c>
      <c r="X41" s="523">
        <f ca="1">INDEX(OFFSET('SK-ratings-final'!$I$20,'SK-ranking'!X$1-19,0,1,80),1,$B41)</f>
        <v>2.7633365082292243</v>
      </c>
      <c r="AA41" s="532">
        <f ca="1">INDEX(OFFSET('SK-ratios'!$AF$23,'SK-ranking'!AA$1-19,0,1,80),1,$B41)</f>
        <v>5.5061071849917242</v>
      </c>
      <c r="AB41" s="532">
        <f ca="1">INDEX(OFFSET('SK-ratios'!$AF$23,'SK-ranking'!AB$1-19,0,1,80),1,$B41)</f>
        <v>4.788671017847256</v>
      </c>
      <c r="AC41" s="532">
        <f ca="1">INDEX(OFFSET('SK-ratios'!$AF$23,'SK-ranking'!AC$1-19,0,1,80),1,$B41)</f>
        <v>2.7205052495340349</v>
      </c>
      <c r="AD41" s="456"/>
      <c r="AE41" s="456">
        <f ca="1">INDEX(OFFSET('SK-ratios'!$AF$23,'SK-ranking'!AE$1-19,0,1,80),1,$B41)</f>
        <v>7.1169241709759072E-4</v>
      </c>
      <c r="AF41" s="456">
        <f ca="1">INDEX(OFFSET('SK-ratios'!$AF$23,'SK-ranking'!AF$1-19,0,1,80),1,$B41)</f>
        <v>8.0570932069011221E-4</v>
      </c>
      <c r="AG41" s="456">
        <f ca="1">INDEX(OFFSET('SK-ratios'!$AF$23,'SK-ranking'!AG$1-19,0,1,80),1,$B41)</f>
        <v>9.6872216827431591E-4</v>
      </c>
      <c r="AI41" s="456">
        <f ca="1">INDEX(OFFSET('SK-ratios'!$AF$23,'SK-ranking'!AI$1-19,0,1,80),1,$B41)</f>
        <v>0.11426359205509093</v>
      </c>
      <c r="AJ41" s="456">
        <f ca="1">INDEX(OFFSET('SK-ratios'!$AF$23,'SK-ranking'!AJ$1-19,0,1,80),1,$B41)</f>
        <v>4.6149060510161979</v>
      </c>
      <c r="AL41" s="456">
        <f ca="1">INDEX(OFFSET('SK-ratios'!$AF$23,'SK-ranking'!AL$1-19,0,1,80),1,$B41)</f>
        <v>1.6407459431276794</v>
      </c>
      <c r="AM41" s="456">
        <f ca="1">INDEX(OFFSET('SK-ratios'!$AF$23,'SK-ranking'!AM$1-19,0,1,80),1,$B41)</f>
        <v>3.5748474306794256</v>
      </c>
    </row>
    <row r="42" spans="1:39" x14ac:dyDescent="0.25">
      <c r="A42" s="307">
        <v>31</v>
      </c>
      <c r="B42" s="525">
        <f>MATCH(C42,'SK-ratings-final'!I$2:CJ$2,0)</f>
        <v>6</v>
      </c>
      <c r="C42" s="307" t="str">
        <f>INDEX('SK-ratings-final'!$I$2:$CJ$2,MATCH('SK-ranking'!F42,'SK-ratings-final'!$I$35:$CJ$35,0))</f>
        <v>Automobilové opravovne Ministerstva vnútra SR, a.s.</v>
      </c>
      <c r="D42" s="307" t="str">
        <f>INDEX('SK-info'!C$2:C$81,MATCH('SK-ranking'!C42,'SK-info'!B$2:B$81,0))</f>
        <v>state</v>
      </c>
      <c r="E42" s="323" t="s">
        <v>400</v>
      </c>
      <c r="F42" s="523">
        <f t="array" ref="F42">LARGE(IF('SK-ratings-final'!I$3:CJ$3="state",'SK-ratings-final'!$I$35:$CJ$35),'SK-ranking'!A42)</f>
        <v>5.0351340321794726</v>
      </c>
      <c r="H42" s="528">
        <f ca="1">INDEX(OFFSET('SK-ratings-final'!$I$20,'SK-ranking'!H$1-19,0,1,80),1,$B42)</f>
        <v>5.4584374585835054</v>
      </c>
      <c r="I42" s="528">
        <f ca="1">INDEX(OFFSET('SK-ratings-final'!$I$20,'SK-ranking'!I$1-19,0,1,80),1,$B42)</f>
        <v>5.0495215170094241</v>
      </c>
      <c r="J42" s="528">
        <f ca="1">INDEX(OFFSET('SK-ratings-final'!$I$20,'SK-ranking'!J$1-19,0,1,80),1,$B42)</f>
        <v>5.7837758139216771</v>
      </c>
      <c r="K42" s="523">
        <f ca="1">INDEX(OFFSET('SK-ratings-final'!$I$20,'SK-ranking'!K$1-19,0,1,80),1,$B42)</f>
        <v>5.4305782631715349</v>
      </c>
      <c r="M42" s="528">
        <f ca="1">INDEX(OFFSET('SK-ratings-final'!$I$20,'SK-ranking'!M$1-19,0,1,80),1,$B42)</f>
        <v>4.233437087018225</v>
      </c>
      <c r="N42" s="528">
        <f ca="1">INDEX(OFFSET('SK-ratings-final'!$I$20,'SK-ranking'!N$1-19,0,1,80),1,$B42)</f>
        <v>4.5123883945589158</v>
      </c>
      <c r="O42" s="528">
        <f ca="1">INDEX(OFFSET('SK-ratings-final'!$I$20,'SK-ranking'!O$1-19,0,1,80),1,$B42)</f>
        <v>4.1733307535182815</v>
      </c>
      <c r="P42" s="523">
        <f ca="1">INDEX(OFFSET('SK-ratings-final'!$I$20,'SK-ranking'!P$1-19,0,1,80),1,$B42)</f>
        <v>4.2651848151263856</v>
      </c>
      <c r="R42" s="528">
        <f ca="1">INDEX(OFFSET('SK-ratings-final'!$I$20,'SK-ranking'!R$1-19,0,1,80),1,$B42)</f>
        <v>3.3339063265530124</v>
      </c>
      <c r="S42" s="528">
        <f ca="1">INDEX(OFFSET('SK-ratings-final'!$I$20,'SK-ranking'!S$1-19,0,1,80),1,$B42)</f>
        <v>4.4094009841059263</v>
      </c>
      <c r="T42" s="523">
        <f ca="1">INDEX(OFFSET('SK-ratings-final'!$I$20,'SK-ranking'!T$1-19,0,1,80),1,$B42)</f>
        <v>3.8716536553294696</v>
      </c>
      <c r="V42" s="528">
        <f ca="1">INDEX(OFFSET('SK-ratings-final'!$I$20,'SK-ranking'!V$1-19,0,1,80),1,$B42)</f>
        <v>6.4028152312164224</v>
      </c>
      <c r="W42" s="528">
        <f ca="1">INDEX(OFFSET('SK-ratings-final'!$I$20,'SK-ranking'!W$1-19,0,1,80),1,$B42)</f>
        <v>8.0941564288450856</v>
      </c>
      <c r="X42" s="523">
        <f ca="1">INDEX(OFFSET('SK-ratings-final'!$I$20,'SK-ranking'!X$1-19,0,1,80),1,$B42)</f>
        <v>7.2484858300307549</v>
      </c>
      <c r="AA42" s="532">
        <f ca="1">INDEX(OFFSET('SK-ratios'!$AF$23,'SK-ranking'!AA$1-19,0,1,80),1,$B42)</f>
        <v>2.071271643886043</v>
      </c>
      <c r="AB42" s="532">
        <f ca="1">INDEX(OFFSET('SK-ratios'!$AF$23,'SK-ranking'!AB$1-19,0,1,80),1,$B42)</f>
        <v>1.467099917088392</v>
      </c>
      <c r="AC42" s="532">
        <f ca="1">INDEX(OFFSET('SK-ratios'!$AF$23,'SK-ranking'!AC$1-19,0,1,80),1,$B42)</f>
        <v>1.3062163064082761</v>
      </c>
      <c r="AD42" s="456"/>
      <c r="AE42" s="456">
        <f ca="1">INDEX(OFFSET('SK-ratios'!$AF$23,'SK-ranking'!AE$1-19,0,1,80),1,$B42)</f>
        <v>-8.3471505549921471E-3</v>
      </c>
      <c r="AF42" s="456">
        <f ca="1">INDEX(OFFSET('SK-ratios'!$AF$23,'SK-ranking'!AF$1-19,0,1,80),1,$B42)</f>
        <v>-9.1711762808222175E-3</v>
      </c>
      <c r="AG42" s="456">
        <f ca="1">INDEX(OFFSET('SK-ratios'!$AF$23,'SK-ranking'!AG$1-19,0,1,80),1,$B42)</f>
        <v>-1.1864572178005177E-2</v>
      </c>
      <c r="AI42" s="456">
        <f ca="1">INDEX(OFFSET('SK-ratios'!$AF$23,'SK-ranking'!AI$1-19,0,1,80),1,$B42)</f>
        <v>8.9843713240592482E-2</v>
      </c>
      <c r="AJ42" s="456">
        <f ca="1">INDEX(OFFSET('SK-ratios'!$AF$23,'SK-ranking'!AJ$1-19,0,1,80),1,$B42)</f>
        <v>13.76111393139459</v>
      </c>
      <c r="AL42" s="456">
        <f ca="1">INDEX(OFFSET('SK-ratios'!$AF$23,'SK-ranking'!AL$1-19,0,1,80),1,$B42)</f>
        <v>7.6349026101232029</v>
      </c>
      <c r="AM42" s="456">
        <f ca="1">INDEX(OFFSET('SK-ratios'!$AF$23,'SK-ranking'!AM$1-19,0,1,80),1,$B42)</f>
        <v>50.838333597067844</v>
      </c>
    </row>
    <row r="43" spans="1:39" x14ac:dyDescent="0.25">
      <c r="A43" s="307">
        <v>32</v>
      </c>
      <c r="B43" s="525">
        <f>MATCH(C43,'SK-ratings-final'!I$2:CJ$2,0)</f>
        <v>21</v>
      </c>
      <c r="C43" s="307" t="str">
        <f>INDEX('SK-ratings-final'!$I$2:$CJ$2,MATCH('SK-ranking'!F43,'SK-ratings-final'!$I$35:$CJ$35,0))</f>
        <v>Jadrová a vyraďovacia spoločnosť, a. s.</v>
      </c>
      <c r="D43" s="307" t="str">
        <f>INDEX('SK-info'!C$2:C$81,MATCH('SK-ranking'!C43,'SK-info'!B$2:B$81,0))</f>
        <v>state</v>
      </c>
      <c r="E43" s="323" t="s">
        <v>400</v>
      </c>
      <c r="F43" s="523">
        <f t="array" ref="F43">LARGE(IF('SK-ratings-final'!I$3:CJ$3="state",'SK-ratings-final'!$I$35:$CJ$35),'SK-ranking'!A43)</f>
        <v>4.9499382393028863</v>
      </c>
      <c r="H43" s="528">
        <f ca="1">INDEX(OFFSET('SK-ratings-final'!$I$20,'SK-ranking'!H$1-19,0,1,80),1,$B43)</f>
        <v>10</v>
      </c>
      <c r="I43" s="528">
        <f ca="1">INDEX(OFFSET('SK-ratings-final'!$I$20,'SK-ranking'!I$1-19,0,1,80),1,$B43)</f>
        <v>10</v>
      </c>
      <c r="J43" s="528">
        <f ca="1">INDEX(OFFSET('SK-ratings-final'!$I$20,'SK-ranking'!J$1-19,0,1,80),1,$B43)</f>
        <v>10</v>
      </c>
      <c r="K43" s="523">
        <f ca="1">INDEX(OFFSET('SK-ratings-final'!$I$20,'SK-ranking'!K$1-19,0,1,80),1,$B43)</f>
        <v>10</v>
      </c>
      <c r="M43" s="528">
        <f ca="1">INDEX(OFFSET('SK-ratings-final'!$I$20,'SK-ranking'!M$1-19,0,1,80),1,$B43)</f>
        <v>6.5582534203031537</v>
      </c>
      <c r="N43" s="528">
        <f ca="1">INDEX(OFFSET('SK-ratings-final'!$I$20,'SK-ranking'!N$1-19,0,1,80),1,$B43)</f>
        <v>7.8067315775021466</v>
      </c>
      <c r="O43" s="528">
        <f ca="1">INDEX(OFFSET('SK-ratings-final'!$I$20,'SK-ranking'!O$1-19,0,1,80),1,$B43)</f>
        <v>10</v>
      </c>
      <c r="P43" s="523">
        <f ca="1">INDEX(OFFSET('SK-ratings-final'!$I$20,'SK-ranking'!P$1-19,0,1,80),1,$B43)</f>
        <v>8.1846476836216908</v>
      </c>
      <c r="R43" s="528">
        <f ca="1">INDEX(OFFSET('SK-ratings-final'!$I$20,'SK-ranking'!R$1-19,0,1,80),1,$B43)</f>
        <v>0</v>
      </c>
      <c r="S43" s="528">
        <f ca="1">INDEX(OFFSET('SK-ratings-final'!$I$20,'SK-ranking'!S$1-19,0,1,80),1,$B43)</f>
        <v>2.6006465924092117</v>
      </c>
      <c r="T43" s="523">
        <f ca="1">INDEX(OFFSET('SK-ratings-final'!$I$20,'SK-ranking'!T$1-19,0,1,80),1,$B43)</f>
        <v>1.3003232962046058</v>
      </c>
      <c r="V43" s="528">
        <f ca="1">INDEX(OFFSET('SK-ratings-final'!$I$20,'SK-ranking'!V$1-19,0,1,80),1,$B43)</f>
        <v>0.10378345751027311</v>
      </c>
      <c r="W43" s="528">
        <f ca="1">INDEX(OFFSET('SK-ratings-final'!$I$20,'SK-ranking'!W$1-19,0,1,80),1,$B43)</f>
        <v>3.3009837850542546E-2</v>
      </c>
      <c r="X43" s="523">
        <f ca="1">INDEX(OFFSET('SK-ratings-final'!$I$20,'SK-ranking'!X$1-19,0,1,80),1,$B43)</f>
        <v>6.8396647680407832E-2</v>
      </c>
      <c r="AA43" s="532">
        <f ca="1">INDEX(OFFSET('SK-ratios'!$AF$23,'SK-ranking'!AA$1-19,0,1,80),1,$B43)</f>
        <v>74.818641703220507</v>
      </c>
      <c r="AB43" s="532">
        <f ca="1">INDEX(OFFSET('SK-ratios'!$AF$23,'SK-ranking'!AB$1-19,0,1,80),1,$B43)</f>
        <v>74.730741725248762</v>
      </c>
      <c r="AC43" s="532">
        <f ca="1">INDEX(OFFSET('SK-ratios'!$AF$23,'SK-ranking'!AC$1-19,0,1,80),1,$B43)</f>
        <v>12.477871281600324</v>
      </c>
      <c r="AD43" s="456"/>
      <c r="AE43" s="456">
        <f ca="1">INDEX(OFFSET('SK-ratios'!$AF$23,'SK-ranking'!AE$1-19,0,1,80),1,$B43)</f>
        <v>8.5624741214301373E-3</v>
      </c>
      <c r="AF43" s="456">
        <f ca="1">INDEX(OFFSET('SK-ratios'!$AF$23,'SK-ranking'!AF$1-19,0,1,80),1,$B43)</f>
        <v>5.657193284136932E-2</v>
      </c>
      <c r="AG43" s="456">
        <f ca="1">INDEX(OFFSET('SK-ratios'!$AF$23,'SK-ranking'!AG$1-19,0,1,80),1,$B43)</f>
        <v>0.38867790077152559</v>
      </c>
      <c r="AI43" s="456">
        <f ca="1">INDEX(OFFSET('SK-ratios'!$AF$23,'SK-ranking'!AI$1-19,0,1,80),1,$B43)</f>
        <v>0.78156798304712771</v>
      </c>
      <c r="AJ43" s="456">
        <f ca="1">INDEX(OFFSET('SK-ratios'!$AF$23,'SK-ranking'!AJ$1-19,0,1,80),1,$B43)</f>
        <v>30.198880362936226</v>
      </c>
      <c r="AL43" s="456">
        <f ca="1">INDEX(OFFSET('SK-ratios'!$AF$23,'SK-ranking'!AL$1-19,0,1,80),1,$B43)</f>
        <v>2.7029658408951919E-2</v>
      </c>
      <c r="AM43" s="456">
        <f ca="1">INDEX(OFFSET('SK-ratios'!$AF$23,'SK-ranking'!AM$1-19,0,1,80),1,$B43)</f>
        <v>3.2155629570223256E-2</v>
      </c>
    </row>
    <row r="44" spans="1:39" x14ac:dyDescent="0.25">
      <c r="A44" s="307">
        <v>33</v>
      </c>
      <c r="B44" s="525">
        <f>MATCH(C44,'SK-ratings-final'!I$2:CJ$2,0)</f>
        <v>76</v>
      </c>
      <c r="C44" s="307" t="str">
        <f>INDEX('SK-ratings-final'!$I$2:$CJ$2,MATCH('SK-ranking'!F44,'SK-ratings-final'!$I$35:$CJ$35,0))</f>
        <v>Západoslovenská energetika, a.s.</v>
      </c>
      <c r="D44" s="307" t="str">
        <f>INDEX('SK-info'!C$2:C$81,MATCH('SK-ranking'!C44,'SK-info'!B$2:B$81,0))</f>
        <v>state</v>
      </c>
      <c r="E44" s="323" t="s">
        <v>400</v>
      </c>
      <c r="F44" s="523">
        <f t="array" ref="F44">LARGE(IF('SK-ratings-final'!I$3:CJ$3="state",'SK-ratings-final'!$I$35:$CJ$35),'SK-ranking'!A44)</f>
        <v>4.925068721714597</v>
      </c>
      <c r="H44" s="528">
        <f ca="1">INDEX(OFFSET('SK-ratings-final'!$I$20,'SK-ranking'!H$1-19,0,1,80),1,$B44)</f>
        <v>4.0542146896404416</v>
      </c>
      <c r="I44" s="528">
        <f ca="1">INDEX(OFFSET('SK-ratings-final'!$I$20,'SK-ranking'!I$1-19,0,1,80),1,$B44)</f>
        <v>4.3234094581435532</v>
      </c>
      <c r="J44" s="528">
        <f ca="1">INDEX(OFFSET('SK-ratings-final'!$I$20,'SK-ranking'!J$1-19,0,1,80),1,$B44)</f>
        <v>4.6996029098058916</v>
      </c>
      <c r="K44" s="523">
        <f ca="1">INDEX(OFFSET('SK-ratings-final'!$I$20,'SK-ranking'!K$1-19,0,1,80),1,$B44)</f>
        <v>4.3590756858632957</v>
      </c>
      <c r="M44" s="528">
        <f ca="1">INDEX(OFFSET('SK-ratings-final'!$I$20,'SK-ranking'!M$1-19,0,1,80),1,$B44)</f>
        <v>8.7485480223913399</v>
      </c>
      <c r="N44" s="528">
        <f ca="1">INDEX(OFFSET('SK-ratings-final'!$I$20,'SK-ranking'!N$1-19,0,1,80),1,$B44)</f>
        <v>9.1405750773826941</v>
      </c>
      <c r="O44" s="528">
        <f ca="1">INDEX(OFFSET('SK-ratings-final'!$I$20,'SK-ranking'!O$1-19,0,1,80),1,$B44)</f>
        <v>10</v>
      </c>
      <c r="P44" s="523">
        <f ca="1">INDEX(OFFSET('SK-ratings-final'!$I$20,'SK-ranking'!P$1-19,0,1,80),1,$B44)</f>
        <v>9.3275342244330748</v>
      </c>
      <c r="R44" s="528">
        <f ca="1">INDEX(OFFSET('SK-ratings-final'!$I$20,'SK-ranking'!R$1-19,0,1,80),1,$B44)</f>
        <v>0</v>
      </c>
      <c r="S44" s="528">
        <f ca="1">INDEX(OFFSET('SK-ratings-final'!$I$20,'SK-ranking'!S$1-19,0,1,80),1,$B44)</f>
        <v>4.1350571568014152</v>
      </c>
      <c r="T44" s="523">
        <f ca="1">INDEX(OFFSET('SK-ratings-final'!$I$20,'SK-ranking'!T$1-19,0,1,80),1,$B44)</f>
        <v>2.0675285784007076</v>
      </c>
      <c r="V44" s="528">
        <f ca="1">INDEX(OFFSET('SK-ratings-final'!$I$20,'SK-ranking'!V$1-19,0,1,80),1,$B44)</f>
        <v>7.0528446648552769</v>
      </c>
      <c r="W44" s="528">
        <f ca="1">INDEX(OFFSET('SK-ratings-final'!$I$20,'SK-ranking'!W$1-19,0,1,80),1,$B44)</f>
        <v>1.7787320413476446</v>
      </c>
      <c r="X44" s="523">
        <f ca="1">INDEX(OFFSET('SK-ratings-final'!$I$20,'SK-ranking'!X$1-19,0,1,80),1,$B44)</f>
        <v>4.415788353101461</v>
      </c>
      <c r="AA44" s="532">
        <f ca="1">INDEX(OFFSET('SK-ratios'!$AF$23,'SK-ranking'!AA$1-19,0,1,80),1,$B44)</f>
        <v>1.0365825069742363</v>
      </c>
      <c r="AB44" s="532">
        <f ca="1">INDEX(OFFSET('SK-ratios'!$AF$23,'SK-ranking'!AB$1-19,0,1,80),1,$B44)</f>
        <v>1.0360081580983191</v>
      </c>
      <c r="AC44" s="532">
        <f ca="1">INDEX(OFFSET('SK-ratios'!$AF$23,'SK-ranking'!AC$1-19,0,1,80),1,$B44)</f>
        <v>0.90642801884802027</v>
      </c>
      <c r="AD44" s="456"/>
      <c r="AE44" s="456">
        <f ca="1">INDEX(OFFSET('SK-ratios'!$AF$23,'SK-ranking'!AE$1-19,0,1,80),1,$B44)</f>
        <v>4.8169675456101284E-2</v>
      </c>
      <c r="AF44" s="456">
        <f ca="1">INDEX(OFFSET('SK-ratios'!$AF$23,'SK-ranking'!AF$1-19,0,1,80),1,$B44)</f>
        <v>0.151954706383233</v>
      </c>
      <c r="AG44" s="456">
        <f ca="1">INDEX(OFFSET('SK-ratios'!$AF$23,'SK-ranking'!AG$1-19,0,1,80),1,$B44)</f>
        <v>1.3504686545763522</v>
      </c>
      <c r="AI44" s="456">
        <f ca="1">INDEX(OFFSET('SK-ratios'!$AF$23,'SK-ranking'!AI$1-19,0,1,80),1,$B44)</f>
        <v>0.68299977932492373</v>
      </c>
      <c r="AJ44" s="456">
        <f ca="1">INDEX(OFFSET('SK-ratios'!$AF$23,'SK-ranking'!AJ$1-19,0,1,80),1,$B44)</f>
        <v>12.942318736539843</v>
      </c>
      <c r="AL44" s="456">
        <f ca="1">INDEX(OFFSET('SK-ratios'!$AF$23,'SK-ranking'!AL$1-19,0,1,80),1,$B44)</f>
        <v>12.066965716116629</v>
      </c>
      <c r="AM44" s="456">
        <f ca="1">INDEX(OFFSET('SK-ratios'!$AF$23,'SK-ranking'!AM$1-19,0,1,80),1,$B44)</f>
        <v>3.4066938037087291</v>
      </c>
    </row>
    <row r="45" spans="1:39" x14ac:dyDescent="0.25">
      <c r="A45" s="307">
        <v>34</v>
      </c>
      <c r="B45" s="525">
        <f>MATCH(C45,'SK-ratings-final'!I$2:CJ$2,0)</f>
        <v>30</v>
      </c>
      <c r="C45" s="307" t="str">
        <f>INDEX('SK-ratings-final'!$I$2:$CJ$2,MATCH('SK-ranking'!F45,'SK-ratings-final'!$I$35:$CJ$35,0))</f>
        <v>Letisko Sliač, a.s.</v>
      </c>
      <c r="D45" s="307" t="str">
        <f>INDEX('SK-info'!C$2:C$81,MATCH('SK-ranking'!C45,'SK-info'!B$2:B$81,0))</f>
        <v>state</v>
      </c>
      <c r="E45" s="323" t="s">
        <v>400</v>
      </c>
      <c r="F45" s="523">
        <f t="array" ref="F45">LARGE(IF('SK-ratings-final'!I$3:CJ$3="state",'SK-ratings-final'!$I$35:$CJ$35),'SK-ranking'!A45)</f>
        <v>4.888278962758859</v>
      </c>
      <c r="H45" s="528">
        <f ca="1">INDEX(OFFSET('SK-ratings-final'!$I$20,'SK-ranking'!H$1-19,0,1,80),1,$B45)</f>
        <v>6.5254179205376976</v>
      </c>
      <c r="I45" s="528">
        <f ca="1">INDEX(OFFSET('SK-ratings-final'!$I$20,'SK-ranking'!I$1-19,0,1,80),1,$B45)</f>
        <v>6.8536520467945019</v>
      </c>
      <c r="J45" s="528">
        <f ca="1">INDEX(OFFSET('SK-ratings-final'!$I$20,'SK-ranking'!J$1-19,0,1,80),1,$B45)</f>
        <v>7.0358264400970905</v>
      </c>
      <c r="K45" s="523">
        <f ca="1">INDEX(OFFSET('SK-ratings-final'!$I$20,'SK-ranking'!K$1-19,0,1,80),1,$B45)</f>
        <v>6.8049654691430961</v>
      </c>
      <c r="M45" s="528">
        <f ca="1">INDEX(OFFSET('SK-ratings-final'!$I$20,'SK-ranking'!M$1-19,0,1,80),1,$B45)</f>
        <v>4.8434392702951996</v>
      </c>
      <c r="N45" s="528">
        <f ca="1">INDEX(OFFSET('SK-ratings-final'!$I$20,'SK-ranking'!N$1-19,0,1,80),1,$B45)</f>
        <v>4.7374310819930185</v>
      </c>
      <c r="O45" s="528">
        <f ca="1">INDEX(OFFSET('SK-ratings-final'!$I$20,'SK-ranking'!O$1-19,0,1,80),1,$B45)</f>
        <v>4.6083130723728303</v>
      </c>
      <c r="P45" s="523">
        <f ca="1">INDEX(OFFSET('SK-ratings-final'!$I$20,'SK-ranking'!P$1-19,0,1,80),1,$B45)</f>
        <v>4.7281871534658162</v>
      </c>
      <c r="R45" s="528">
        <f ca="1">INDEX(OFFSET('SK-ratings-final'!$I$20,'SK-ranking'!R$1-19,0,1,80),1,$B45)</f>
        <v>2.2563634778967985</v>
      </c>
      <c r="S45" s="528">
        <f ca="1">INDEX(OFFSET('SK-ratings-final'!$I$20,'SK-ranking'!S$1-19,0,1,80),1,$B45)</f>
        <v>5.9508951899235436</v>
      </c>
      <c r="T45" s="523">
        <f ca="1">INDEX(OFFSET('SK-ratings-final'!$I$20,'SK-ranking'!T$1-19,0,1,80),1,$B45)</f>
        <v>4.1036293339101713</v>
      </c>
      <c r="V45" s="528">
        <f ca="1">INDEX(OFFSET('SK-ratings-final'!$I$20,'SK-ranking'!V$1-19,0,1,80),1,$B45)</f>
        <v>4.0393993092839304</v>
      </c>
      <c r="W45" s="528">
        <f ca="1">INDEX(OFFSET('SK-ratings-final'!$I$20,'SK-ranking'!W$1-19,0,1,80),1,$B45)</f>
        <v>3.6996207600518685</v>
      </c>
      <c r="X45" s="523">
        <f ca="1">INDEX(OFFSET('SK-ratings-final'!$I$20,'SK-ranking'!X$1-19,0,1,80),1,$B45)</f>
        <v>3.8695100346679001</v>
      </c>
      <c r="AA45" s="532">
        <f ca="1">INDEX(OFFSET('SK-ratios'!$AF$23,'SK-ranking'!AA$1-19,0,1,80),1,$B45)</f>
        <v>3.0002135487958999</v>
      </c>
      <c r="AB45" s="532">
        <f ca="1">INDEX(OFFSET('SK-ratios'!$AF$23,'SK-ranking'!AB$1-19,0,1,80),1,$B45)</f>
        <v>2.9394396619627585</v>
      </c>
      <c r="AC45" s="532">
        <f ca="1">INDEX(OFFSET('SK-ratios'!$AF$23,'SK-ranking'!AC$1-19,0,1,80),1,$B45)</f>
        <v>2.4299192365455506</v>
      </c>
      <c r="AD45" s="456"/>
      <c r="AE45" s="456">
        <f ca="1">INDEX(OFFSET('SK-ratios'!$AF$23,'SK-ranking'!AE$1-19,0,1,80),1,$B45)</f>
        <v>-2.8180700359516513E-2</v>
      </c>
      <c r="AF45" s="456">
        <f ca="1">INDEX(OFFSET('SK-ratios'!$AF$23,'SK-ranking'!AF$1-19,0,1,80),1,$B45)</f>
        <v>-5.1194748279444521E-2</v>
      </c>
      <c r="AG45" s="456">
        <f ca="1">INDEX(OFFSET('SK-ratios'!$AF$23,'SK-ranking'!AG$1-19,0,1,80),1,$B45)</f>
        <v>-5.8600002856130227E-2</v>
      </c>
      <c r="AI45" s="456">
        <f ca="1">INDEX(OFFSET('SK-ratios'!$AF$23,'SK-ranking'!AI$1-19,0,1,80),1,$B45)</f>
        <v>0.1780304413746473</v>
      </c>
      <c r="AJ45" s="456">
        <f ca="1">INDEX(OFFSET('SK-ratios'!$AF$23,'SK-ranking'!AJ$1-19,0,1,80),1,$B45)</f>
        <v>7.5878103296878745</v>
      </c>
      <c r="AL45" s="456">
        <f ca="1">INDEX(OFFSET('SK-ratios'!$AF$23,'SK-ranking'!AL$1-19,0,1,80),1,$B45)</f>
        <v>2.6962837725493078</v>
      </c>
      <c r="AM45" s="456">
        <f ca="1">INDEX(OFFSET('SK-ratios'!$AF$23,'SK-ranking'!AM$1-19,0,1,80),1,$B45)</f>
        <v>10.584744132358599</v>
      </c>
    </row>
    <row r="46" spans="1:39" x14ac:dyDescent="0.25">
      <c r="A46" s="307">
        <v>35</v>
      </c>
      <c r="B46" s="525">
        <f>MATCH(C46,'SK-ratings-final'!I$2:CJ$2,0)</f>
        <v>61</v>
      </c>
      <c r="C46" s="307" t="str">
        <f>INDEX('SK-ratings-final'!$I$2:$CJ$2,MATCH('SK-ranking'!F46,'SK-ratings-final'!$I$35:$CJ$35,0))</f>
        <v>Stredoslovenský ústav srdcových a cievnych chorôb, a.s.</v>
      </c>
      <c r="D46" s="307" t="str">
        <f>INDEX('SK-info'!C$2:C$81,MATCH('SK-ranking'!C46,'SK-info'!B$2:B$81,0))</f>
        <v>state</v>
      </c>
      <c r="E46" s="323" t="s">
        <v>400</v>
      </c>
      <c r="F46" s="523">
        <f t="array" ref="F46">LARGE(IF('SK-ratings-final'!I$3:CJ$3="state",'SK-ratings-final'!$I$35:$CJ$35),'SK-ranking'!A46)</f>
        <v>4.8464078770986836</v>
      </c>
      <c r="H46" s="528">
        <f ca="1">INDEX(OFFSET('SK-ratings-final'!$I$20,'SK-ranking'!H$1-19,0,1,80),1,$B46)</f>
        <v>5.8364663371777699</v>
      </c>
      <c r="I46" s="528">
        <f ca="1">INDEX(OFFSET('SK-ratings-final'!$I$20,'SK-ranking'!I$1-19,0,1,80),1,$B46)</f>
        <v>6.0396667077503503</v>
      </c>
      <c r="J46" s="528">
        <f ca="1">INDEX(OFFSET('SK-ratings-final'!$I$20,'SK-ranking'!J$1-19,0,1,80),1,$B46)</f>
        <v>5.2045382161353517</v>
      </c>
      <c r="K46" s="523">
        <f ca="1">INDEX(OFFSET('SK-ratings-final'!$I$20,'SK-ranking'!K$1-19,0,1,80),1,$B46)</f>
        <v>5.6935570870211567</v>
      </c>
      <c r="M46" s="528">
        <f ca="1">INDEX(OFFSET('SK-ratings-final'!$I$20,'SK-ranking'!M$1-19,0,1,80),1,$B46)</f>
        <v>7.1289644438676101</v>
      </c>
      <c r="N46" s="528">
        <f ca="1">INDEX(OFFSET('SK-ratings-final'!$I$20,'SK-ranking'!N$1-19,0,1,80),1,$B46)</f>
        <v>6.8344088872705777</v>
      </c>
      <c r="O46" s="528">
        <f ca="1">INDEX(OFFSET('SK-ratings-final'!$I$20,'SK-ranking'!O$1-19,0,1,80),1,$B46)</f>
        <v>6.8085345625164839</v>
      </c>
      <c r="P46" s="523">
        <f ca="1">INDEX(OFFSET('SK-ratings-final'!$I$20,'SK-ranking'!P$1-19,0,1,80),1,$B46)</f>
        <v>6.9418813800077537</v>
      </c>
      <c r="R46" s="528">
        <f ca="1">INDEX(OFFSET('SK-ratings-final'!$I$20,'SK-ranking'!R$1-19,0,1,80),1,$B46)</f>
        <v>2.4571243240525526E-2</v>
      </c>
      <c r="S46" s="528">
        <f ca="1">INDEX(OFFSET('SK-ratings-final'!$I$20,'SK-ranking'!S$1-19,0,1,80),1,$B46)</f>
        <v>5.3790184197682702</v>
      </c>
      <c r="T46" s="523">
        <f ca="1">INDEX(OFFSET('SK-ratings-final'!$I$20,'SK-ranking'!T$1-19,0,1,80),1,$B46)</f>
        <v>2.7017948315043978</v>
      </c>
      <c r="V46" s="528">
        <f ca="1">INDEX(OFFSET('SK-ratings-final'!$I$20,'SK-ranking'!V$1-19,0,1,80),1,$B46)</f>
        <v>5.6997013608671905</v>
      </c>
      <c r="W46" s="528">
        <f ca="1">INDEX(OFFSET('SK-ratings-final'!$I$20,'SK-ranking'!W$1-19,0,1,80),1,$B46)</f>
        <v>3.0703967480341747</v>
      </c>
      <c r="X46" s="523">
        <f ca="1">INDEX(OFFSET('SK-ratings-final'!$I$20,'SK-ranking'!X$1-19,0,1,80),1,$B46)</f>
        <v>4.3850490544506826</v>
      </c>
      <c r="AA46" s="532">
        <f ca="1">INDEX(OFFSET('SK-ratios'!$AF$23,'SK-ranking'!AA$1-19,0,1,80),1,$B46)</f>
        <v>2.4066483621547006</v>
      </c>
      <c r="AB46" s="532">
        <f ca="1">INDEX(OFFSET('SK-ratios'!$AF$23,'SK-ranking'!AB$1-19,0,1,80),1,$B46)</f>
        <v>2.2561727091810586</v>
      </c>
      <c r="AC46" s="532">
        <f ca="1">INDEX(OFFSET('SK-ratios'!$AF$23,'SK-ranking'!AC$1-19,0,1,80),1,$B46)</f>
        <v>1.1386915226284895</v>
      </c>
      <c r="AD46" s="456"/>
      <c r="AE46" s="456">
        <f ca="1">INDEX(OFFSET('SK-ratios'!$AF$23,'SK-ranking'!AE$1-19,0,1,80),1,$B46)</f>
        <v>1.4913272411698637E-2</v>
      </c>
      <c r="AF46" s="456">
        <f ca="1">INDEX(OFFSET('SK-ratios'!$AF$23,'SK-ranking'!AF$1-19,0,1,80),1,$B46)</f>
        <v>2.5070796659324632E-2</v>
      </c>
      <c r="AG46" s="456">
        <f ca="1">INDEX(OFFSET('SK-ratios'!$AF$23,'SK-ranking'!AG$1-19,0,1,80),1,$B46)</f>
        <v>1.5694443463084781E-2</v>
      </c>
      <c r="AI46" s="456">
        <f ca="1">INDEX(OFFSET('SK-ratios'!$AF$23,'SK-ranking'!AI$1-19,0,1,80),1,$B46)</f>
        <v>0.38884344632930878</v>
      </c>
      <c r="AJ46" s="456">
        <f ca="1">INDEX(OFFSET('SK-ratios'!$AF$23,'SK-ranking'!AJ$1-19,0,1,80),1,$B46)</f>
        <v>5.4598671257450277</v>
      </c>
      <c r="AL46" s="456">
        <f ca="1">INDEX(OFFSET('SK-ratios'!$AF$23,'SK-ranking'!AL$1-19,0,1,80),1,$B46)</f>
        <v>5.526392826431521</v>
      </c>
      <c r="AM46" s="456">
        <f ca="1">INDEX(OFFSET('SK-ratios'!$AF$23,'SK-ranking'!AM$1-19,0,1,80),1,$B46)</f>
        <v>6.9564405302475238</v>
      </c>
    </row>
    <row r="47" spans="1:39" x14ac:dyDescent="0.25">
      <c r="A47" s="307">
        <v>36</v>
      </c>
      <c r="B47" s="525">
        <f>MATCH(C47,'SK-ratings-final'!I$2:CJ$2,0)</f>
        <v>78</v>
      </c>
      <c r="C47" s="307" t="str">
        <f>INDEX('SK-ratings-final'!$I$2:$CJ$2,MATCH('SK-ranking'!F47,'SK-ratings-final'!$I$35:$CJ$35,0))</f>
        <v>Železnice Slovenskej republiky, a.s.</v>
      </c>
      <c r="D47" s="307" t="str">
        <f>INDEX('SK-info'!C$2:C$81,MATCH('SK-ranking'!C47,'SK-info'!B$2:B$81,0))</f>
        <v>state</v>
      </c>
      <c r="E47" s="323" t="s">
        <v>400</v>
      </c>
      <c r="F47" s="523">
        <f t="array" ref="F47">LARGE(IF('SK-ratings-final'!I$3:CJ$3="state",'SK-ratings-final'!$I$35:$CJ$35),'SK-ranking'!A47)</f>
        <v>4.8101968544792069</v>
      </c>
      <c r="H47" s="528">
        <f ca="1">INDEX(OFFSET('SK-ratings-final'!$I$20,'SK-ranking'!H$1-19,0,1,80),1,$B47)</f>
        <v>4.2084401487283731</v>
      </c>
      <c r="I47" s="528">
        <f ca="1">INDEX(OFFSET('SK-ratings-final'!$I$20,'SK-ranking'!I$1-19,0,1,80),1,$B47)</f>
        <v>4.3220178914776968</v>
      </c>
      <c r="J47" s="528">
        <f ca="1">INDEX(OFFSET('SK-ratings-final'!$I$20,'SK-ranking'!J$1-19,0,1,80),1,$B47)</f>
        <v>3.9239295391896696</v>
      </c>
      <c r="K47" s="523">
        <f ca="1">INDEX(OFFSET('SK-ratings-final'!$I$20,'SK-ranking'!K$1-19,0,1,80),1,$B47)</f>
        <v>4.1514625264652461</v>
      </c>
      <c r="M47" s="528">
        <f ca="1">INDEX(OFFSET('SK-ratings-final'!$I$20,'SK-ranking'!M$1-19,0,1,80),1,$B47)</f>
        <v>5.8023861387601583</v>
      </c>
      <c r="N47" s="528">
        <f ca="1">INDEX(OFFSET('SK-ratings-final'!$I$20,'SK-ranking'!N$1-19,0,1,80),1,$B47)</f>
        <v>5.7627830653213152</v>
      </c>
      <c r="O47" s="528">
        <f ca="1">INDEX(OFFSET('SK-ratings-final'!$I$20,'SK-ranking'!O$1-19,0,1,80),1,$B47)</f>
        <v>8.7506878214816144</v>
      </c>
      <c r="P47" s="523">
        <f ca="1">INDEX(OFFSET('SK-ratings-final'!$I$20,'SK-ranking'!P$1-19,0,1,80),1,$B47)</f>
        <v>6.9737861971609725</v>
      </c>
      <c r="R47" s="528">
        <f ca="1">INDEX(OFFSET('SK-ratings-final'!$I$20,'SK-ranking'!R$1-19,0,1,80),1,$B47)</f>
        <v>3.5973740168848258</v>
      </c>
      <c r="S47" s="528">
        <f ca="1">INDEX(OFFSET('SK-ratings-final'!$I$20,'SK-ranking'!S$1-19,0,1,80),1,$B47)</f>
        <v>6.2251232124822691</v>
      </c>
      <c r="T47" s="523">
        <f ca="1">INDEX(OFFSET('SK-ratings-final'!$I$20,'SK-ranking'!T$1-19,0,1,80),1,$B47)</f>
        <v>4.9112486146835472</v>
      </c>
      <c r="V47" s="528">
        <f ca="1">INDEX(OFFSET('SK-ratings-final'!$I$20,'SK-ranking'!V$1-19,0,1,80),1,$B47)</f>
        <v>3.5760343934788321</v>
      </c>
      <c r="W47" s="528">
        <f ca="1">INDEX(OFFSET('SK-ratings-final'!$I$20,'SK-ranking'!W$1-19,0,1,80),1,$B47)</f>
        <v>1.9790664981970554</v>
      </c>
      <c r="X47" s="523">
        <f ca="1">INDEX(OFFSET('SK-ratings-final'!$I$20,'SK-ranking'!X$1-19,0,1,80),1,$B47)</f>
        <v>2.7775504458379441</v>
      </c>
      <c r="AA47" s="532">
        <f ca="1">INDEX(OFFSET('SK-ratios'!$AF$23,'SK-ranking'!AA$1-19,0,1,80),1,$B47)</f>
        <v>1.2047840616264354</v>
      </c>
      <c r="AB47" s="532">
        <f ca="1">INDEX(OFFSET('SK-ratios'!$AF$23,'SK-ranking'!AB$1-19,0,1,80),1,$B47)</f>
        <v>1.1275233785272667</v>
      </c>
      <c r="AC47" s="532">
        <f ca="1">INDEX(OFFSET('SK-ratios'!$AF$23,'SK-ranking'!AC$1-19,0,1,80),1,$B47)</f>
        <v>0.71760013840452364</v>
      </c>
      <c r="AD47" s="456"/>
      <c r="AE47" s="456">
        <f ca="1">INDEX(OFFSET('SK-ratios'!$AF$23,'SK-ranking'!AE$1-19,0,1,80),1,$B47)</f>
        <v>2.3242646345774248E-3</v>
      </c>
      <c r="AF47" s="456">
        <f ca="1">INDEX(OFFSET('SK-ratios'!$AF$23,'SK-ranking'!AF$1-19,0,1,80),1,$B47)</f>
        <v>4.8692893983183581E-3</v>
      </c>
      <c r="AG47" s="456">
        <f ca="1">INDEX(OFFSET('SK-ratios'!$AF$23,'SK-ranking'!AG$1-19,0,1,80),1,$B47)</f>
        <v>5.0156797525606173E-2</v>
      </c>
      <c r="AI47" s="456">
        <f ca="1">INDEX(OFFSET('SK-ratios'!$AF$23,'SK-ranking'!AI$1-19,0,1,80),1,$B47)</f>
        <v>9.2002260278394185E-2</v>
      </c>
      <c r="AJ47" s="456">
        <f ca="1">INDEX(OFFSET('SK-ratios'!$AF$23,'SK-ranking'!AJ$1-19,0,1,80),1,$B47)</f>
        <v>3.7034090388754062</v>
      </c>
      <c r="AL47" s="456">
        <f ca="1">INDEX(OFFSET('SK-ratios'!$AF$23,'SK-ranking'!AL$1-19,0,1,80),1,$B47)</f>
        <v>1.9180850813381358</v>
      </c>
      <c r="AM47" s="456">
        <f ca="1">INDEX(OFFSET('SK-ratios'!$AF$23,'SK-ranking'!AM$1-19,0,1,80),1,$B47)</f>
        <v>3.6195606299562408</v>
      </c>
    </row>
    <row r="48" spans="1:39" x14ac:dyDescent="0.25">
      <c r="A48" s="307">
        <v>37</v>
      </c>
      <c r="B48" s="525">
        <f>MATCH(C48,'SK-ratings-final'!I$2:CJ$2,0)</f>
        <v>71</v>
      </c>
      <c r="C48" s="307" t="str">
        <f>INDEX('SK-ratings-final'!$I$2:$CJ$2,MATCH('SK-ranking'!F48,'SK-ratings-final'!$I$35:$CJ$35,0))</f>
        <v>Vojenské lesy a majetky SR, š.p.</v>
      </c>
      <c r="D48" s="307" t="str">
        <f>INDEX('SK-info'!C$2:C$81,MATCH('SK-ranking'!C48,'SK-info'!B$2:B$81,0))</f>
        <v>state</v>
      </c>
      <c r="E48" s="323" t="s">
        <v>400</v>
      </c>
      <c r="F48" s="523">
        <f t="array" ref="F48">LARGE(IF('SK-ratings-final'!I$3:CJ$3="state",'SK-ratings-final'!$I$35:$CJ$35),'SK-ranking'!A48)</f>
        <v>4.8020332513269821</v>
      </c>
      <c r="H48" s="528">
        <f ca="1">INDEX(OFFSET('SK-ratings-final'!$I$20,'SK-ranking'!H$1-19,0,1,80),1,$B48)</f>
        <v>4.1784116323143561</v>
      </c>
      <c r="I48" s="528">
        <f ca="1">INDEX(OFFSET('SK-ratings-final'!$I$20,'SK-ranking'!I$1-19,0,1,80),1,$B48)</f>
        <v>3.7452705865081453</v>
      </c>
      <c r="J48" s="528">
        <f ca="1">INDEX(OFFSET('SK-ratings-final'!$I$20,'SK-ranking'!J$1-19,0,1,80),1,$B48)</f>
        <v>0.47707057234159311</v>
      </c>
      <c r="K48" s="523">
        <f ca="1">INDEX(OFFSET('SK-ratings-final'!$I$20,'SK-ranking'!K$1-19,0,1,80),1,$B48)</f>
        <v>2.8002509303880312</v>
      </c>
      <c r="M48" s="528">
        <f ca="1">INDEX(OFFSET('SK-ratings-final'!$I$20,'SK-ranking'!M$1-19,0,1,80),1,$B48)</f>
        <v>5.5285219196480826</v>
      </c>
      <c r="N48" s="528">
        <f ca="1">INDEX(OFFSET('SK-ratings-final'!$I$20,'SK-ranking'!N$1-19,0,1,80),1,$B48)</f>
        <v>5.3260023145121966</v>
      </c>
      <c r="O48" s="528">
        <f ca="1">INDEX(OFFSET('SK-ratings-final'!$I$20,'SK-ranking'!O$1-19,0,1,80),1,$B48)</f>
        <v>6.3945025907922766</v>
      </c>
      <c r="P48" s="523">
        <f ca="1">INDEX(OFFSET('SK-ratings-final'!$I$20,'SK-ranking'!P$1-19,0,1,80),1,$B48)</f>
        <v>5.8344102670785833</v>
      </c>
      <c r="R48" s="528">
        <f ca="1">INDEX(OFFSET('SK-ratings-final'!$I$20,'SK-ranking'!R$1-19,0,1,80),1,$B48)</f>
        <v>3.1459845983799548</v>
      </c>
      <c r="S48" s="528">
        <f ca="1">INDEX(OFFSET('SK-ratings-final'!$I$20,'SK-ranking'!S$1-19,0,1,80),1,$B48)</f>
        <v>5.2292187374612826</v>
      </c>
      <c r="T48" s="523">
        <f ca="1">INDEX(OFFSET('SK-ratings-final'!$I$20,'SK-ranking'!T$1-19,0,1,80),1,$B48)</f>
        <v>4.1876016679206192</v>
      </c>
      <c r="V48" s="528">
        <f ca="1">INDEX(OFFSET('SK-ratings-final'!$I$20,'SK-ranking'!V$1-19,0,1,80),1,$B48)</f>
        <v>9.9313774559465333</v>
      </c>
      <c r="W48" s="528">
        <f ca="1">INDEX(OFFSET('SK-ratings-final'!$I$20,'SK-ranking'!W$1-19,0,1,80),1,$B48)</f>
        <v>3.9394970598948915</v>
      </c>
      <c r="X48" s="523">
        <f ca="1">INDEX(OFFSET('SK-ratings-final'!$I$20,'SK-ranking'!X$1-19,0,1,80),1,$B48)</f>
        <v>6.9354372579207135</v>
      </c>
      <c r="AA48" s="532">
        <f ca="1">INDEX(OFFSET('SK-ratios'!$AF$23,'SK-ranking'!AA$1-19,0,1,80),1,$B48)</f>
        <v>1.0957665895163087</v>
      </c>
      <c r="AB48" s="532">
        <f ca="1">INDEX(OFFSET('SK-ratios'!$AF$23,'SK-ranking'!AB$1-19,0,1,80),1,$B48)</f>
        <v>0.79176310461402077</v>
      </c>
      <c r="AC48" s="532">
        <f ca="1">INDEX(OFFSET('SK-ratios'!$AF$23,'SK-ranking'!AC$1-19,0,1,80),1,$B48)</f>
        <v>2.7508862686205397E-2</v>
      </c>
      <c r="AD48" s="456"/>
      <c r="AE48" s="456">
        <f ca="1">INDEX(OFFSET('SK-ratios'!$AF$23,'SK-ranking'!AE$1-19,0,1,80),1,$B48)</f>
        <v>1.4636340026406099E-3</v>
      </c>
      <c r="AF48" s="456">
        <f ca="1">INDEX(OFFSET('SK-ratios'!$AF$23,'SK-ranking'!AF$1-19,0,1,80),1,$B48)</f>
        <v>1.8708503377069911E-3</v>
      </c>
      <c r="AG48" s="456">
        <f ca="1">INDEX(OFFSET('SK-ratios'!$AF$23,'SK-ranking'!AG$1-19,0,1,80),1,$B48)</f>
        <v>7.7098934643248258E-3</v>
      </c>
      <c r="AI48" s="456">
        <f ca="1">INDEX(OFFSET('SK-ratios'!$AF$23,'SK-ranking'!AI$1-19,0,1,80),1,$B48)</f>
        <v>0.10426969063219239</v>
      </c>
      <c r="AJ48" s="456">
        <f ca="1">INDEX(OFFSET('SK-ratios'!$AF$23,'SK-ranking'!AJ$1-19,0,1,80),1,$B48)</f>
        <v>6.2460781310247571</v>
      </c>
      <c r="AL48" s="456">
        <f ca="1">INDEX(OFFSET('SK-ratios'!$AF$23,'SK-ranking'!AL$1-19,0,1,80),1,$B48)</f>
        <v>76.211461112659791</v>
      </c>
      <c r="AM48" s="456">
        <f ca="1">INDEX(OFFSET('SK-ratios'!$AF$23,'SK-ranking'!AM$1-19,0,1,80),1,$B48)</f>
        <v>9.5498478286543431</v>
      </c>
    </row>
    <row r="49" spans="1:39" x14ac:dyDescent="0.25">
      <c r="A49" s="307">
        <v>38</v>
      </c>
      <c r="B49" s="525">
        <f>MATCH(C49,'SK-ratings-final'!I$2:CJ$2,0)</f>
        <v>18</v>
      </c>
      <c r="C49" s="307" t="str">
        <f>INDEX('SK-ratings-final'!$I$2:$CJ$2,MATCH('SK-ranking'!F49,'SK-ratings-final'!$I$35:$CJ$35,0))</f>
        <v>HOREZZA, a.s.</v>
      </c>
      <c r="D49" s="307" t="str">
        <f>INDEX('SK-info'!C$2:C$81,MATCH('SK-ranking'!C49,'SK-info'!B$2:B$81,0))</f>
        <v>state</v>
      </c>
      <c r="E49" s="323" t="s">
        <v>400</v>
      </c>
      <c r="F49" s="523">
        <f t="array" ref="F49">LARGE(IF('SK-ratings-final'!I$3:CJ$3="state",'SK-ratings-final'!$I$35:$CJ$35),'SK-ranking'!A49)</f>
        <v>4.7753750117491425</v>
      </c>
      <c r="H49" s="528">
        <f ca="1">INDEX(OFFSET('SK-ratings-final'!$I$20,'SK-ranking'!H$1-19,0,1,80),1,$B49)</f>
        <v>4.7897909340247349</v>
      </c>
      <c r="I49" s="528">
        <f ca="1">INDEX(OFFSET('SK-ratings-final'!$I$20,'SK-ranking'!I$1-19,0,1,80),1,$B49)</f>
        <v>4.8966579605019831</v>
      </c>
      <c r="J49" s="528">
        <f ca="1">INDEX(OFFSET('SK-ratings-final'!$I$20,'SK-ranking'!J$1-19,0,1,80),1,$B49)</f>
        <v>4.5312866811585719</v>
      </c>
      <c r="K49" s="523">
        <f ca="1">INDEX(OFFSET('SK-ratings-final'!$I$20,'SK-ranking'!K$1-19,0,1,80),1,$B49)</f>
        <v>4.7392451918950957</v>
      </c>
      <c r="M49" s="528">
        <f ca="1">INDEX(OFFSET('SK-ratings-final'!$I$20,'SK-ranking'!M$1-19,0,1,80),1,$B49)</f>
        <v>5.2013640741181053</v>
      </c>
      <c r="N49" s="528">
        <f ca="1">INDEX(OFFSET('SK-ratings-final'!$I$20,'SK-ranking'!N$1-19,0,1,80),1,$B49)</f>
        <v>5.1214694470768736</v>
      </c>
      <c r="O49" s="528">
        <f ca="1">INDEX(OFFSET('SK-ratings-final'!$I$20,'SK-ranking'!O$1-19,0,1,80),1,$B49)</f>
        <v>4.9240246283523108</v>
      </c>
      <c r="P49" s="523">
        <f ca="1">INDEX(OFFSET('SK-ratings-final'!$I$20,'SK-ranking'!P$1-19,0,1,80),1,$B49)</f>
        <v>5.0744493704035412</v>
      </c>
      <c r="R49" s="528">
        <f ca="1">INDEX(OFFSET('SK-ratings-final'!$I$20,'SK-ranking'!R$1-19,0,1,80),1,$B49)</f>
        <v>4.3519909125620329</v>
      </c>
      <c r="S49" s="528">
        <f ca="1">INDEX(OFFSET('SK-ratings-final'!$I$20,'SK-ranking'!S$1-19,0,1,80),1,$B49)</f>
        <v>2.1311289816425552</v>
      </c>
      <c r="T49" s="523">
        <f ca="1">INDEX(OFFSET('SK-ratings-final'!$I$20,'SK-ranking'!T$1-19,0,1,80),1,$B49)</f>
        <v>3.2415599471022944</v>
      </c>
      <c r="V49" s="528">
        <f ca="1">INDEX(OFFSET('SK-ratings-final'!$I$20,'SK-ranking'!V$1-19,0,1,80),1,$B49)</f>
        <v>8.4410284055249214</v>
      </c>
      <c r="W49" s="528">
        <f ca="1">INDEX(OFFSET('SK-ratings-final'!$I$20,'SK-ranking'!W$1-19,0,1,80),1,$B49)</f>
        <v>5.0538054649130357</v>
      </c>
      <c r="X49" s="523">
        <f ca="1">INDEX(OFFSET('SK-ratings-final'!$I$20,'SK-ranking'!X$1-19,0,1,80),1,$B49)</f>
        <v>6.747416935218979</v>
      </c>
      <c r="AA49" s="532">
        <f ca="1">INDEX(OFFSET('SK-ratios'!$AF$23,'SK-ranking'!AA$1-19,0,1,80),1,$B49)</f>
        <v>1.2441941535556627</v>
      </c>
      <c r="AB49" s="532">
        <f ca="1">INDEX(OFFSET('SK-ratios'!$AF$23,'SK-ranking'!AB$1-19,0,1,80),1,$B49)</f>
        <v>1.1082877077925353</v>
      </c>
      <c r="AC49" s="532">
        <f ca="1">INDEX(OFFSET('SK-ratios'!$AF$23,'SK-ranking'!AC$1-19,0,1,80),1,$B49)</f>
        <v>0.65481358873204176</v>
      </c>
      <c r="AD49" s="456"/>
      <c r="AE49" s="456">
        <f ca="1">INDEX(OFFSET('SK-ratios'!$AF$23,'SK-ranking'!AE$1-19,0,1,80),1,$B49)</f>
        <v>-6.247638927456777E-3</v>
      </c>
      <c r="AF49" s="456">
        <f ca="1">INDEX(OFFSET('SK-ratios'!$AF$23,'SK-ranking'!AF$1-19,0,1,80),1,$B49)</f>
        <v>-6.6439282887793983E-3</v>
      </c>
      <c r="AG49" s="456">
        <f ca="1">INDEX(OFFSET('SK-ratios'!$AF$23,'SK-ranking'!AG$1-19,0,1,80),1,$B49)</f>
        <v>-2.3052394902301682E-2</v>
      </c>
      <c r="AI49" s="456">
        <f ca="1">INDEX(OFFSET('SK-ratios'!$AF$23,'SK-ranking'!AI$1-19,0,1,80),1,$B49)</f>
        <v>5.9586600551850076E-2</v>
      </c>
      <c r="AJ49" s="456">
        <f ca="1">INDEX(OFFSET('SK-ratios'!$AF$23,'SK-ranking'!AJ$1-19,0,1,80),1,$B49)</f>
        <v>-9.2033957363236087</v>
      </c>
      <c r="AL49" s="456">
        <f ca="1">INDEX(OFFSET('SK-ratios'!$AF$23,'SK-ranking'!AL$1-19,0,1,80),1,$B49)</f>
        <v>37.635832223796541</v>
      </c>
      <c r="AM49" s="456">
        <f ca="1">INDEX(OFFSET('SK-ratios'!$AF$23,'SK-ranking'!AM$1-19,0,1,80),1,$B49)</f>
        <v>20.266757918387221</v>
      </c>
    </row>
    <row r="50" spans="1:39" x14ac:dyDescent="0.25">
      <c r="A50" s="307">
        <v>39</v>
      </c>
      <c r="B50" s="525">
        <f>MATCH(C50,'SK-ratings-final'!I$2:CJ$2,0)</f>
        <v>35</v>
      </c>
      <c r="C50" s="307" t="str">
        <f>INDEX('SK-ratings-final'!$I$2:$CJ$2,MATCH('SK-ranking'!F50,'SK-ratings-final'!$I$35:$CJ$35,0))</f>
        <v>Národná diaľničná spoločnosť, a.s.</v>
      </c>
      <c r="D50" s="307" t="str">
        <f>INDEX('SK-info'!C$2:C$81,MATCH('SK-ranking'!C50,'SK-info'!B$2:B$81,0))</f>
        <v>state</v>
      </c>
      <c r="E50" s="323" t="s">
        <v>400</v>
      </c>
      <c r="F50" s="523">
        <f t="array" ref="F50">LARGE(IF('SK-ratings-final'!I$3:CJ$3="state",'SK-ratings-final'!$I$35:$CJ$35),'SK-ranking'!A50)</f>
        <v>4.717880758780435</v>
      </c>
      <c r="H50" s="528">
        <f ca="1">INDEX(OFFSET('SK-ratings-final'!$I$20,'SK-ranking'!H$1-19,0,1,80),1,$B50)</f>
        <v>4.9791494427201055</v>
      </c>
      <c r="I50" s="528">
        <f ca="1">INDEX(OFFSET('SK-ratings-final'!$I$20,'SK-ranking'!I$1-19,0,1,80),1,$B50)</f>
        <v>5.1403854609628876</v>
      </c>
      <c r="J50" s="528">
        <f ca="1">INDEX(OFFSET('SK-ratings-final'!$I$20,'SK-ranking'!J$1-19,0,1,80),1,$B50)</f>
        <v>1.9302550771997666</v>
      </c>
      <c r="K50" s="523">
        <f ca="1">INDEX(OFFSET('SK-ratings-final'!$I$20,'SK-ranking'!K$1-19,0,1,80),1,$B50)</f>
        <v>4.0165966602942529</v>
      </c>
      <c r="M50" s="528">
        <f ca="1">INDEX(OFFSET('SK-ratings-final'!$I$20,'SK-ranking'!M$1-19,0,1,80),1,$B50)</f>
        <v>5.740769213150382</v>
      </c>
      <c r="N50" s="528">
        <f ca="1">INDEX(OFFSET('SK-ratings-final'!$I$20,'SK-ranking'!N$1-19,0,1,80),1,$B50)</f>
        <v>5.7609110328341115</v>
      </c>
      <c r="O50" s="528">
        <f ca="1">INDEX(OFFSET('SK-ratings-final'!$I$20,'SK-ranking'!O$1-19,0,1,80),1,$B50)</f>
        <v>8.9509937395309809</v>
      </c>
      <c r="P50" s="523">
        <f ca="1">INDEX(OFFSET('SK-ratings-final'!$I$20,'SK-ranking'!P$1-19,0,1,80),1,$B50)</f>
        <v>7.0288873876393678</v>
      </c>
      <c r="R50" s="528">
        <f ca="1">INDEX(OFFSET('SK-ratings-final'!$I$20,'SK-ranking'!R$1-19,0,1,80),1,$B50)</f>
        <v>4.108031271240951</v>
      </c>
      <c r="S50" s="528">
        <f ca="1">INDEX(OFFSET('SK-ratings-final'!$I$20,'SK-ranking'!S$1-19,0,1,80),1,$B50)</f>
        <v>5.7755364788698795</v>
      </c>
      <c r="T50" s="523">
        <f ca="1">INDEX(OFFSET('SK-ratings-final'!$I$20,'SK-ranking'!T$1-19,0,1,80),1,$B50)</f>
        <v>4.9417838750554157</v>
      </c>
      <c r="V50" s="528">
        <f ca="1">INDEX(OFFSET('SK-ratings-final'!$I$20,'SK-ranking'!V$1-19,0,1,80),1,$B50)</f>
        <v>3.1600894022552972</v>
      </c>
      <c r="W50" s="528">
        <f ca="1">INDEX(OFFSET('SK-ratings-final'!$I$20,'SK-ranking'!W$1-19,0,1,80),1,$B50)</f>
        <v>1.5796564405487605</v>
      </c>
      <c r="X50" s="523">
        <f ca="1">INDEX(OFFSET('SK-ratings-final'!$I$20,'SK-ranking'!X$1-19,0,1,80),1,$B50)</f>
        <v>2.3698729214020289</v>
      </c>
      <c r="AA50" s="532">
        <f ca="1">INDEX(OFFSET('SK-ratios'!$AF$23,'SK-ranking'!AA$1-19,0,1,80),1,$B50)</f>
        <v>3.4491916859122402</v>
      </c>
      <c r="AB50" s="532">
        <f ca="1">INDEX(OFFSET('SK-ratios'!$AF$23,'SK-ranking'!AB$1-19,0,1,80),1,$B50)</f>
        <v>3.4200612582510277</v>
      </c>
      <c r="AC50" s="532">
        <f ca="1">INDEX(OFFSET('SK-ratios'!$AF$23,'SK-ranking'!AC$1-19,0,1,80),1,$B50)</f>
        <v>0.25676051954858892</v>
      </c>
      <c r="AD50" s="456"/>
      <c r="AE50" s="456">
        <f ca="1">INDEX(OFFSET('SK-ratios'!$AF$23,'SK-ranking'!AE$1-19,0,1,80),1,$B50)</f>
        <v>3.2429654835543858E-3</v>
      </c>
      <c r="AF50" s="456">
        <f ca="1">INDEX(OFFSET('SK-ratios'!$AF$23,'SK-ranking'!AF$1-19,0,1,80),1,$B50)</f>
        <v>7.5336046601950039E-3</v>
      </c>
      <c r="AG50" s="456">
        <f ca="1">INDEX(OFFSET('SK-ratios'!$AF$23,'SK-ranking'!AG$1-19,0,1,80),1,$B50)</f>
        <v>8.4414574472539763E-2</v>
      </c>
      <c r="AI50" s="456">
        <f ca="1">INDEX(OFFSET('SK-ratios'!$AF$23,'SK-ranking'!AI$1-19,0,1,80),1,$B50)</f>
        <v>6.2217182741673781E-2</v>
      </c>
      <c r="AJ50" s="456">
        <f ca="1">INDEX(OFFSET('SK-ratios'!$AF$23,'SK-ranking'!AJ$1-19,0,1,80),1,$B50)</f>
        <v>3.9414890519450267</v>
      </c>
      <c r="AL50" s="456">
        <f ca="1">INDEX(OFFSET('SK-ratios'!$AF$23,'SK-ranking'!AL$1-19,0,1,80),1,$B50)</f>
        <v>1.1179554741157351</v>
      </c>
      <c r="AM50" s="456">
        <f ca="1">INDEX(OFFSET('SK-ratios'!$AF$23,'SK-ranking'!AM$1-19,0,1,80),1,$B50)</f>
        <v>0.86558207208653282</v>
      </c>
    </row>
    <row r="51" spans="1:39" x14ac:dyDescent="0.25">
      <c r="A51" s="307">
        <v>40</v>
      </c>
      <c r="B51" s="525">
        <f>MATCH(C51,'SK-ratings-final'!I$2:CJ$2,0)</f>
        <v>70</v>
      </c>
      <c r="C51" s="307" t="str">
        <f>INDEX('SK-ratings-final'!$I$2:$CJ$2,MATCH('SK-ranking'!F51,'SK-ratings-final'!$I$35:$CJ$35,0))</f>
        <v>Vodohospodárska výstavba, š.p.</v>
      </c>
      <c r="D51" s="307" t="str">
        <f>INDEX('SK-info'!C$2:C$81,MATCH('SK-ranking'!C51,'SK-info'!B$2:B$81,0))</f>
        <v>state</v>
      </c>
      <c r="E51" s="323" t="s">
        <v>400</v>
      </c>
      <c r="F51" s="523">
        <f t="array" ref="F51">LARGE(IF('SK-ratings-final'!I$3:CJ$3="state",'SK-ratings-final'!$I$35:$CJ$35),'SK-ranking'!A51)</f>
        <v>4.4061118830655195</v>
      </c>
      <c r="H51" s="528">
        <f ca="1">INDEX(OFFSET('SK-ratings-final'!$I$20,'SK-ranking'!H$1-19,0,1,80),1,$B51)</f>
        <v>7.8763682952463148</v>
      </c>
      <c r="I51" s="528">
        <f ca="1">INDEX(OFFSET('SK-ratings-final'!$I$20,'SK-ranking'!I$1-19,0,1,80),1,$B51)</f>
        <v>8.0641521685586586</v>
      </c>
      <c r="J51" s="528">
        <f ca="1">INDEX(OFFSET('SK-ratings-final'!$I$20,'SK-ranking'!J$1-19,0,1,80),1,$B51)</f>
        <v>6.9614947962701823</v>
      </c>
      <c r="K51" s="523">
        <f ca="1">INDEX(OFFSET('SK-ratings-final'!$I$20,'SK-ranking'!K$1-19,0,1,80),1,$B51)</f>
        <v>7.6340050866917188</v>
      </c>
      <c r="M51" s="528">
        <f ca="1">INDEX(OFFSET('SK-ratings-final'!$I$20,'SK-ranking'!M$1-19,0,1,80),1,$B51)</f>
        <v>5.2337247625981211</v>
      </c>
      <c r="N51" s="528">
        <f ca="1">INDEX(OFFSET('SK-ratings-final'!$I$20,'SK-ranking'!N$1-19,0,1,80),1,$B51)</f>
        <v>5.2993008221509497</v>
      </c>
      <c r="O51" s="528">
        <f ca="1">INDEX(OFFSET('SK-ratings-final'!$I$20,'SK-ranking'!O$1-19,0,1,80),1,$B51)</f>
        <v>6.5060883845778932</v>
      </c>
      <c r="P51" s="523">
        <f ca="1">INDEX(OFFSET('SK-ratings-final'!$I$20,'SK-ranking'!P$1-19,0,1,80),1,$B51)</f>
        <v>5.7557854233005958</v>
      </c>
      <c r="R51" s="528">
        <f ca="1">INDEX(OFFSET('SK-ratings-final'!$I$20,'SK-ranking'!R$1-19,0,1,80),1,$B51)</f>
        <v>6.94869902652656E-2</v>
      </c>
      <c r="S51" s="528">
        <f ca="1">INDEX(OFFSET('SK-ratings-final'!$I$20,'SK-ranking'!S$1-19,0,1,80),1,$B51)</f>
        <v>3.9155510494884385</v>
      </c>
      <c r="T51" s="523">
        <f ca="1">INDEX(OFFSET('SK-ratings-final'!$I$20,'SK-ranking'!T$1-19,0,1,80),1,$B51)</f>
        <v>1.9925190198768521</v>
      </c>
      <c r="V51" s="528">
        <f ca="1">INDEX(OFFSET('SK-ratings-final'!$I$20,'SK-ranking'!V$1-19,0,1,80),1,$B51)</f>
        <v>2.8361998620397775</v>
      </c>
      <c r="W51" s="528">
        <f ca="1">INDEX(OFFSET('SK-ratings-final'!$I$20,'SK-ranking'!W$1-19,0,1,80),1,$B51)</f>
        <v>1.7728856340040688</v>
      </c>
      <c r="X51" s="523">
        <f ca="1">INDEX(OFFSET('SK-ratings-final'!$I$20,'SK-ranking'!X$1-19,0,1,80),1,$B51)</f>
        <v>2.3045427480219232</v>
      </c>
      <c r="AA51" s="532">
        <f ca="1">INDEX(OFFSET('SK-ratios'!$AF$23,'SK-ranking'!AA$1-19,0,1,80),1,$B51)</f>
        <v>13.923141044090027</v>
      </c>
      <c r="AB51" s="532">
        <f ca="1">INDEX(OFFSET('SK-ratios'!$AF$23,'SK-ranking'!AB$1-19,0,1,80),1,$B51)</f>
        <v>13.85700062011469</v>
      </c>
      <c r="AC51" s="532">
        <f ca="1">INDEX(OFFSET('SK-ratios'!$AF$23,'SK-ranking'!AC$1-19,0,1,80),1,$B51)</f>
        <v>4.3723276257067418</v>
      </c>
      <c r="AD51" s="456"/>
      <c r="AE51" s="456">
        <f ca="1">INDEX(OFFSET('SK-ratios'!$AF$23,'SK-ranking'!AE$1-19,0,1,80),1,$B51)</f>
        <v>9.0423528495985137E-4</v>
      </c>
      <c r="AF51" s="456">
        <f ca="1">INDEX(OFFSET('SK-ratios'!$AF$23,'SK-ranking'!AF$1-19,0,1,80),1,$B51)</f>
        <v>2.6855928734572099E-3</v>
      </c>
      <c r="AG51" s="456">
        <f ca="1">INDEX(OFFSET('SK-ratios'!$AF$23,'SK-ranking'!AG$1-19,0,1,80),1,$B51)</f>
        <v>1.3363102678401882E-2</v>
      </c>
      <c r="AI51" s="456">
        <f ca="1">INDEX(OFFSET('SK-ratios'!$AF$23,'SK-ranking'!AI$1-19,0,1,80),1,$B51)</f>
        <v>0.36186858312376591</v>
      </c>
      <c r="AJ51" s="456">
        <f ca="1">INDEX(OFFSET('SK-ratios'!$AF$23,'SK-ranking'!AJ$1-19,0,1,80),1,$B51)</f>
        <v>11.69364177095926</v>
      </c>
      <c r="AL51" s="456">
        <f ca="1">INDEX(OFFSET('SK-ratios'!$AF$23,'SK-ranking'!AL$1-19,0,1,80),1,$B51)</f>
        <v>0.55751186602731251</v>
      </c>
      <c r="AM51" s="456">
        <f ca="1">INDEX(OFFSET('SK-ratios'!$AF$23,'SK-ranking'!AM$1-19,0,1,80),1,$B51)</f>
        <v>0.8083975417673942</v>
      </c>
    </row>
    <row r="52" spans="1:39" x14ac:dyDescent="0.25">
      <c r="A52" s="307">
        <v>41</v>
      </c>
      <c r="B52" s="525">
        <f>MATCH(C52,'SK-ratings-final'!I$2:CJ$2,0)</f>
        <v>77</v>
      </c>
      <c r="C52" s="307" t="str">
        <f>INDEX('SK-ratings-final'!$I$2:$CJ$2,MATCH('SK-ranking'!F52,'SK-ratings-final'!$I$35:$CJ$35,0))</f>
        <v>Závodisko, š.p.</v>
      </c>
      <c r="D52" s="307" t="str">
        <f>INDEX('SK-info'!C$2:C$81,MATCH('SK-ranking'!C52,'SK-info'!B$2:B$81,0))</f>
        <v>state</v>
      </c>
      <c r="E52" s="323" t="s">
        <v>400</v>
      </c>
      <c r="F52" s="523">
        <f t="array" ref="F52">LARGE(IF('SK-ratings-final'!I$3:CJ$3="state",'SK-ratings-final'!$I$35:$CJ$35),'SK-ranking'!A52)</f>
        <v>4.0237577930435471</v>
      </c>
      <c r="H52" s="528">
        <f ca="1">INDEX(OFFSET('SK-ratings-final'!$I$20,'SK-ranking'!H$1-19,0,1,80),1,$B52)</f>
        <v>4.6699872474510338</v>
      </c>
      <c r="I52" s="528">
        <f ca="1">INDEX(OFFSET('SK-ratings-final'!$I$20,'SK-ranking'!I$1-19,0,1,80),1,$B52)</f>
        <v>4.9254302005383384</v>
      </c>
      <c r="J52" s="528">
        <f ca="1">INDEX(OFFSET('SK-ratings-final'!$I$20,'SK-ranking'!J$1-19,0,1,80),1,$B52)</f>
        <v>5.7654792459842827</v>
      </c>
      <c r="K52" s="523">
        <f ca="1">INDEX(OFFSET('SK-ratings-final'!$I$20,'SK-ranking'!K$1-19,0,1,80),1,$B52)</f>
        <v>5.1202988979912183</v>
      </c>
      <c r="M52" s="528">
        <f ca="1">INDEX(OFFSET('SK-ratings-final'!$I$20,'SK-ranking'!M$1-19,0,1,80),1,$B52)</f>
        <v>3.4716718133266764</v>
      </c>
      <c r="N52" s="528">
        <f ca="1">INDEX(OFFSET('SK-ratings-final'!$I$20,'SK-ranking'!N$1-19,0,1,80),1,$B52)</f>
        <v>3.6318411272933631</v>
      </c>
      <c r="O52" s="528">
        <f ca="1">INDEX(OFFSET('SK-ratings-final'!$I$20,'SK-ranking'!O$1-19,0,1,80),1,$B52)</f>
        <v>2.4357837512824809</v>
      </c>
      <c r="P52" s="523">
        <f ca="1">INDEX(OFFSET('SK-ratings-final'!$I$20,'SK-ranking'!P$1-19,0,1,80),1,$B52)</f>
        <v>3.0893504513023355</v>
      </c>
      <c r="R52" s="528">
        <f ca="1">INDEX(OFFSET('SK-ratings-final'!$I$20,'SK-ranking'!R$1-19,0,1,80),1,$B52)</f>
        <v>2.7826440042081058</v>
      </c>
      <c r="S52" s="528">
        <f ca="1">INDEX(OFFSET('SK-ratings-final'!$I$20,'SK-ranking'!S$1-19,0,1,80),1,$B52)</f>
        <v>3.6350511310122888</v>
      </c>
      <c r="T52" s="523">
        <f ca="1">INDEX(OFFSET('SK-ratings-final'!$I$20,'SK-ranking'!T$1-19,0,1,80),1,$B52)</f>
        <v>3.2088475676101975</v>
      </c>
      <c r="V52" s="528">
        <f ca="1">INDEX(OFFSET('SK-ratings-final'!$I$20,'SK-ranking'!V$1-19,0,1,80),1,$B52)</f>
        <v>4.570136283790255</v>
      </c>
      <c r="W52" s="528">
        <f ca="1">INDEX(OFFSET('SK-ratings-final'!$I$20,'SK-ranking'!W$1-19,0,1,80),1,$B52)</f>
        <v>5.5167755705807417</v>
      </c>
      <c r="X52" s="523">
        <f ca="1">INDEX(OFFSET('SK-ratings-final'!$I$20,'SK-ranking'!X$1-19,0,1,80),1,$B52)</f>
        <v>5.043455927185498</v>
      </c>
      <c r="AA52" s="532">
        <f ca="1">INDEX(OFFSET('SK-ratios'!$AF$23,'SK-ranking'!AA$1-19,0,1,80),1,$B52)</f>
        <v>1.3897332815190782</v>
      </c>
      <c r="AB52" s="532">
        <f ca="1">INDEX(OFFSET('SK-ratios'!$AF$23,'SK-ranking'!AB$1-19,0,1,80),1,$B52)</f>
        <v>1.3590136091324598</v>
      </c>
      <c r="AC52" s="532">
        <f ca="1">INDEX(OFFSET('SK-ratios'!$AF$23,'SK-ranking'!AC$1-19,0,1,80),1,$B52)</f>
        <v>1.2805978628592394</v>
      </c>
      <c r="AD52" s="456"/>
      <c r="AE52" s="456">
        <f ca="1">INDEX(OFFSET('SK-ratios'!$AF$23,'SK-ranking'!AE$1-19,0,1,80),1,$B52)</f>
        <v>-3.0622998047361391E-2</v>
      </c>
      <c r="AF52" s="456">
        <f ca="1">INDEX(OFFSET('SK-ratios'!$AF$23,'SK-ranking'!AF$1-19,0,1,80),1,$B52)</f>
        <v>-4.9935272379192423E-2</v>
      </c>
      <c r="AG52" s="456">
        <f ca="1">INDEX(OFFSET('SK-ratios'!$AF$23,'SK-ranking'!AG$1-19,0,1,80),1,$B52)</f>
        <v>-0.18801032562704006</v>
      </c>
      <c r="AI52" s="456">
        <f ca="1">INDEX(OFFSET('SK-ratios'!$AF$23,'SK-ranking'!AI$1-19,0,1,80),1,$B52)</f>
        <v>0.12281747056737252</v>
      </c>
      <c r="AJ52" s="456">
        <f ca="1">INDEX(OFFSET('SK-ratios'!$AF$23,'SK-ranking'!AJ$1-19,0,1,80),1,$B52)</f>
        <v>-9.6359323882224643</v>
      </c>
      <c r="AL52" s="456">
        <f ca="1">INDEX(OFFSET('SK-ratios'!$AF$23,'SK-ranking'!AL$1-19,0,1,80),1,$B52)</f>
        <v>3.5587459698032604</v>
      </c>
      <c r="AM52" s="456">
        <f ca="1">INDEX(OFFSET('SK-ratios'!$AF$23,'SK-ranking'!AM$1-19,0,1,80),1,$B52)</f>
        <v>17.687286174280541</v>
      </c>
    </row>
    <row r="53" spans="1:39" x14ac:dyDescent="0.25">
      <c r="A53" s="307">
        <v>42</v>
      </c>
      <c r="B53" s="525">
        <f>MATCH(C53,'SK-ratings-final'!I$2:CJ$2,0)</f>
        <v>53</v>
      </c>
      <c r="C53" s="307" t="str">
        <f>INDEX('SK-ratings-final'!$I$2:$CJ$2,MATCH('SK-ranking'!F53,'SK-ratings-final'!$I$35:$CJ$35,0))</f>
        <v>Slovenská pošta, a.s.</v>
      </c>
      <c r="D53" s="307" t="str">
        <f>INDEX('SK-info'!C$2:C$81,MATCH('SK-ranking'!C53,'SK-info'!B$2:B$81,0))</f>
        <v>state</v>
      </c>
      <c r="E53" s="323" t="s">
        <v>400</v>
      </c>
      <c r="F53" s="523">
        <f t="array" ref="F53">LARGE(IF('SK-ratings-final'!I$3:CJ$3="state",'SK-ratings-final'!$I$35:$CJ$35),'SK-ranking'!A53)</f>
        <v>3.8674089035258454</v>
      </c>
      <c r="H53" s="528">
        <f ca="1">INDEX(OFFSET('SK-ratings-final'!$I$20,'SK-ranking'!H$1-19,0,1,80),1,$B53)</f>
        <v>4.2492461321577988</v>
      </c>
      <c r="I53" s="528">
        <f ca="1">INDEX(OFFSET('SK-ratings-final'!$I$20,'SK-ranking'!I$1-19,0,1,80),1,$B53)</f>
        <v>4.4812448116971257</v>
      </c>
      <c r="J53" s="528">
        <f ca="1">INDEX(OFFSET('SK-ratings-final'!$I$20,'SK-ranking'!J$1-19,0,1,80),1,$B53)</f>
        <v>4.5937324846585303</v>
      </c>
      <c r="K53" s="523">
        <f ca="1">INDEX(OFFSET('SK-ratings-final'!$I$20,'SK-ranking'!K$1-19,0,1,80),1,$B53)</f>
        <v>4.4414078095044847</v>
      </c>
      <c r="M53" s="528">
        <f ca="1">INDEX(OFFSET('SK-ratings-final'!$I$20,'SK-ranking'!M$1-19,0,1,80),1,$B53)</f>
        <v>6.0669803465989398</v>
      </c>
      <c r="N53" s="528">
        <f ca="1">INDEX(OFFSET('SK-ratings-final'!$I$20,'SK-ranking'!N$1-19,0,1,80),1,$B53)</f>
        <v>5.9577631416300187</v>
      </c>
      <c r="O53" s="528">
        <f ca="1">INDEX(OFFSET('SK-ratings-final'!$I$20,'SK-ranking'!O$1-19,0,1,80),1,$B53)</f>
        <v>6.0385833911572764</v>
      </c>
      <c r="P53" s="523">
        <f ca="1">INDEX(OFFSET('SK-ratings-final'!$I$20,'SK-ranking'!P$1-19,0,1,80),1,$B53)</f>
        <v>6.0337781234284904</v>
      </c>
      <c r="R53" s="528">
        <f ca="1">INDEX(OFFSET('SK-ratings-final'!$I$20,'SK-ranking'!R$1-19,0,1,80),1,$B53)</f>
        <v>0</v>
      </c>
      <c r="S53" s="528">
        <f ca="1">INDEX(OFFSET('SK-ratings-final'!$I$20,'SK-ranking'!S$1-19,0,1,80),1,$B53)</f>
        <v>1.5902794573144494</v>
      </c>
      <c r="T53" s="523">
        <f ca="1">INDEX(OFFSET('SK-ratings-final'!$I$20,'SK-ranking'!T$1-19,0,1,80),1,$B53)</f>
        <v>0.79513972865722471</v>
      </c>
      <c r="V53" s="528">
        <f ca="1">INDEX(OFFSET('SK-ratings-final'!$I$20,'SK-ranking'!V$1-19,0,1,80),1,$B53)</f>
        <v>7.4153740061036046</v>
      </c>
      <c r="W53" s="528">
        <f ca="1">INDEX(OFFSET('SK-ratings-final'!$I$20,'SK-ranking'!W$1-19,0,1,80),1,$B53)</f>
        <v>2.6853310108507378</v>
      </c>
      <c r="X53" s="523">
        <f ca="1">INDEX(OFFSET('SK-ratings-final'!$I$20,'SK-ranking'!X$1-19,0,1,80),1,$B53)</f>
        <v>5.0503525084771717</v>
      </c>
      <c r="AA53" s="532">
        <f ca="1">INDEX(OFFSET('SK-ratios'!$AF$23,'SK-ranking'!AA$1-19,0,1,80),1,$B53)</f>
        <v>1.1941872118661054</v>
      </c>
      <c r="AB53" s="532">
        <f ca="1">INDEX(OFFSET('SK-ratios'!$AF$23,'SK-ranking'!AB$1-19,0,1,80),1,$B53)</f>
        <v>1.1692590365470703</v>
      </c>
      <c r="AC53" s="532">
        <f ca="1">INDEX(OFFSET('SK-ratios'!$AF$23,'SK-ranking'!AC$1-19,0,1,80),1,$B53)</f>
        <v>0.74328188681766549</v>
      </c>
      <c r="AD53" s="456"/>
      <c r="AE53" s="456">
        <f ca="1">INDEX(OFFSET('SK-ratios'!$AF$23,'SK-ranking'!AE$1-19,0,1,80),1,$B53)</f>
        <v>5.2180847772631753E-3</v>
      </c>
      <c r="AF53" s="456">
        <f ca="1">INDEX(OFFSET('SK-ratios'!$AF$23,'SK-ranking'!AF$1-19,0,1,80),1,$B53)</f>
        <v>9.8101306724915661E-3</v>
      </c>
      <c r="AG53" s="456">
        <f ca="1">INDEX(OFFSET('SK-ratios'!$AF$23,'SK-ranking'!AG$1-19,0,1,80),1,$B53)</f>
        <v>7.2846982944784096E-3</v>
      </c>
      <c r="AI53" s="456">
        <f ca="1">INDEX(OFFSET('SK-ratios'!$AF$23,'SK-ranking'!AI$1-19,0,1,80),1,$B53)</f>
        <v>0.46809222512243137</v>
      </c>
      <c r="AJ53" s="456">
        <f ca="1">INDEX(OFFSET('SK-ratios'!$AF$23,'SK-ranking'!AJ$1-19,0,1,80),1,$B53)</f>
        <v>53.289851291416646</v>
      </c>
      <c r="AL53" s="456">
        <f ca="1">INDEX(OFFSET('SK-ratios'!$AF$23,'SK-ranking'!AL$1-19,0,1,80),1,$B53)</f>
        <v>10.588874961888953</v>
      </c>
      <c r="AM53" s="456">
        <f ca="1">INDEX(OFFSET('SK-ratios'!$AF$23,'SK-ranking'!AM$1-19,0,1,80),1,$B53)</f>
        <v>4.9026444569922827</v>
      </c>
    </row>
    <row r="54" spans="1:39" x14ac:dyDescent="0.25">
      <c r="A54" s="307">
        <v>43</v>
      </c>
      <c r="B54" s="525">
        <f>MATCH(C54,'SK-ratings-final'!I$2:CJ$2,0)</f>
        <v>19</v>
      </c>
      <c r="C54" s="307" t="str">
        <f>INDEX('SK-ratings-final'!$I$2:$CJ$2,MATCH('SK-ranking'!F54,'SK-ratings-final'!$I$35:$CJ$35,0))</f>
        <v>Hydromeliorácie, š.p.</v>
      </c>
      <c r="D54" s="307" t="str">
        <f>INDEX('SK-info'!C$2:C$81,MATCH('SK-ranking'!C54,'SK-info'!B$2:B$81,0))</f>
        <v>state</v>
      </c>
      <c r="E54" s="323" t="s">
        <v>400</v>
      </c>
      <c r="F54" s="523">
        <f t="array" ref="F54">LARGE(IF('SK-ratings-final'!I$3:CJ$3="state",'SK-ratings-final'!$I$35:$CJ$35),'SK-ranking'!A54)</f>
        <v>3.7640782743165486</v>
      </c>
      <c r="H54" s="528">
        <f ca="1">INDEX(OFFSET('SK-ratings-final'!$I$20,'SK-ranking'!H$1-19,0,1,80),1,$B54)</f>
        <v>5.7061698503386751</v>
      </c>
      <c r="I54" s="528">
        <f ca="1">INDEX(OFFSET('SK-ratings-final'!$I$20,'SK-ranking'!I$1-19,0,1,80),1,$B54)</f>
        <v>6.0163583122487525</v>
      </c>
      <c r="J54" s="528">
        <f ca="1">INDEX(OFFSET('SK-ratings-final'!$I$20,'SK-ranking'!J$1-19,0,1,80),1,$B54)</f>
        <v>5.7088890838312336</v>
      </c>
      <c r="K54" s="523">
        <f ca="1">INDEX(OFFSET('SK-ratings-final'!$I$20,'SK-ranking'!K$1-19,0,1,80),1,$B54)</f>
        <v>5.8104724154728871</v>
      </c>
      <c r="M54" s="528">
        <f ca="1">INDEX(OFFSET('SK-ratings-final'!$I$20,'SK-ranking'!M$1-19,0,1,80),1,$B54)</f>
        <v>0</v>
      </c>
      <c r="N54" s="528">
        <f ca="1">INDEX(OFFSET('SK-ratings-final'!$I$20,'SK-ranking'!N$1-19,0,1,80),1,$B54)</f>
        <v>1.0219355432903139</v>
      </c>
      <c r="O54" s="528">
        <f ca="1">INDEX(OFFSET('SK-ratings-final'!$I$20,'SK-ranking'!O$1-19,0,1,80),1,$B54)</f>
        <v>0</v>
      </c>
      <c r="P54" s="523">
        <f ca="1">INDEX(OFFSET('SK-ratings-final'!$I$20,'SK-ranking'!P$1-19,0,1,80),1,$B54)</f>
        <v>0.20438710865806278</v>
      </c>
      <c r="R54" s="528">
        <f ca="1">INDEX(OFFSET('SK-ratings-final'!$I$20,'SK-ranking'!R$1-19,0,1,80),1,$B54)</f>
        <v>5.8880909040747493</v>
      </c>
      <c r="S54" s="528">
        <f ca="1">INDEX(OFFSET('SK-ratings-final'!$I$20,'SK-ranking'!S$1-19,0,1,80),1,$B54)</f>
        <v>4.1378411495557517</v>
      </c>
      <c r="T54" s="523">
        <f ca="1">INDEX(OFFSET('SK-ratings-final'!$I$20,'SK-ranking'!T$1-19,0,1,80),1,$B54)</f>
        <v>5.0129660268152501</v>
      </c>
      <c r="V54" s="528">
        <f ca="1">INDEX(OFFSET('SK-ratings-final'!$I$20,'SK-ranking'!V$1-19,0,1,80),1,$B54)</f>
        <v>4.897777823665888</v>
      </c>
      <c r="W54" s="528">
        <f ca="1">INDEX(OFFSET('SK-ratings-final'!$I$20,'SK-ranking'!W$1-19,0,1,80),1,$B54)</f>
        <v>2.6669580287264778</v>
      </c>
      <c r="X54" s="523">
        <f ca="1">INDEX(OFFSET('SK-ratings-final'!$I$20,'SK-ranking'!X$1-19,0,1,80),1,$B54)</f>
        <v>3.7823679261961827</v>
      </c>
      <c r="AA54" s="532">
        <f ca="1">INDEX(OFFSET('SK-ratios'!$AF$23,'SK-ranking'!AA$1-19,0,1,80),1,$B54)</f>
        <v>1.7544998169997634</v>
      </c>
      <c r="AB54" s="532">
        <f ca="1">INDEX(OFFSET('SK-ratios'!$AF$23,'SK-ranking'!AB$1-19,0,1,80),1,$B54)</f>
        <v>1.6849826199853428</v>
      </c>
      <c r="AC54" s="532">
        <f ca="1">INDEX(OFFSET('SK-ratios'!$AF$23,'SK-ranking'!AC$1-19,0,1,80),1,$B54)</f>
        <v>1.0311355085990079</v>
      </c>
      <c r="AD54" s="456"/>
      <c r="AE54" s="456">
        <f ca="1">INDEX(OFFSET('SK-ratios'!$AF$23,'SK-ranking'!AE$1-19,0,1,80),1,$B54)</f>
        <v>-0.14143713683949652</v>
      </c>
      <c r="AF54" s="456">
        <f ca="1">INDEX(OFFSET('SK-ratios'!$AF$23,'SK-ranking'!AF$1-19,0,1,80),1,$B54)</f>
        <v>-0.15895119016989279</v>
      </c>
      <c r="AG54" s="456">
        <f ca="1">INDEX(OFFSET('SK-ratios'!$AF$23,'SK-ranking'!AG$1-19,0,1,80),1,$B54)</f>
        <v>-8.7325597057466684</v>
      </c>
      <c r="AI54" s="456">
        <f ca="1">INDEX(OFFSET('SK-ratios'!$AF$23,'SK-ranking'!AI$1-19,0,1,80),1,$B54)</f>
        <v>3.7181263344311558E-2</v>
      </c>
      <c r="AJ54" s="456">
        <f ca="1">INDEX(OFFSET('SK-ratios'!$AF$23,'SK-ranking'!AJ$1-19,0,1,80),1,$B54)</f>
        <v>-2.0779256636253973</v>
      </c>
      <c r="AL54" s="456">
        <f ca="1">INDEX(OFFSET('SK-ratios'!$AF$23,'SK-ranking'!AL$1-19,0,1,80),1,$B54)</f>
        <v>7.45766725087356</v>
      </c>
      <c r="AM54" s="456">
        <f ca="1">INDEX(OFFSET('SK-ratios'!$AF$23,'SK-ranking'!AM$1-19,0,1,80),1,$B54)</f>
        <v>8.605694631117748</v>
      </c>
    </row>
    <row r="55" spans="1:39" x14ac:dyDescent="0.25">
      <c r="A55" s="307">
        <v>44</v>
      </c>
      <c r="B55" s="525">
        <f>MATCH(C55,'SK-ratings-final'!I$2:CJ$2,0)</f>
        <v>73</v>
      </c>
      <c r="C55" s="307" t="str">
        <f>INDEX('SK-ratings-final'!$I$2:$CJ$2,MATCH('SK-ranking'!F55,'SK-ratings-final'!$I$35:$CJ$35,0))</f>
        <v>Východoslovenská energetika Holding, a.s.</v>
      </c>
      <c r="D55" s="307" t="str">
        <f>INDEX('SK-info'!C$2:C$81,MATCH('SK-ranking'!C55,'SK-info'!B$2:B$81,0))</f>
        <v>state</v>
      </c>
      <c r="E55" s="323" t="s">
        <v>400</v>
      </c>
      <c r="F55" s="523">
        <f t="array" ref="F55">LARGE(IF('SK-ratings-final'!I$3:CJ$3="state",'SK-ratings-final'!$I$35:$CJ$35),'SK-ranking'!A55)</f>
        <v>3.7290658656626423</v>
      </c>
      <c r="H55" s="528">
        <f ca="1">INDEX(OFFSET('SK-ratings-final'!$I$20,'SK-ranking'!H$1-19,0,1,80),1,$B55)</f>
        <v>0.63895044123978673</v>
      </c>
      <c r="I55" s="528">
        <f ca="1">INDEX(OFFSET('SK-ratings-final'!$I$20,'SK-ranking'!I$1-19,0,1,80),1,$B55)</f>
        <v>0.68621466160807565</v>
      </c>
      <c r="J55" s="528">
        <f ca="1">INDEX(OFFSET('SK-ratings-final'!$I$20,'SK-ranking'!J$1-19,0,1,80),1,$B55)</f>
        <v>0.95734885844450368</v>
      </c>
      <c r="K55" s="523">
        <f ca="1">INDEX(OFFSET('SK-ratings-final'!$I$20,'SK-ranking'!K$1-19,0,1,80),1,$B55)</f>
        <v>0.76083798709745531</v>
      </c>
      <c r="M55" s="528">
        <f ca="1">INDEX(OFFSET('SK-ratings-final'!$I$20,'SK-ranking'!M$1-19,0,1,80),1,$B55)</f>
        <v>8.2133131410421694</v>
      </c>
      <c r="N55" s="528">
        <f ca="1">INDEX(OFFSET('SK-ratings-final'!$I$20,'SK-ranking'!N$1-19,0,1,80),1,$B55)</f>
        <v>7.62669420979537</v>
      </c>
      <c r="O55" s="528">
        <f ca="1">INDEX(OFFSET('SK-ratings-final'!$I$20,'SK-ranking'!O$1-19,0,1,80),1,$B55)</f>
        <v>10</v>
      </c>
      <c r="P55" s="523">
        <f ca="1">INDEX(OFFSET('SK-ratings-final'!$I$20,'SK-ranking'!P$1-19,0,1,80),1,$B55)</f>
        <v>8.8106640983759412</v>
      </c>
      <c r="R55" s="528">
        <f ca="1">INDEX(OFFSET('SK-ratings-final'!$I$20,'SK-ranking'!R$1-19,0,1,80),1,$B55)</f>
        <v>0.52034086136187185</v>
      </c>
      <c r="S55" s="528">
        <f ca="1">INDEX(OFFSET('SK-ratings-final'!$I$20,'SK-ranking'!S$1-19,0,1,80),1,$B55)</f>
        <v>4.6552662748491045</v>
      </c>
      <c r="T55" s="523">
        <f ca="1">INDEX(OFFSET('SK-ratings-final'!$I$20,'SK-ranking'!T$1-19,0,1,80),1,$B55)</f>
        <v>2.5878035681054885</v>
      </c>
      <c r="V55" s="528">
        <f ca="1">INDEX(OFFSET('SK-ratings-final'!$I$20,'SK-ranking'!V$1-19,0,1,80),1,$B55)</f>
        <v>0.80774925582748669</v>
      </c>
      <c r="W55" s="528">
        <f ca="1">INDEX(OFFSET('SK-ratings-final'!$I$20,'SK-ranking'!W$1-19,0,1,80),1,$B55)</f>
        <v>4.7907434827989777</v>
      </c>
      <c r="X55" s="523">
        <f ca="1">INDEX(OFFSET('SK-ratings-final'!$I$20,'SK-ranking'!X$1-19,0,1,80),1,$B55)</f>
        <v>2.7992463693132321</v>
      </c>
      <c r="AA55" s="532">
        <f ca="1">INDEX(OFFSET('SK-ratios'!$AF$23,'SK-ranking'!AA$1-19,0,1,80),1,$B55)</f>
        <v>9.0838295488000612E-2</v>
      </c>
      <c r="AB55" s="532">
        <f ca="1">INDEX(OFFSET('SK-ratios'!$AF$23,'SK-ranking'!AB$1-19,0,1,80),1,$B55)</f>
        <v>9.0838295488000612E-2</v>
      </c>
      <c r="AC55" s="532">
        <f ca="1">INDEX(OFFSET('SK-ratios'!$AF$23,'SK-ranking'!AC$1-19,0,1,80),1,$B55)</f>
        <v>7.7048728833679969E-2</v>
      </c>
      <c r="AD55" s="456"/>
      <c r="AE55" s="456">
        <f ca="1">INDEX(OFFSET('SK-ratios'!$AF$23,'SK-ranking'!AE$1-19,0,1,80),1,$B55)</f>
        <v>4.5158126240449972E-2</v>
      </c>
      <c r="AF55" s="456">
        <f ca="1">INDEX(OFFSET('SK-ratios'!$AF$23,'SK-ranking'!AF$1-19,0,1,80),1,$B55)</f>
        <v>6.6847406869640177E-2</v>
      </c>
      <c r="AG55" s="456">
        <f ca="1">INDEX(OFFSET('SK-ratios'!$AF$23,'SK-ranking'!AG$1-19,0,1,80),1,$B55)</f>
        <v>1.7320708767215318</v>
      </c>
      <c r="AI55" s="456">
        <f ca="1">INDEX(OFFSET('SK-ratios'!$AF$23,'SK-ranking'!AI$1-19,0,1,80),1,$B55)</f>
        <v>0.32445956612029397</v>
      </c>
      <c r="AJ55" s="456">
        <f ca="1">INDEX(OFFSET('SK-ratios'!$AF$23,'SK-ranking'!AJ$1-19,0,1,80),1,$B55)</f>
        <v>7.1637783095255356</v>
      </c>
      <c r="AL55" s="456">
        <f ca="1">INDEX(OFFSET('SK-ratios'!$AF$23,'SK-ranking'!AL$1-19,0,1,80),1,$B55)</f>
        <v>-0.25222133968758276</v>
      </c>
      <c r="AM55" s="456">
        <f ca="1">INDEX(OFFSET('SK-ratios'!$AF$23,'SK-ranking'!AM$1-19,0,1,80),1,$B55)</f>
        <v>16.40220385674931</v>
      </c>
    </row>
    <row r="56" spans="1:39" x14ac:dyDescent="0.25">
      <c r="A56" s="307">
        <v>45</v>
      </c>
      <c r="B56" s="525">
        <f>MATCH(C56,'SK-ratings-final'!I$2:CJ$2,0)</f>
        <v>56</v>
      </c>
      <c r="C56" s="307" t="str">
        <f>INDEX('SK-ratings-final'!$I$2:$CJ$2,MATCH('SK-ranking'!F56,'SK-ratings-final'!$I$35:$CJ$35,0))</f>
        <v>Slovenský vodohospodársky podnik, š.p.</v>
      </c>
      <c r="D56" s="307" t="str">
        <f>INDEX('SK-info'!C$2:C$81,MATCH('SK-ranking'!C56,'SK-info'!B$2:B$81,0))</f>
        <v>state</v>
      </c>
      <c r="E56" s="323" t="s">
        <v>400</v>
      </c>
      <c r="F56" s="523">
        <f t="array" ref="F56">LARGE(IF('SK-ratings-final'!I$3:CJ$3="state",'SK-ratings-final'!$I$35:$CJ$35),'SK-ranking'!A56)</f>
        <v>3.7242177670452952</v>
      </c>
      <c r="H56" s="528">
        <f ca="1">INDEX(OFFSET('SK-ratings-final'!$I$20,'SK-ranking'!H$1-19,0,1,80),1,$B56)</f>
        <v>6.0180361514076015</v>
      </c>
      <c r="I56" s="528">
        <f ca="1">INDEX(OFFSET('SK-ratings-final'!$I$20,'SK-ranking'!I$1-19,0,1,80),1,$B56)</f>
        <v>6.1939862700140313</v>
      </c>
      <c r="J56" s="528">
        <f ca="1">INDEX(OFFSET('SK-ratings-final'!$I$20,'SK-ranking'!J$1-19,0,1,80),1,$B56)</f>
        <v>4.8290885538266553</v>
      </c>
      <c r="K56" s="523">
        <f ca="1">INDEX(OFFSET('SK-ratings-final'!$I$20,'SK-ranking'!K$1-19,0,1,80),1,$B56)</f>
        <v>5.6803703250827624</v>
      </c>
      <c r="M56" s="528">
        <f ca="1">INDEX(OFFSET('SK-ratings-final'!$I$20,'SK-ranking'!M$1-19,0,1,80),1,$B56)</f>
        <v>4.0359838275176489</v>
      </c>
      <c r="N56" s="528">
        <f ca="1">INDEX(OFFSET('SK-ratings-final'!$I$20,'SK-ranking'!N$1-19,0,1,80),1,$B56)</f>
        <v>4.2779981198208485</v>
      </c>
      <c r="O56" s="528">
        <f ca="1">INDEX(OFFSET('SK-ratings-final'!$I$20,'SK-ranking'!O$1-19,0,1,80),1,$B56)</f>
        <v>0.97709361750010726</v>
      </c>
      <c r="P56" s="523">
        <f ca="1">INDEX(OFFSET('SK-ratings-final'!$I$20,'SK-ranking'!P$1-19,0,1,80),1,$B56)</f>
        <v>2.8608306019712724</v>
      </c>
      <c r="R56" s="528">
        <f ca="1">INDEX(OFFSET('SK-ratings-final'!$I$20,'SK-ranking'!R$1-19,0,1,80),1,$B56)</f>
        <v>2.5536885548368171</v>
      </c>
      <c r="S56" s="528">
        <f ca="1">INDEX(OFFSET('SK-ratings-final'!$I$20,'SK-ranking'!S$1-19,0,1,80),1,$B56)</f>
        <v>4.4311926229536747</v>
      </c>
      <c r="T56" s="523">
        <f ca="1">INDEX(OFFSET('SK-ratings-final'!$I$20,'SK-ranking'!T$1-19,0,1,80),1,$B56)</f>
        <v>3.4924405888952466</v>
      </c>
      <c r="V56" s="528">
        <f ca="1">INDEX(OFFSET('SK-ratings-final'!$I$20,'SK-ranking'!V$1-19,0,1,80),1,$B56)</f>
        <v>3.7960309256813991</v>
      </c>
      <c r="W56" s="528">
        <f ca="1">INDEX(OFFSET('SK-ratings-final'!$I$20,'SK-ranking'!W$1-19,0,1,80),1,$B56)</f>
        <v>1.6158226604507249</v>
      </c>
      <c r="X56" s="523">
        <f ca="1">INDEX(OFFSET('SK-ratings-final'!$I$20,'SK-ranking'!X$1-19,0,1,80),1,$B56)</f>
        <v>2.7059267930660624</v>
      </c>
      <c r="AA56" s="532">
        <f ca="1">INDEX(OFFSET('SK-ratios'!$AF$23,'SK-ranking'!AA$1-19,0,1,80),1,$B56)</f>
        <v>2.5772341479804015</v>
      </c>
      <c r="AB56" s="532">
        <f ca="1">INDEX(OFFSET('SK-ratios'!$AF$23,'SK-ranking'!AB$1-19,0,1,80),1,$B56)</f>
        <v>2.389511772545144</v>
      </c>
      <c r="AC56" s="532">
        <f ca="1">INDEX(OFFSET('SK-ratios'!$AF$23,'SK-ranking'!AC$1-19,0,1,80),1,$B56)</f>
        <v>1.0383438253189361</v>
      </c>
      <c r="AD56" s="456"/>
      <c r="AE56" s="456">
        <f ca="1">INDEX(OFFSET('SK-ratios'!$AF$23,'SK-ranking'!AE$1-19,0,1,80),1,$B56)</f>
        <v>-5.6237328621082661E-3</v>
      </c>
      <c r="AF56" s="456">
        <f ca="1">INDEX(OFFSET('SK-ratios'!$AF$23,'SK-ranking'!AF$1-19,0,1,80),1,$B56)</f>
        <v>-8.497331519394323E-3</v>
      </c>
      <c r="AG56" s="456">
        <f ca="1">INDEX(OFFSET('SK-ratios'!$AF$23,'SK-ranking'!AG$1-19,0,1,80),1,$B56)</f>
        <v>-0.10355824647610501</v>
      </c>
      <c r="AI56" s="456">
        <f ca="1">INDEX(OFFSET('SK-ratios'!$AF$23,'SK-ranking'!AI$1-19,0,1,80),1,$B56)</f>
        <v>0.14004342836203634</v>
      </c>
      <c r="AJ56" s="456">
        <f ca="1">INDEX(OFFSET('SK-ratios'!$AF$23,'SK-ranking'!AJ$1-19,0,1,80),1,$B56)</f>
        <v>9.0679887343970034</v>
      </c>
      <c r="AL56" s="456">
        <f ca="1">INDEX(OFFSET('SK-ratios'!$AF$23,'SK-ranking'!AL$1-19,0,1,80),1,$B56)</f>
        <v>2.3927521020325648</v>
      </c>
      <c r="AM56" s="456">
        <f ca="1">INDEX(OFFSET('SK-ratios'!$AF$23,'SK-ranking'!AM$1-19,0,1,80),1,$B56)</f>
        <v>2.7943806887784897</v>
      </c>
    </row>
    <row r="57" spans="1:39" x14ac:dyDescent="0.25">
      <c r="A57" s="307">
        <v>46</v>
      </c>
      <c r="B57" s="525">
        <f>MATCH(C57,'SK-ratings-final'!I$2:CJ$2,0)</f>
        <v>27</v>
      </c>
      <c r="C57" s="307" t="str">
        <f>INDEX('SK-ratings-final'!$I$2:$CJ$2,MATCH('SK-ranking'!F57,'SK-ratings-final'!$I$35:$CJ$35,0))</f>
        <v>Letisko M.R. Štefánika - Airport Bratislava, a.s.</v>
      </c>
      <c r="D57" s="307" t="str">
        <f>INDEX('SK-info'!C$2:C$81,MATCH('SK-ranking'!C57,'SK-info'!B$2:B$81,0))</f>
        <v>state</v>
      </c>
      <c r="E57" s="323" t="s">
        <v>400</v>
      </c>
      <c r="F57" s="523">
        <f t="array" ref="F57">LARGE(IF('SK-ratings-final'!I$3:CJ$3="state",'SK-ratings-final'!$I$35:$CJ$35),'SK-ranking'!A57)</f>
        <v>3.6728412374974035</v>
      </c>
      <c r="H57" s="528">
        <f ca="1">INDEX(OFFSET('SK-ratings-final'!$I$20,'SK-ranking'!H$1-19,0,1,80),1,$B57)</f>
        <v>6.5671640490359788</v>
      </c>
      <c r="I57" s="528">
        <f ca="1">INDEX(OFFSET('SK-ratings-final'!$I$20,'SK-ranking'!I$1-19,0,1,80),1,$B57)</f>
        <v>6.8600677395737719</v>
      </c>
      <c r="J57" s="528">
        <f ca="1">INDEX(OFFSET('SK-ratings-final'!$I$20,'SK-ranking'!J$1-19,0,1,80),1,$B57)</f>
        <v>6.6733731842629203</v>
      </c>
      <c r="K57" s="523">
        <f ca="1">INDEX(OFFSET('SK-ratings-final'!$I$20,'SK-ranking'!K$1-19,0,1,80),1,$B57)</f>
        <v>6.7002016576242234</v>
      </c>
      <c r="M57" s="528">
        <f ca="1">INDEX(OFFSET('SK-ratings-final'!$I$20,'SK-ranking'!M$1-19,0,1,80),1,$B57)</f>
        <v>2.4478963214218532</v>
      </c>
      <c r="N57" s="528">
        <f ca="1">INDEX(OFFSET('SK-ratings-final'!$I$20,'SK-ranking'!N$1-19,0,1,80),1,$B57)</f>
        <v>3.0737893713934601</v>
      </c>
      <c r="O57" s="528">
        <f ca="1">INDEX(OFFSET('SK-ratings-final'!$I$20,'SK-ranking'!O$1-19,0,1,80),1,$B57)</f>
        <v>0</v>
      </c>
      <c r="P57" s="523">
        <f ca="1">INDEX(OFFSET('SK-ratings-final'!$I$20,'SK-ranking'!P$1-19,0,1,80),1,$B57)</f>
        <v>1.5939164028474333</v>
      </c>
      <c r="R57" s="528">
        <f ca="1">INDEX(OFFSET('SK-ratings-final'!$I$20,'SK-ranking'!R$1-19,0,1,80),1,$B57)</f>
        <v>1.3872104775583514</v>
      </c>
      <c r="S57" s="528">
        <f ca="1">INDEX(OFFSET('SK-ratings-final'!$I$20,'SK-ranking'!S$1-19,0,1,80),1,$B57)</f>
        <v>3.6744302658170471</v>
      </c>
      <c r="T57" s="523">
        <f ca="1">INDEX(OFFSET('SK-ratings-final'!$I$20,'SK-ranking'!T$1-19,0,1,80),1,$B57)</f>
        <v>2.5308203716876996</v>
      </c>
      <c r="V57" s="528">
        <f ca="1">INDEX(OFFSET('SK-ratings-final'!$I$20,'SK-ranking'!V$1-19,0,1,80),1,$B57)</f>
        <v>4.854892333933031</v>
      </c>
      <c r="W57" s="528">
        <f ca="1">INDEX(OFFSET('SK-ratings-final'!$I$20,'SK-ranking'!W$1-19,0,1,80),1,$B57)</f>
        <v>3.5457637747987598</v>
      </c>
      <c r="X57" s="523">
        <f ca="1">INDEX(OFFSET('SK-ratings-final'!$I$20,'SK-ranking'!X$1-19,0,1,80),1,$B57)</f>
        <v>4.2003280543658956</v>
      </c>
      <c r="AA57" s="532">
        <f ca="1">INDEX(OFFSET('SK-ratios'!$AF$23,'SK-ranking'!AA$1-19,0,1,80),1,$B57)</f>
        <v>3.0418120727728479</v>
      </c>
      <c r="AB57" s="532">
        <f ca="1">INDEX(OFFSET('SK-ratios'!$AF$23,'SK-ranking'!AB$1-19,0,1,80),1,$B57)</f>
        <v>2.9030554812072347</v>
      </c>
      <c r="AC57" s="532">
        <f ca="1">INDEX(OFFSET('SK-ratios'!$AF$23,'SK-ranking'!AC$1-19,0,1,80),1,$B57)</f>
        <v>1.7869367794527138</v>
      </c>
      <c r="AD57" s="456"/>
      <c r="AE57" s="456">
        <f ca="1">INDEX(OFFSET('SK-ratios'!$AF$23,'SK-ranking'!AE$1-19,0,1,80),1,$B57)</f>
        <v>-2.0242603749448737E-2</v>
      </c>
      <c r="AF57" s="456">
        <f ca="1">INDEX(OFFSET('SK-ratios'!$AF$23,'SK-ranking'!AF$1-19,0,1,80),1,$B57)</f>
        <v>-2.6745551732613324E-2</v>
      </c>
      <c r="AG57" s="456">
        <f ca="1">INDEX(OFFSET('SK-ratios'!$AF$23,'SK-ranking'!AG$1-19,0,1,80),1,$B57)</f>
        <v>-0.30100639030934534</v>
      </c>
      <c r="AI57" s="456">
        <f ca="1">INDEX(OFFSET('SK-ratios'!$AF$23,'SK-ranking'!AI$1-19,0,1,80),1,$B57)</f>
        <v>0.21524155145093593</v>
      </c>
      <c r="AJ57" s="456">
        <f ca="1">INDEX(OFFSET('SK-ratios'!$AF$23,'SK-ranking'!AJ$1-19,0,1,80),1,$B57)</f>
        <v>18.2982400141669</v>
      </c>
      <c r="AL57" s="456">
        <f ca="1">INDEX(OFFSET('SK-ratios'!$AF$23,'SK-ranking'!AL$1-19,0,1,80),1,$B57)</f>
        <v>4.3737536072294487</v>
      </c>
      <c r="AM57" s="456">
        <f ca="1">INDEX(OFFSET('SK-ratios'!$AF$23,'SK-ranking'!AM$1-19,0,1,80),1,$B57)</f>
        <v>8.0012858592959368</v>
      </c>
    </row>
    <row r="58" spans="1:39" x14ac:dyDescent="0.25">
      <c r="A58" s="307">
        <v>47</v>
      </c>
      <c r="B58" s="525">
        <f>MATCH(C58,'SK-ratings-final'!I$2:CJ$2,0)</f>
        <v>25</v>
      </c>
      <c r="C58" s="307" t="str">
        <f>INDEX('SK-ratings-final'!$I$2:$CJ$2,MATCH('SK-ranking'!F58,'SK-ratings-final'!$I$35:$CJ$35,0))</f>
        <v>Letecké opravovne Trenčín, a.s.</v>
      </c>
      <c r="D58" s="307" t="str">
        <f>INDEX('SK-info'!C$2:C$81,MATCH('SK-ranking'!C58,'SK-info'!B$2:B$81,0))</f>
        <v>state</v>
      </c>
      <c r="E58" s="323" t="s">
        <v>400</v>
      </c>
      <c r="F58" s="523">
        <f t="array" ref="F58">LARGE(IF('SK-ratings-final'!I$3:CJ$3="state",'SK-ratings-final'!$I$35:$CJ$35),'SK-ranking'!A58)</f>
        <v>3.6530806688107407</v>
      </c>
      <c r="H58" s="528">
        <f ca="1">INDEX(OFFSET('SK-ratings-final'!$I$20,'SK-ranking'!H$1-19,0,1,80),1,$B58)</f>
        <v>4.064004912981992</v>
      </c>
      <c r="I58" s="528">
        <f ca="1">INDEX(OFFSET('SK-ratings-final'!$I$20,'SK-ranking'!I$1-19,0,1,80),1,$B58)</f>
        <v>2.8042196813080968</v>
      </c>
      <c r="J58" s="528">
        <f ca="1">INDEX(OFFSET('SK-ratings-final'!$I$20,'SK-ranking'!J$1-19,0,1,80),1,$B58)</f>
        <v>2.9866700795423142</v>
      </c>
      <c r="K58" s="523">
        <f ca="1">INDEX(OFFSET('SK-ratings-final'!$I$20,'SK-ranking'!K$1-19,0,1,80),1,$B58)</f>
        <v>3.2849648912774674</v>
      </c>
      <c r="M58" s="528">
        <f ca="1">INDEX(OFFSET('SK-ratings-final'!$I$20,'SK-ranking'!M$1-19,0,1,80),1,$B58)</f>
        <v>2.284632546042253</v>
      </c>
      <c r="N58" s="528">
        <f ca="1">INDEX(OFFSET('SK-ratings-final'!$I$20,'SK-ranking'!N$1-19,0,1,80),1,$B58)</f>
        <v>3.0747071132374728</v>
      </c>
      <c r="O58" s="528">
        <f ca="1">INDEX(OFFSET('SK-ratings-final'!$I$20,'SK-ranking'!O$1-19,0,1,80),1,$B58)</f>
        <v>1.2154682772500764</v>
      </c>
      <c r="P58" s="523">
        <f ca="1">INDEX(OFFSET('SK-ratings-final'!$I$20,'SK-ranking'!P$1-19,0,1,80),1,$B58)</f>
        <v>2.0149817519644264</v>
      </c>
      <c r="R58" s="528">
        <f ca="1">INDEX(OFFSET('SK-ratings-final'!$I$20,'SK-ranking'!R$1-19,0,1,80),1,$B58)</f>
        <v>2.5043614250358286</v>
      </c>
      <c r="S58" s="528">
        <f ca="1">INDEX(OFFSET('SK-ratings-final'!$I$20,'SK-ranking'!S$1-19,0,1,80),1,$B58)</f>
        <v>3.2605202439543004</v>
      </c>
      <c r="T58" s="523">
        <f ca="1">INDEX(OFFSET('SK-ratings-final'!$I$20,'SK-ranking'!T$1-19,0,1,80),1,$B58)</f>
        <v>2.8824408344950645</v>
      </c>
      <c r="V58" s="528">
        <f ca="1">INDEX(OFFSET('SK-ratings-final'!$I$20,'SK-ranking'!V$1-19,0,1,80),1,$B58)</f>
        <v>8.764885423388046</v>
      </c>
      <c r="W58" s="528">
        <f ca="1">INDEX(OFFSET('SK-ratings-final'!$I$20,'SK-ranking'!W$1-19,0,1,80),1,$B58)</f>
        <v>5.8687321531294332</v>
      </c>
      <c r="X58" s="523">
        <f ca="1">INDEX(OFFSET('SK-ratings-final'!$I$20,'SK-ranking'!X$1-19,0,1,80),1,$B58)</f>
        <v>7.3168087882587391</v>
      </c>
      <c r="AA58" s="532">
        <f ca="1">INDEX(OFFSET('SK-ratios'!$AF$23,'SK-ranking'!AA$1-19,0,1,80),1,$B58)</f>
        <v>1.2851846151363195</v>
      </c>
      <c r="AB58" s="532">
        <f ca="1">INDEX(OFFSET('SK-ratios'!$AF$23,'SK-ranking'!AB$1-19,0,1,80),1,$B58)</f>
        <v>0.92168967557381865</v>
      </c>
      <c r="AC58" s="532">
        <f ca="1">INDEX(OFFSET('SK-ratios'!$AF$23,'SK-ranking'!AC$1-19,0,1,80),1,$B58)</f>
        <v>0.60149472935880388</v>
      </c>
      <c r="AD58" s="456"/>
      <c r="AE58" s="456">
        <f ca="1">INDEX(OFFSET('SK-ratios'!$AF$23,'SK-ranking'!AE$1-19,0,1,80),1,$B58)</f>
        <v>-1.8199028844968476E-2</v>
      </c>
      <c r="AF58" s="456">
        <f ca="1">INDEX(OFFSET('SK-ratios'!$AF$23,'SK-ranking'!AF$1-19,0,1,80),1,$B58)</f>
        <v>-2.083321351528921E-2</v>
      </c>
      <c r="AG58" s="456">
        <f ca="1">INDEX(OFFSET('SK-ratios'!$AF$23,'SK-ranking'!AG$1-19,0,1,80),1,$B58)</f>
        <v>-4.4222505103614543E-2</v>
      </c>
      <c r="AI58" s="456">
        <f ca="1">INDEX(OFFSET('SK-ratios'!$AF$23,'SK-ranking'!AI$1-19,0,1,80),1,$B58)</f>
        <v>0.12601800155107173</v>
      </c>
      <c r="AJ58" s="456">
        <f ca="1">INDEX(OFFSET('SK-ratios'!$AF$23,'SK-ranking'!AJ$1-19,0,1,80),1,$B58)</f>
        <v>15.398637331440739</v>
      </c>
      <c r="AL58" s="456">
        <f ca="1">INDEX(OFFSET('SK-ratios'!$AF$23,'SK-ranking'!AL$1-19,0,1,80),1,$B58)</f>
        <v>19.495404337161105</v>
      </c>
      <c r="AM58" s="456">
        <f ca="1">INDEX(OFFSET('SK-ratios'!$AF$23,'SK-ranking'!AM$1-19,0,1,80),1,$B58)</f>
        <v>17.421284918879646</v>
      </c>
    </row>
    <row r="59" spans="1:39" x14ac:dyDescent="0.25">
      <c r="A59" s="307">
        <v>48</v>
      </c>
      <c r="B59" s="525">
        <f>MATCH(C59,'SK-ratings-final'!I$2:CJ$2,0)</f>
        <v>31</v>
      </c>
      <c r="C59" s="307" t="str">
        <f>INDEX('SK-ratings-final'!$I$2:$CJ$2,MATCH('SK-ranking'!F59,'SK-ratings-final'!$I$35:$CJ$35,0))</f>
        <v>Letisková spoločnosť Žilina, a.s.</v>
      </c>
      <c r="D59" s="307" t="str">
        <f>INDEX('SK-info'!C$2:C$81,MATCH('SK-ranking'!C59,'SK-info'!B$2:B$81,0))</f>
        <v>state</v>
      </c>
      <c r="E59" s="323" t="s">
        <v>400</v>
      </c>
      <c r="F59" s="523">
        <f t="array" ref="F59">LARGE(IF('SK-ratings-final'!I$3:CJ$3="state",'SK-ratings-final'!$I$35:$CJ$35),'SK-ranking'!A59)</f>
        <v>3.376585287242265</v>
      </c>
      <c r="H59" s="528">
        <f ca="1">INDEX(OFFSET('SK-ratings-final'!$I$20,'SK-ranking'!H$1-19,0,1,80),1,$B59)</f>
        <v>1.006468282132712</v>
      </c>
      <c r="I59" s="528">
        <f ca="1">INDEX(OFFSET('SK-ratings-final'!$I$20,'SK-ranking'!I$1-19,0,1,80),1,$B59)</f>
        <v>0.89998298495723561</v>
      </c>
      <c r="J59" s="528">
        <f ca="1">INDEX(OFFSET('SK-ratings-final'!$I$20,'SK-ranking'!J$1-19,0,1,80),1,$B59)</f>
        <v>0.49489744288635407</v>
      </c>
      <c r="K59" s="523">
        <f ca="1">INDEX(OFFSET('SK-ratings-final'!$I$20,'SK-ranking'!K$1-19,0,1,80),1,$B59)</f>
        <v>0.80044956999210048</v>
      </c>
      <c r="M59" s="528">
        <f ca="1">INDEX(OFFSET('SK-ratings-final'!$I$20,'SK-ranking'!M$1-19,0,1,80),1,$B59)</f>
        <v>2.4695700654739219</v>
      </c>
      <c r="N59" s="528">
        <f ca="1">INDEX(OFFSET('SK-ratings-final'!$I$20,'SK-ranking'!N$1-19,0,1,80),1,$B59)</f>
        <v>0.8117406752082178</v>
      </c>
      <c r="O59" s="528">
        <f ca="1">INDEX(OFFSET('SK-ratings-final'!$I$20,'SK-ranking'!O$1-19,0,1,80),1,$B59)</f>
        <v>0</v>
      </c>
      <c r="P59" s="523">
        <f ca="1">INDEX(OFFSET('SK-ratings-final'!$I$20,'SK-ranking'!P$1-19,0,1,80),1,$B59)</f>
        <v>1.1501761612312125</v>
      </c>
      <c r="R59" s="528">
        <f ca="1">INDEX(OFFSET('SK-ratings-final'!$I$20,'SK-ranking'!R$1-19,0,1,80),1,$B59)</f>
        <v>3.829438108673497</v>
      </c>
      <c r="S59" s="528">
        <f ca="1">INDEX(OFFSET('SK-ratings-final'!$I$20,'SK-ranking'!S$1-19,0,1,80),1,$B59)</f>
        <v>6.7705480175604622</v>
      </c>
      <c r="T59" s="523">
        <f ca="1">INDEX(OFFSET('SK-ratings-final'!$I$20,'SK-ranking'!T$1-19,0,1,80),1,$B59)</f>
        <v>5.2999930631169789</v>
      </c>
      <c r="V59" s="528">
        <f ca="1">INDEX(OFFSET('SK-ratings-final'!$I$20,'SK-ranking'!V$1-19,0,1,80),1,$B59)</f>
        <v>4.6491997216031917</v>
      </c>
      <c r="W59" s="528">
        <f ca="1">INDEX(OFFSET('SK-ratings-final'!$I$20,'SK-ranking'!W$1-19,0,1,80),1,$B59)</f>
        <v>8.3401096334102363</v>
      </c>
      <c r="X59" s="523">
        <f ca="1">INDEX(OFFSET('SK-ratings-final'!$I$20,'SK-ranking'!X$1-19,0,1,80),1,$B59)</f>
        <v>6.4946546775067144</v>
      </c>
      <c r="AA59" s="532">
        <f ca="1">INDEX(OFFSET('SK-ratios'!$AF$23,'SK-ranking'!AA$1-19,0,1,80),1,$B59)</f>
        <v>8.1494960386994358E-2</v>
      </c>
      <c r="AB59" s="532">
        <f ca="1">INDEX(OFFSET('SK-ratios'!$AF$23,'SK-ranking'!AB$1-19,0,1,80),1,$B59)</f>
        <v>4.5169310029803358E-2</v>
      </c>
      <c r="AC59" s="532">
        <f ca="1">INDEX(OFFSET('SK-ratios'!$AF$23,'SK-ranking'!AC$1-19,0,1,80),1,$B59)</f>
        <v>1.7934432612960717E-2</v>
      </c>
      <c r="AD59" s="456"/>
      <c r="AE59" s="456">
        <f ca="1">INDEX(OFFSET('SK-ratios'!$AF$23,'SK-ranking'!AE$1-19,0,1,80),1,$B59)</f>
        <v>-2.0657479742298732E-2</v>
      </c>
      <c r="AF59" s="456">
        <f ca="1">INDEX(OFFSET('SK-ratios'!$AF$23,'SK-ranking'!AF$1-19,0,1,80),1,$B59)</f>
        <v>-0.16933838423112671</v>
      </c>
      <c r="AG59" s="456">
        <f ca="1">INDEX(OFFSET('SK-ratios'!$AF$23,'SK-ranking'!AG$1-19,0,1,80),1,$B59)</f>
        <v>-0.19575863426996112</v>
      </c>
      <c r="AI59" s="456">
        <f ca="1">INDEX(OFFSET('SK-ratios'!$AF$23,'SK-ranking'!AI$1-19,0,1,80),1,$B59)</f>
        <v>8.4461070008965272E-2</v>
      </c>
      <c r="AJ59" s="456">
        <f ca="1">INDEX(OFFSET('SK-ratios'!$AF$23,'SK-ranking'!AJ$1-19,0,1,80),1,$B59)</f>
        <v>2.2979053752340222</v>
      </c>
      <c r="AL59" s="456">
        <f ca="1">INDEX(OFFSET('SK-ratios'!$AF$23,'SK-ranking'!AL$1-19,0,1,80),1,$B59)</f>
        <v>-2.8567491989988505</v>
      </c>
      <c r="AM59" s="456">
        <f ca="1">INDEX(OFFSET('SK-ratios'!$AF$23,'SK-ranking'!AM$1-19,0,1,80),1,$B59)</f>
        <v>96.344789661809187</v>
      </c>
    </row>
    <row r="60" spans="1:39" x14ac:dyDescent="0.25">
      <c r="A60" s="307">
        <v>49</v>
      </c>
      <c r="B60" s="525">
        <f>MATCH(C60,'SK-ratings-final'!I$2:CJ$2,0)</f>
        <v>79</v>
      </c>
      <c r="C60" s="307" t="str">
        <f>INDEX('SK-ratings-final'!$I$2:$CJ$2,MATCH('SK-ranking'!F60,'SK-ratings-final'!$I$35:$CJ$35,0))</f>
        <v>Železničná spoločnosť Cargo Slovakia, a.s.</v>
      </c>
      <c r="D60" s="307" t="str">
        <f>INDEX('SK-info'!C$2:C$81,MATCH('SK-ranking'!C60,'SK-info'!B$2:B$81,0))</f>
        <v>state</v>
      </c>
      <c r="E60" s="323" t="s">
        <v>400</v>
      </c>
      <c r="F60" s="523">
        <f t="array" ref="F60">LARGE(IF('SK-ratings-final'!I$3:CJ$3="state",'SK-ratings-final'!$I$35:$CJ$35),'SK-ranking'!A60)</f>
        <v>3.3356993792896841</v>
      </c>
      <c r="H60" s="528">
        <f ca="1">INDEX(OFFSET('SK-ratings-final'!$I$20,'SK-ranking'!H$1-19,0,1,80),1,$B60)</f>
        <v>3.259874648660138</v>
      </c>
      <c r="I60" s="528">
        <f ca="1">INDEX(OFFSET('SK-ratings-final'!$I$20,'SK-ranking'!I$1-19,0,1,80),1,$B60)</f>
        <v>3.2083971051329283</v>
      </c>
      <c r="J60" s="528">
        <f ca="1">INDEX(OFFSET('SK-ratings-final'!$I$20,'SK-ranking'!J$1-19,0,1,80),1,$B60)</f>
        <v>0.36638686293955741</v>
      </c>
      <c r="K60" s="523">
        <f ca="1">INDEX(OFFSET('SK-ratings-final'!$I$20,'SK-ranking'!K$1-19,0,1,80),1,$B60)</f>
        <v>2.2782195389108746</v>
      </c>
      <c r="M60" s="528">
        <f ca="1">INDEX(OFFSET('SK-ratings-final'!$I$20,'SK-ranking'!M$1-19,0,1,80),1,$B60)</f>
        <v>5.0851327176046075</v>
      </c>
      <c r="N60" s="528">
        <f ca="1">INDEX(OFFSET('SK-ratings-final'!$I$20,'SK-ranking'!N$1-19,0,1,80),1,$B60)</f>
        <v>5.1170048392184402</v>
      </c>
      <c r="O60" s="528">
        <f ca="1">INDEX(OFFSET('SK-ratings-final'!$I$20,'SK-ranking'!O$1-19,0,1,80),1,$B60)</f>
        <v>5.0754678586694473</v>
      </c>
      <c r="P60" s="523">
        <f ca="1">INDEX(OFFSET('SK-ratings-final'!$I$20,'SK-ranking'!P$1-19,0,1,80),1,$B60)</f>
        <v>5.0876411983533103</v>
      </c>
      <c r="R60" s="528">
        <f ca="1">INDEX(OFFSET('SK-ratings-final'!$I$20,'SK-ranking'!R$1-19,0,1,80),1,$B60)</f>
        <v>0</v>
      </c>
      <c r="S60" s="528">
        <f ca="1">INDEX(OFFSET('SK-ratings-final'!$I$20,'SK-ranking'!S$1-19,0,1,80),1,$B60)</f>
        <v>2.6439327664938737</v>
      </c>
      <c r="T60" s="523">
        <f ca="1">INDEX(OFFSET('SK-ratings-final'!$I$20,'SK-ranking'!T$1-19,0,1,80),1,$B60)</f>
        <v>1.3219663832469368</v>
      </c>
      <c r="V60" s="528">
        <f ca="1">INDEX(OFFSET('SK-ratings-final'!$I$20,'SK-ranking'!V$1-19,0,1,80),1,$B60)</f>
        <v>7.9886231863746655</v>
      </c>
      <c r="W60" s="528">
        <f ca="1">INDEX(OFFSET('SK-ratings-final'!$I$20,'SK-ranking'!W$1-19,0,1,80),1,$B60)</f>
        <v>2.987819613620903</v>
      </c>
      <c r="X60" s="523">
        <f ca="1">INDEX(OFFSET('SK-ratings-final'!$I$20,'SK-ranking'!X$1-19,0,1,80),1,$B60)</f>
        <v>5.4882213999977845</v>
      </c>
      <c r="AA60" s="532">
        <f ca="1">INDEX(OFFSET('SK-ratios'!$AF$23,'SK-ranking'!AA$1-19,0,1,80),1,$B60)</f>
        <v>0.74435822205160551</v>
      </c>
      <c r="AB60" s="532">
        <f ca="1">INDEX(OFFSET('SK-ratios'!$AF$23,'SK-ranking'!AB$1-19,0,1,80),1,$B60)</f>
        <v>0.65541967150182345</v>
      </c>
      <c r="AC60" s="532">
        <f ca="1">INDEX(OFFSET('SK-ratios'!$AF$23,'SK-ranking'!AC$1-19,0,1,80),1,$B60)</f>
        <v>1.7137843099618855E-3</v>
      </c>
      <c r="AD60" s="456"/>
      <c r="AE60" s="456">
        <f ca="1">INDEX(OFFSET('SK-ratios'!$AF$23,'SK-ranking'!AE$1-19,0,1,80),1,$B60)</f>
        <v>3.5937591304855955E-4</v>
      </c>
      <c r="AF60" s="456">
        <f ca="1">INDEX(OFFSET('SK-ratios'!$AF$23,'SK-ranking'!AF$1-19,0,1,80),1,$B60)</f>
        <v>1.0757578407878396E-3</v>
      </c>
      <c r="AG60" s="456">
        <f ca="1">INDEX(OFFSET('SK-ratios'!$AF$23,'SK-ranking'!AG$1-19,0,1,80),1,$B60)</f>
        <v>4.634653644420329E-4</v>
      </c>
      <c r="AI60" s="456">
        <f ca="1">INDEX(OFFSET('SK-ratios'!$AF$23,'SK-ranking'!AI$1-19,0,1,80),1,$B60)</f>
        <v>0.66593233214515279</v>
      </c>
      <c r="AJ60" s="456">
        <f ca="1">INDEX(OFFSET('SK-ratios'!$AF$23,'SK-ranking'!AJ$1-19,0,1,80),1,$B60)</f>
        <v>7.982977829147841</v>
      </c>
      <c r="AL60" s="456">
        <f ca="1">INDEX(OFFSET('SK-ratios'!$AF$23,'SK-ranking'!AL$1-19,0,1,80),1,$B60)</f>
        <v>-14.233186742464872</v>
      </c>
      <c r="AM60" s="456">
        <f ca="1">INDEX(OFFSET('SK-ratios'!$AF$23,'SK-ranking'!AM$1-19,0,1,80),1,$B60)</f>
        <v>5.566107382550336</v>
      </c>
    </row>
    <row r="61" spans="1:39" x14ac:dyDescent="0.25">
      <c r="A61" s="307">
        <v>50</v>
      </c>
      <c r="B61" s="525">
        <f>MATCH(C61,'SK-ratings-final'!I$2:CJ$2,0)</f>
        <v>41</v>
      </c>
      <c r="C61" s="307" t="str">
        <f>INDEX('SK-ratings-final'!$I$2:$CJ$2,MATCH('SK-ranking'!F61,'SK-ratings-final'!$I$35:$CJ$35,0))</f>
        <v>Nemocnica svätého Michala, a.s.</v>
      </c>
      <c r="D61" s="307" t="str">
        <f>INDEX('SK-info'!C$2:C$81,MATCH('SK-ranking'!C61,'SK-info'!B$2:B$81,0))</f>
        <v>state</v>
      </c>
      <c r="E61" s="323" t="s">
        <v>400</v>
      </c>
      <c r="F61" s="523">
        <f t="array" ref="F61">LARGE(IF('SK-ratings-final'!I$3:CJ$3="state",'SK-ratings-final'!$I$35:$CJ$35),'SK-ranking'!A61)</f>
        <v>3.1321388848159191</v>
      </c>
      <c r="H61" s="528">
        <f ca="1">INDEX(OFFSET('SK-ratings-final'!$I$20,'SK-ranking'!H$1-19,0,1,80),1,$B61)</f>
        <v>4.234367317653664</v>
      </c>
      <c r="I61" s="528">
        <f ca="1">INDEX(OFFSET('SK-ratings-final'!$I$20,'SK-ranking'!I$1-19,0,1,80),1,$B61)</f>
        <v>4.0755442170747038</v>
      </c>
      <c r="J61" s="528">
        <f ca="1">INDEX(OFFSET('SK-ratings-final'!$I$20,'SK-ranking'!J$1-19,0,1,80),1,$B61)</f>
        <v>3.7626576563676877</v>
      </c>
      <c r="K61" s="523">
        <f ca="1">INDEX(OFFSET('SK-ratings-final'!$I$20,'SK-ranking'!K$1-19,0,1,80),1,$B61)</f>
        <v>4.024189730365352</v>
      </c>
      <c r="M61" s="528">
        <f ca="1">INDEX(OFFSET('SK-ratings-final'!$I$20,'SK-ranking'!M$1-19,0,1,80),1,$B61)</f>
        <v>0.69683605274751326</v>
      </c>
      <c r="N61" s="528">
        <f ca="1">INDEX(OFFSET('SK-ratings-final'!$I$20,'SK-ranking'!N$1-19,0,1,80),1,$B61)</f>
        <v>1.7587195117448211</v>
      </c>
      <c r="O61" s="528">
        <f ca="1">INDEX(OFFSET('SK-ratings-final'!$I$20,'SK-ranking'!O$1-19,0,1,80),1,$B61)</f>
        <v>0</v>
      </c>
      <c r="P61" s="523">
        <f ca="1">INDEX(OFFSET('SK-ratings-final'!$I$20,'SK-ranking'!P$1-19,0,1,80),1,$B61)</f>
        <v>0.63047832344796961</v>
      </c>
      <c r="R61" s="528">
        <f ca="1">INDEX(OFFSET('SK-ratings-final'!$I$20,'SK-ranking'!R$1-19,0,1,80),1,$B61)</f>
        <v>3.7150536653296662</v>
      </c>
      <c r="S61" s="528">
        <f ca="1">INDEX(OFFSET('SK-ratings-final'!$I$20,'SK-ranking'!S$1-19,0,1,80),1,$B61)</f>
        <v>3.2368084183608121</v>
      </c>
      <c r="T61" s="523">
        <f ca="1">INDEX(OFFSET('SK-ratings-final'!$I$20,'SK-ranking'!T$1-19,0,1,80),1,$B61)</f>
        <v>3.4759310418452394</v>
      </c>
      <c r="V61" s="528">
        <f ca="1">INDEX(OFFSET('SK-ratings-final'!$I$20,'SK-ranking'!V$1-19,0,1,80),1,$B61)</f>
        <v>5.9238639452113571</v>
      </c>
      <c r="W61" s="528">
        <f ca="1">INDEX(OFFSET('SK-ratings-final'!$I$20,'SK-ranking'!W$1-19,0,1,80),1,$B61)</f>
        <v>3.3330616428788113</v>
      </c>
      <c r="X61" s="523">
        <f ca="1">INDEX(OFFSET('SK-ratings-final'!$I$20,'SK-ranking'!X$1-19,0,1,80),1,$B61)</f>
        <v>4.6284627940450846</v>
      </c>
      <c r="AA61" s="532">
        <f ca="1">INDEX(OFFSET('SK-ratios'!$AF$23,'SK-ranking'!AA$1-19,0,1,80),1,$B61)</f>
        <v>0.7808837751283928</v>
      </c>
      <c r="AB61" s="532">
        <f ca="1">INDEX(OFFSET('SK-ratios'!$AF$23,'SK-ranking'!AB$1-19,0,1,80),1,$B61)</f>
        <v>0.54611336530857524</v>
      </c>
      <c r="AC61" s="532">
        <f ca="1">INDEX(OFFSET('SK-ratios'!$AF$23,'SK-ranking'!AC$1-19,0,1,80),1,$B61)</f>
        <v>0.16091879338840298</v>
      </c>
      <c r="AD61" s="456"/>
      <c r="AE61" s="456">
        <f ca="1">INDEX(OFFSET('SK-ratios'!$AF$23,'SK-ranking'!AE$1-19,0,1,80),1,$B61)</f>
        <v>-8.325197185479874E-2</v>
      </c>
      <c r="AF61" s="456">
        <f ca="1">INDEX(OFFSET('SK-ratios'!$AF$23,'SK-ranking'!AF$1-19,0,1,80),1,$B61)</f>
        <v>-9.1373826313126835E-2</v>
      </c>
      <c r="AG61" s="456">
        <f ca="1">INDEX(OFFSET('SK-ratios'!$AF$23,'SK-ranking'!AG$1-19,0,1,80),1,$B61)</f>
        <v>-0.45713816760889503</v>
      </c>
      <c r="AI61" s="456">
        <f ca="1">INDEX(OFFSET('SK-ratios'!$AF$23,'SK-ranking'!AI$1-19,0,1,80),1,$B61)</f>
        <v>8.8066668151588229E-2</v>
      </c>
      <c r="AJ61" s="456">
        <f ca="1">INDEX(OFFSET('SK-ratios'!$AF$23,'SK-ranking'!AJ$1-19,0,1,80),1,$B61)</f>
        <v>-3.080354399883785</v>
      </c>
      <c r="AL61" s="456">
        <f ca="1">INDEX(OFFSET('SK-ratios'!$AF$23,'SK-ranking'!AL$1-19,0,1,80),1,$B61)</f>
        <v>-12.099561801676685</v>
      </c>
      <c r="AM61" s="456">
        <f ca="1">INDEX(OFFSET('SK-ratios'!$AF$23,'SK-ranking'!AM$1-19,0,1,80),1,$B61)</f>
        <v>6.8827820998825882</v>
      </c>
    </row>
    <row r="62" spans="1:39" x14ac:dyDescent="0.25">
      <c r="A62" s="307">
        <v>51</v>
      </c>
      <c r="B62" s="525">
        <f>MATCH(C62,'SK-ratings-final'!I$2:CJ$2,0)</f>
        <v>24</v>
      </c>
      <c r="C62" s="307" t="str">
        <f>INDEX('SK-ratings-final'!$I$2:$CJ$2,MATCH('SK-ranking'!F62,'SK-ratings-final'!$I$35:$CJ$35,0))</f>
        <v>Letecká vojenská nemocnica, a.s.</v>
      </c>
      <c r="D62" s="307" t="str">
        <f>INDEX('SK-info'!C$2:C$81,MATCH('SK-ranking'!C62,'SK-info'!B$2:B$81,0))</f>
        <v>state</v>
      </c>
      <c r="E62" s="323" t="s">
        <v>400</v>
      </c>
      <c r="F62" s="523">
        <f t="array" ref="F62">LARGE(IF('SK-ratings-final'!I$3:CJ$3="state",'SK-ratings-final'!$I$35:$CJ$35),'SK-ranking'!A62)</f>
        <v>2.9043479689923557</v>
      </c>
      <c r="H62" s="456">
        <f ca="1">INDEX(OFFSET('SK-ratings-final'!$I$20,'SK-ranking'!H$1-19,0,1,80),1,$B62)</f>
        <v>4.0255721434540712</v>
      </c>
      <c r="I62" s="456">
        <f ca="1">INDEX(OFFSET('SK-ratings-final'!$I$20,'SK-ranking'!I$1-19,0,1,80),1,$B62)</f>
        <v>4.2022899659298449</v>
      </c>
      <c r="J62" s="456">
        <f ca="1">INDEX(OFFSET('SK-ratings-final'!$I$20,'SK-ranking'!J$1-19,0,1,80),1,$B62)</f>
        <v>1.1643806787937057</v>
      </c>
      <c r="K62" s="523">
        <f ca="1">INDEX(OFFSET('SK-ratings-final'!$I$20,'SK-ranking'!K$1-19,0,1,80),1,$B62)</f>
        <v>3.1307475960592073</v>
      </c>
      <c r="M62" s="456">
        <f ca="1">INDEX(OFFSET('SK-ratings-final'!$I$20,'SK-ranking'!M$1-19,0,1,80),1,$B62)</f>
        <v>0.54325309971714419</v>
      </c>
      <c r="N62" s="456">
        <f ca="1">INDEX(OFFSET('SK-ratings-final'!$I$20,'SK-ranking'!N$1-19,0,1,80),1,$B62)</f>
        <v>1.3281453887230854</v>
      </c>
      <c r="O62" s="456">
        <f ca="1">INDEX(OFFSET('SK-ratings-final'!$I$20,'SK-ranking'!O$1-19,0,1,80),1,$B62)</f>
        <v>1.2837355941260991</v>
      </c>
      <c r="P62" s="523">
        <f ca="1">INDEX(OFFSET('SK-ratings-final'!$I$20,'SK-ranking'!P$1-19,0,1,80),1,$B62)</f>
        <v>0.99642455528191443</v>
      </c>
      <c r="R62" s="456">
        <f ca="1">INDEX(OFFSET('SK-ratings-final'!$I$20,'SK-ranking'!R$1-19,0,1,80),1,$B62)</f>
        <v>1.3454311215197445</v>
      </c>
      <c r="S62" s="456">
        <f ca="1">INDEX(OFFSET('SK-ratings-final'!$I$20,'SK-ranking'!S$1-19,0,1,80),1,$B62)</f>
        <v>2.1954907281037483</v>
      </c>
      <c r="T62" s="523">
        <f ca="1">INDEX(OFFSET('SK-ratings-final'!$I$20,'SK-ranking'!T$1-19,0,1,80),1,$B62)</f>
        <v>1.7704609248117464</v>
      </c>
      <c r="V62" s="456">
        <f ca="1">INDEX(OFFSET('SK-ratings-final'!$I$20,'SK-ranking'!V$1-19,0,1,80),1,$B62)</f>
        <v>10</v>
      </c>
      <c r="W62" s="456">
        <f ca="1">INDEX(OFFSET('SK-ratings-final'!$I$20,'SK-ranking'!W$1-19,0,1,80),1,$B62)</f>
        <v>3.414166537135515</v>
      </c>
      <c r="X62" s="523">
        <f ca="1">INDEX(OFFSET('SK-ratings-final'!$I$20,'SK-ranking'!X$1-19,0,1,80),1,$B62)</f>
        <v>6.7070832685677573</v>
      </c>
      <c r="AA62" s="532">
        <f ca="1">INDEX(OFFSET('SK-ratios'!$AF$23,'SK-ranking'!AA$1-19,0,1,80),1,$B62)</f>
        <v>1.0179980948319955</v>
      </c>
      <c r="AB62" s="532">
        <f ca="1">INDEX(OFFSET('SK-ratios'!$AF$23,'SK-ranking'!AB$1-19,0,1,80),1,$B62)</f>
        <v>0.97081422191378264</v>
      </c>
      <c r="AC62" s="532">
        <f ca="1">INDEX(OFFSET('SK-ratios'!$AF$23,'SK-ranking'!AC$1-19,0,1,80),1,$B62)</f>
        <v>0.12404681792884954</v>
      </c>
      <c r="AD62" s="456"/>
      <c r="AE62" s="456">
        <f ca="1">INDEX(OFFSET('SK-ratios'!$AF$23,'SK-ranking'!AE$1-19,0,1,80),1,$B62)</f>
        <v>-7.0800399744419887E-2</v>
      </c>
      <c r="AF62" s="456">
        <f ca="1">INDEX(OFFSET('SK-ratios'!$AF$23,'SK-ranking'!AF$1-19,0,1,80),1,$B62)</f>
        <v>-9.2938069327235778E-2</v>
      </c>
      <c r="AG62" s="456">
        <f ca="1">INDEX(OFFSET('SK-ratios'!$AF$23,'SK-ranking'!AG$1-19,0,1,80),1,$B62)</f>
        <v>-5.1234663256449646E-2</v>
      </c>
      <c r="AI62" s="456">
        <f ca="1">INDEX(OFFSET('SK-ratios'!$AF$23,'SK-ranking'!AI$1-19,0,1,80),1,$B62)</f>
        <v>0.23736869261483989</v>
      </c>
      <c r="AJ62" s="456">
        <f ca="1">INDEX(OFFSET('SK-ratios'!$AF$23,'SK-ranking'!AJ$1-19,0,1,80),1,$B62)</f>
        <v>-20.367173798783099</v>
      </c>
      <c r="AL62" s="456">
        <f ca="1">INDEX(OFFSET('SK-ratios'!$AF$23,'SK-ranking'!AL$1-19,0,1,80),1,$B62)</f>
        <v>153.33436780000932</v>
      </c>
      <c r="AM62" s="456">
        <f ca="1">INDEX(OFFSET('SK-ratios'!$AF$23,'SK-ranking'!AM$1-19,0,1,80),1,$B62)</f>
        <v>7.8491848787999787</v>
      </c>
    </row>
    <row r="63" spans="1:39" x14ac:dyDescent="0.25">
      <c r="A63" s="307">
        <v>52</v>
      </c>
      <c r="B63" s="525">
        <f>MATCH(C63,'SK-ratings-final'!I$2:CJ$2,0)</f>
        <v>80</v>
      </c>
      <c r="C63" s="307" t="str">
        <f>INDEX('SK-ratings-final'!$I$2:$CJ$2,MATCH('SK-ranking'!F63,'SK-ratings-final'!$I$35:$CJ$35,0))</f>
        <v>Železničná spoločnosť Slovensko, a.s.</v>
      </c>
      <c r="D63" s="307" t="str">
        <f>INDEX('SK-info'!C$2:C$81,MATCH('SK-ranking'!C63,'SK-info'!B$2:B$81,0))</f>
        <v>state</v>
      </c>
      <c r="E63" s="323" t="s">
        <v>400</v>
      </c>
      <c r="F63" s="523">
        <f t="array" ref="F63">LARGE(IF('SK-ratings-final'!I$3:CJ$3="state",'SK-ratings-final'!$I$35:$CJ$35),'SK-ranking'!A63)</f>
        <v>2.4690769709014351</v>
      </c>
      <c r="H63" s="456">
        <f ca="1">INDEX(OFFSET('SK-ratings-final'!$I$20,'SK-ranking'!H$1-19,0,1,80),1,$B63)</f>
        <v>3.8387311649604183</v>
      </c>
      <c r="I63" s="456">
        <f ca="1">INDEX(OFFSET('SK-ratings-final'!$I$20,'SK-ranking'!I$1-19,0,1,80),1,$B63)</f>
        <v>3.770095548965096</v>
      </c>
      <c r="J63" s="456">
        <f ca="1">INDEX(OFFSET('SK-ratings-final'!$I$20,'SK-ranking'!J$1-19,0,1,80),1,$B63)</f>
        <v>0.22026484502956331</v>
      </c>
      <c r="K63" s="523">
        <f ca="1">INDEX(OFFSET('SK-ratings-final'!$I$20,'SK-ranking'!K$1-19,0,1,80),1,$B63)</f>
        <v>2.6096971863183587</v>
      </c>
      <c r="M63" s="456">
        <f ca="1">INDEX(OFFSET('SK-ratings-final'!$I$20,'SK-ranking'!M$1-19,0,1,80),1,$B63)</f>
        <v>3.884834341667196</v>
      </c>
      <c r="N63" s="456">
        <f ca="1">INDEX(OFFSET('SK-ratings-final'!$I$20,'SK-ranking'!N$1-19,0,1,80),1,$B63)</f>
        <v>2.7571337910466949</v>
      </c>
      <c r="O63" s="456">
        <f ca="1">INDEX(OFFSET('SK-ratings-final'!$I$20,'SK-ranking'!O$1-19,0,1,80),1,$B63)</f>
        <v>2.2076756645448383</v>
      </c>
      <c r="P63" s="523">
        <f ca="1">INDEX(OFFSET('SK-ratings-final'!$I$20,'SK-ranking'!P$1-19,0,1,80),1,$B63)</f>
        <v>2.9884307606941527</v>
      </c>
      <c r="R63" s="456">
        <f ca="1">INDEX(OFFSET('SK-ratings-final'!$I$20,'SK-ranking'!R$1-19,0,1,80),1,$B63)</f>
        <v>0</v>
      </c>
      <c r="S63" s="456">
        <f ca="1">INDEX(OFFSET('SK-ratings-final'!$I$20,'SK-ranking'!S$1-19,0,1,80),1,$B63)</f>
        <v>0.24196355444136802</v>
      </c>
      <c r="T63" s="523">
        <f ca="1">INDEX(OFFSET('SK-ratings-final'!$I$20,'SK-ranking'!T$1-19,0,1,80),1,$B63)</f>
        <v>0.120981777220684</v>
      </c>
      <c r="V63" s="456">
        <f ca="1">INDEX(OFFSET('SK-ratings-final'!$I$20,'SK-ranking'!V$1-19,0,1,80),1,$B63)</f>
        <v>8.3782495218062287</v>
      </c>
      <c r="W63" s="456">
        <f ca="1">INDEX(OFFSET('SK-ratings-final'!$I$20,'SK-ranking'!W$1-19,0,1,80),1,$B63)</f>
        <v>1.9542549880147888</v>
      </c>
      <c r="X63" s="523">
        <f ca="1">INDEX(OFFSET('SK-ratings-final'!$I$20,'SK-ranking'!X$1-19,0,1,80),1,$B63)</f>
        <v>5.1662522549105088</v>
      </c>
      <c r="AA63" s="532">
        <f ca="1">INDEX(OFFSET('SK-ratios'!$AF$23,'SK-ranking'!AA$1-19,0,1,80),1,$B63)</f>
        <v>1.1047380864526533</v>
      </c>
      <c r="AB63" s="532">
        <f ca="1">INDEX(OFFSET('SK-ratios'!$AF$23,'SK-ranking'!AB$1-19,0,1,80),1,$B63)</f>
        <v>0.96684569445013868</v>
      </c>
      <c r="AC63" s="532">
        <f ca="1">INDEX(OFFSET('SK-ratios'!$AF$23,'SK-ranking'!AC$1-19,0,1,80),1,$B63)</f>
        <v>1.283260218933213E-2</v>
      </c>
      <c r="AD63" s="456"/>
      <c r="AE63" s="456">
        <f ca="1">INDEX(OFFSET('SK-ratios'!$AF$23,'SK-ranking'!AE$1-19,0,1,80),1,$B63)</f>
        <v>-5.0811634996513607E-3</v>
      </c>
      <c r="AF63" s="456">
        <f ca="1">INDEX(OFFSET('SK-ratios'!$AF$23,'SK-ranking'!AF$1-19,0,1,80),1,$B63)</f>
        <v>-3.5905691804832496E-2</v>
      </c>
      <c r="AG63" s="456">
        <f ca="1">INDEX(OFFSET('SK-ratios'!$AF$23,'SK-ranking'!AG$1-19,0,1,80),1,$B63)</f>
        <v>-5.6843382799139405E-2</v>
      </c>
      <c r="AI63" s="456">
        <f ca="1">INDEX(OFFSET('SK-ratios'!$AF$23,'SK-ranking'!AI$1-19,0,1,80),1,$B63)</f>
        <v>0.82870206451854689</v>
      </c>
      <c r="AJ63" s="456">
        <f ca="1">INDEX(OFFSET('SK-ratios'!$AF$23,'SK-ranking'!AJ$1-19,0,1,80),1,$B63)</f>
        <v>-131.90816326530611</v>
      </c>
      <c r="AL63" s="456">
        <f ca="1">INDEX(OFFSET('SK-ratios'!$AF$23,'SK-ranking'!AL$1-19,0,1,80),1,$B63)</f>
        <v>10.70197189750856</v>
      </c>
      <c r="AM63" s="456">
        <f ca="1">INDEX(OFFSET('SK-ratios'!$AF$23,'SK-ranking'!AM$1-19,0,1,80),1,$B63)</f>
        <v>1.2983468943387577</v>
      </c>
    </row>
    <row r="64" spans="1:39" x14ac:dyDescent="0.25">
      <c r="E64" s="323"/>
      <c r="F64" s="523"/>
      <c r="H64" s="456"/>
      <c r="I64" s="456"/>
      <c r="J64" s="456"/>
      <c r="K64" s="523"/>
      <c r="M64" s="456"/>
      <c r="N64" s="456"/>
      <c r="O64" s="456"/>
      <c r="P64" s="523"/>
      <c r="R64" s="456"/>
      <c r="S64" s="456"/>
      <c r="T64" s="523"/>
      <c r="V64" s="456"/>
      <c r="W64" s="456"/>
      <c r="X64" s="523"/>
      <c r="AA64" s="532"/>
      <c r="AB64" s="532"/>
      <c r="AC64" s="532"/>
      <c r="AD64" s="456"/>
      <c r="AE64" s="456"/>
      <c r="AF64" s="456"/>
      <c r="AG64" s="456"/>
      <c r="AI64" s="456"/>
      <c r="AJ64" s="456"/>
      <c r="AL64" s="456"/>
      <c r="AM64" s="456"/>
    </row>
    <row r="65" spans="1:39" x14ac:dyDescent="0.25">
      <c r="A65" s="307">
        <v>1</v>
      </c>
      <c r="B65" s="525">
        <f>MATCH(C65,'SK-ratings-final'!I$2:CJ$2,0)</f>
        <v>26</v>
      </c>
      <c r="C65" s="307" t="str">
        <f>INDEX('SK-ratings-final'!$I$2:$CJ$2,MATCH('SK-ranking'!F65,'SK-ratings-final'!$I$35:$CJ$35,0))</f>
        <v>Letisko Košice - Airport Košice, a.s.</v>
      </c>
      <c r="D65" s="307" t="str">
        <f>INDEX('SK-info'!C$2:C$81,MATCH('SK-ranking'!C65,'SK-info'!B$2:B$81,0))</f>
        <v>private</v>
      </c>
      <c r="E65" s="323" t="s">
        <v>400</v>
      </c>
      <c r="F65" s="523">
        <f t="array" ref="F65">LARGE(IF('SK-ratings-final'!I$3:CJ$3="private",'SK-ratings-final'!$I$35:$CJ$35),'SK-ranking'!A65)</f>
        <v>7.1733987370700154</v>
      </c>
      <c r="H65" s="456">
        <f ca="1">INDEX(OFFSET('SK-ratings-final'!$I$20,'SK-ranking'!H$1-19,0,1,80),1,$B65)</f>
        <v>10</v>
      </c>
      <c r="I65" s="456">
        <f ca="1">INDEX(OFFSET('SK-ratings-final'!$I$20,'SK-ranking'!I$1-19,0,1,80),1,$B65)</f>
        <v>10</v>
      </c>
      <c r="J65" s="456">
        <f ca="1">INDEX(OFFSET('SK-ratings-final'!$I$20,'SK-ranking'!J$1-19,0,1,80),1,$B65)</f>
        <v>10</v>
      </c>
      <c r="K65" s="523">
        <f ca="1">INDEX(OFFSET('SK-ratings-final'!$I$20,'SK-ranking'!K$1-19,0,1,80),1,$B65)</f>
        <v>10</v>
      </c>
      <c r="M65" s="456">
        <f ca="1">INDEX(OFFSET('SK-ratings-final'!$I$20,'SK-ranking'!M$1-19,0,1,80),1,$B65)</f>
        <v>8.0395056057519785</v>
      </c>
      <c r="N65" s="456">
        <f ca="1">INDEX(OFFSET('SK-ratings-final'!$I$20,'SK-ranking'!N$1-19,0,1,80),1,$B65)</f>
        <v>7.0781086623920704</v>
      </c>
      <c r="O65" s="456">
        <f ca="1">INDEX(OFFSET('SK-ratings-final'!$I$20,'SK-ranking'!O$1-19,0,1,80),1,$B65)</f>
        <v>10</v>
      </c>
      <c r="P65" s="523">
        <f ca="1">INDEX(OFFSET('SK-ratings-final'!$I$20,'SK-ranking'!P$1-19,0,1,80),1,$B65)</f>
        <v>8.6314239747792065</v>
      </c>
      <c r="R65" s="456">
        <f ca="1">INDEX(OFFSET('SK-ratings-final'!$I$20,'SK-ranking'!R$1-19,0,1,80),1,$B65)</f>
        <v>5.2475327767196047</v>
      </c>
      <c r="S65" s="456">
        <f ca="1">INDEX(OFFSET('SK-ratings-final'!$I$20,'SK-ranking'!S$1-19,0,1,80),1,$B65)</f>
        <v>8.4592867563790826</v>
      </c>
      <c r="T65" s="523">
        <f ca="1">INDEX(OFFSET('SK-ratings-final'!$I$20,'SK-ranking'!T$1-19,0,1,80),1,$B65)</f>
        <v>6.8534097665493432</v>
      </c>
      <c r="V65" s="456">
        <f ca="1">INDEX(OFFSET('SK-ratings-final'!$I$20,'SK-ranking'!V$1-19,0,1,80),1,$B65)</f>
        <v>1.3706026995221727</v>
      </c>
      <c r="W65" s="456">
        <f ca="1">INDEX(OFFSET('SK-ratings-final'!$I$20,'SK-ranking'!W$1-19,0,1,80),1,$B65)</f>
        <v>3.2245954345819285</v>
      </c>
      <c r="X65" s="523">
        <f ca="1">INDEX(OFFSET('SK-ratings-final'!$I$20,'SK-ranking'!X$1-19,0,1,80),1,$B65)</f>
        <v>2.2975990670520505</v>
      </c>
      <c r="AA65" s="532">
        <f ca="1">INDEX(OFFSET('SK-ratios'!$AF$23,'SK-ranking'!AA$1-19,0,1,80),1,$B65)</f>
        <v>19.316081742723817</v>
      </c>
      <c r="AB65" s="532">
        <f ca="1">INDEX(OFFSET('SK-ratios'!$AF$23,'SK-ranking'!AB$1-19,0,1,80),1,$B65)</f>
        <v>19.0875737782867</v>
      </c>
      <c r="AC65" s="532">
        <f ca="1">INDEX(OFFSET('SK-ratios'!$AF$23,'SK-ranking'!AC$1-19,0,1,80),1,$B65)</f>
        <v>17.76721263651639</v>
      </c>
      <c r="AD65" s="456"/>
      <c r="AE65" s="456">
        <f ca="1">INDEX(OFFSET('SK-ratios'!$AF$23,'SK-ranking'!AE$1-19,0,1,80),1,$B65)</f>
        <v>2.7242318505573425E-2</v>
      </c>
      <c r="AF65" s="456">
        <f ca="1">INDEX(OFFSET('SK-ratios'!$AF$23,'SK-ranking'!AF$1-19,0,1,80),1,$B65)</f>
        <v>2.8464499761272764E-2</v>
      </c>
      <c r="AG65" s="456">
        <f ca="1">INDEX(OFFSET('SK-ratios'!$AF$23,'SK-ranking'!AG$1-19,0,1,80),1,$B65)</f>
        <v>0.1776836053626438</v>
      </c>
      <c r="AI65" s="456">
        <f ca="1">INDEX(OFFSET('SK-ratios'!$AF$23,'SK-ranking'!AI$1-19,0,1,80),1,$B65)</f>
        <v>4.0926320678845794E-2</v>
      </c>
      <c r="AJ65" s="456">
        <f ca="1">INDEX(OFFSET('SK-ratios'!$AF$23,'SK-ranking'!AJ$1-19,0,1,80),1,$B65)</f>
        <v>0.60849733761302405</v>
      </c>
      <c r="AL65" s="456">
        <f ca="1">INDEX(OFFSET('SK-ratios'!$AF$23,'SK-ranking'!AL$1-19,0,1,80),1,$B65)</f>
        <v>0.50382866752197597</v>
      </c>
      <c r="AM65" s="456">
        <f ca="1">INDEX(OFFSET('SK-ratios'!$AF$23,'SK-ranking'!AM$1-19,0,1,80),1,$B65)</f>
        <v>7.2377837469207114</v>
      </c>
    </row>
    <row r="66" spans="1:39" x14ac:dyDescent="0.25">
      <c r="A66" s="307">
        <v>2</v>
      </c>
      <c r="B66" s="525">
        <f>MATCH(C66,'SK-ratings-final'!I$2:CJ$2,0)</f>
        <v>17</v>
      </c>
      <c r="C66" s="307" t="str">
        <f>INDEX('SK-ratings-final'!$I$2:$CJ$2,MATCH('SK-ranking'!F66,'SK-ratings-final'!$I$35:$CJ$35,0))</f>
        <v>GLS General Logistics Systems Slovakia s.r.o.</v>
      </c>
      <c r="D66" s="307" t="str">
        <f>INDEX('SK-info'!C$2:C$81,MATCH('SK-ranking'!C66,'SK-info'!B$2:B$81,0))</f>
        <v>private</v>
      </c>
      <c r="E66" s="323" t="s">
        <v>400</v>
      </c>
      <c r="F66" s="523">
        <f t="array" ref="F66">LARGE(IF('SK-ratings-final'!I$3:CJ$3="private",'SK-ratings-final'!$I$35:$CJ$35),'SK-ranking'!A66)</f>
        <v>5.9232199781336243</v>
      </c>
      <c r="H66" s="456">
        <f ca="1">INDEX(OFFSET('SK-ratings-final'!$I$20,'SK-ranking'!H$1-19,0,1,80),1,$B66)</f>
        <v>5.7579938914894466</v>
      </c>
      <c r="I66" s="456">
        <f ca="1">INDEX(OFFSET('SK-ratings-final'!$I$20,'SK-ranking'!I$1-19,0,1,80),1,$B66)</f>
        <v>6.1048498368282367</v>
      </c>
      <c r="J66" s="456">
        <f ca="1">INDEX(OFFSET('SK-ratings-final'!$I$20,'SK-ranking'!J$1-19,0,1,80),1,$B66)</f>
        <v>5.901028144235303</v>
      </c>
      <c r="K66" s="523">
        <f ca="1">INDEX(OFFSET('SK-ratings-final'!$I$20,'SK-ranking'!K$1-19,0,1,80),1,$B66)</f>
        <v>5.9212906241843282</v>
      </c>
      <c r="M66" s="456">
        <f ca="1">INDEX(OFFSET('SK-ratings-final'!$I$20,'SK-ranking'!M$1-19,0,1,80),1,$B66)</f>
        <v>10</v>
      </c>
      <c r="N66" s="456">
        <f ca="1">INDEX(OFFSET('SK-ratings-final'!$I$20,'SK-ranking'!N$1-19,0,1,80),1,$B66)</f>
        <v>10</v>
      </c>
      <c r="O66" s="456">
        <f ca="1">INDEX(OFFSET('SK-ratings-final'!$I$20,'SK-ranking'!O$1-19,0,1,80),1,$B66)</f>
        <v>9.5243291044874105</v>
      </c>
      <c r="P66" s="523">
        <f ca="1">INDEX(OFFSET('SK-ratings-final'!$I$20,'SK-ranking'!P$1-19,0,1,80),1,$B66)</f>
        <v>9.8097316417949649</v>
      </c>
      <c r="R66" s="456">
        <f ca="1">INDEX(OFFSET('SK-ratings-final'!$I$20,'SK-ranking'!R$1-19,0,1,80),1,$B66)</f>
        <v>0</v>
      </c>
      <c r="S66" s="456">
        <f ca="1">INDEX(OFFSET('SK-ratings-final'!$I$20,'SK-ranking'!S$1-19,0,1,80),1,$B66)</f>
        <v>7.6260038646034456</v>
      </c>
      <c r="T66" s="523">
        <f ca="1">INDEX(OFFSET('SK-ratings-final'!$I$20,'SK-ranking'!T$1-19,0,1,80),1,$B66)</f>
        <v>3.8130019323017228</v>
      </c>
      <c r="V66" s="456">
        <f ca="1">INDEX(OFFSET('SK-ratings-final'!$I$20,'SK-ranking'!V$1-19,0,1,80),1,$B66)</f>
        <v>5.2308309198176408</v>
      </c>
      <c r="W66" s="456">
        <f ca="1">INDEX(OFFSET('SK-ratings-final'!$I$20,'SK-ranking'!W$1-19,0,1,80),1,$B66)</f>
        <v>3.2348073996651996</v>
      </c>
      <c r="X66" s="523">
        <f ca="1">INDEX(OFFSET('SK-ratings-final'!$I$20,'SK-ranking'!X$1-19,0,1,80),1,$B66)</f>
        <v>4.2328191597414193</v>
      </c>
      <c r="AA66" s="532">
        <f ca="1">INDEX(OFFSET('SK-ratios'!$AF$23,'SK-ranking'!AA$1-19,0,1,80),1,$B66)</f>
        <v>2.3080349791889674</v>
      </c>
      <c r="AB66" s="532">
        <f ca="1">INDEX(OFFSET('SK-ratios'!$AF$23,'SK-ranking'!AB$1-19,0,1,80),1,$B66)</f>
        <v>2.303308141619782</v>
      </c>
      <c r="AC66" s="532">
        <f ca="1">INDEX(OFFSET('SK-ratios'!$AF$23,'SK-ranking'!AC$1-19,0,1,80),1,$B66)</f>
        <v>1.4322736875752964</v>
      </c>
      <c r="AD66" s="456"/>
      <c r="AE66" s="456">
        <f ca="1">INDEX(OFFSET('SK-ratios'!$AF$23,'SK-ranking'!AE$1-19,0,1,80),1,$B66)</f>
        <v>0.25199796776081068</v>
      </c>
      <c r="AF66" s="456">
        <f ca="1">INDEX(OFFSET('SK-ratios'!$AF$23,'SK-ranking'!AF$1-19,0,1,80),1,$B66)</f>
        <v>0.4416138591965677</v>
      </c>
      <c r="AG66" s="456">
        <f ca="1">INDEX(OFFSET('SK-ratios'!$AF$23,'SK-ranking'!AG$1-19,0,1,80),1,$B66)</f>
        <v>0.11014479330830811</v>
      </c>
      <c r="AI66" s="456">
        <f ca="1">INDEX(OFFSET('SK-ratios'!$AF$23,'SK-ranking'!AI$1-19,0,1,80),1,$B66)</f>
        <v>0.42015281254874814</v>
      </c>
      <c r="AJ66" s="456">
        <f ca="1">INDEX(OFFSET('SK-ratios'!$AF$23,'SK-ranking'!AJ$1-19,0,1,80),1,$B66)</f>
        <v>1.2330821466658302</v>
      </c>
      <c r="AL66" s="456">
        <f ca="1">INDEX(OFFSET('SK-ratios'!$AF$23,'SK-ranking'!AL$1-19,0,1,80),1,$B66)</f>
        <v>4.4459746293684343</v>
      </c>
      <c r="AM66" s="456">
        <f ca="1">INDEX(OFFSET('SK-ratios'!$AF$23,'SK-ranking'!AM$1-19,0,1,80),1,$B66)</f>
        <v>6.865835726934006</v>
      </c>
    </row>
    <row r="67" spans="1:39" x14ac:dyDescent="0.25">
      <c r="A67" s="403">
        <v>3</v>
      </c>
      <c r="B67" s="525">
        <f>MATCH(C67,'SK-ratings-final'!I$2:CJ$2,0)</f>
        <v>11</v>
      </c>
      <c r="C67" s="307" t="str">
        <f>INDEX('SK-ratings-final'!$I$2:$CJ$2,MATCH('SK-ranking'!F67,'SK-ratings-final'!$I$35:$CJ$35,0))</f>
        <v>Direct Parcel Distribution SK s.r.o.</v>
      </c>
      <c r="D67" s="307" t="str">
        <f>INDEX('SK-info'!C$2:C$81,MATCH('SK-ranking'!C67,'SK-info'!B$2:B$81,0))</f>
        <v>private</v>
      </c>
      <c r="E67" s="323" t="s">
        <v>400</v>
      </c>
      <c r="F67" s="523">
        <f t="array" ref="F67">LARGE(IF('SK-ratings-final'!I$3:CJ$3="private",'SK-ratings-final'!$I$35:$CJ$35),'SK-ranking'!A67)</f>
        <v>5.7119397334152895</v>
      </c>
      <c r="H67" s="456">
        <f ca="1">INDEX(OFFSET('SK-ratings-final'!$I$20,'SK-ranking'!H$1-19,0,1,80),1,$B67)</f>
        <v>5.8844899939515996</v>
      </c>
      <c r="I67" s="456">
        <f ca="1">INDEX(OFFSET('SK-ratings-final'!$I$20,'SK-ranking'!I$1-19,0,1,80),1,$B67)</f>
        <v>6.1926978279995115</v>
      </c>
      <c r="J67" s="456">
        <f ca="1">INDEX(OFFSET('SK-ratings-final'!$I$20,'SK-ranking'!J$1-19,0,1,80),1,$B67)</f>
        <v>5.127951460173132</v>
      </c>
      <c r="K67" s="523">
        <f ca="1">INDEX(OFFSET('SK-ratings-final'!$I$20,'SK-ranking'!K$1-19,0,1,80),1,$B67)</f>
        <v>5.7350464273747477</v>
      </c>
      <c r="M67" s="456">
        <f ca="1">INDEX(OFFSET('SK-ratings-final'!$I$20,'SK-ranking'!M$1-19,0,1,80),1,$B67)</f>
        <v>10</v>
      </c>
      <c r="N67" s="456">
        <f ca="1">INDEX(OFFSET('SK-ratings-final'!$I$20,'SK-ranking'!N$1-19,0,1,80),1,$B67)</f>
        <v>9.7638251966875611</v>
      </c>
      <c r="O67" s="456">
        <f ca="1">INDEX(OFFSET('SK-ratings-final'!$I$20,'SK-ranking'!O$1-19,0,1,80),1,$B67)</f>
        <v>8.9561952617476432</v>
      </c>
      <c r="P67" s="523">
        <f ca="1">INDEX(OFFSET('SK-ratings-final'!$I$20,'SK-ranking'!P$1-19,0,1,80),1,$B67)</f>
        <v>9.5352431440365706</v>
      </c>
      <c r="R67" s="456">
        <f ca="1">INDEX(OFFSET('SK-ratings-final'!$I$20,'SK-ranking'!R$1-19,0,1,80),1,$B67)</f>
        <v>9.6181958807724149E-2</v>
      </c>
      <c r="S67" s="456">
        <f ca="1">INDEX(OFFSET('SK-ratings-final'!$I$20,'SK-ranking'!S$1-19,0,1,80),1,$B67)</f>
        <v>7.4374041065174179</v>
      </c>
      <c r="T67" s="523">
        <f ca="1">INDEX(OFFSET('SK-ratings-final'!$I$20,'SK-ranking'!T$1-19,0,1,80),1,$B67)</f>
        <v>3.7667930326625716</v>
      </c>
      <c r="V67" s="456">
        <f ca="1">INDEX(OFFSET('SK-ratings-final'!$I$20,'SK-ranking'!V$1-19,0,1,80),1,$B67)</f>
        <v>5.1220421210607663</v>
      </c>
      <c r="W67" s="456">
        <f ca="1">INDEX(OFFSET('SK-ratings-final'!$I$20,'SK-ranking'!W$1-19,0,1,80),1,$B67)</f>
        <v>2.5212521865761226</v>
      </c>
      <c r="X67" s="523">
        <f ca="1">INDEX(OFFSET('SK-ratings-final'!$I$20,'SK-ranking'!X$1-19,0,1,80),1,$B67)</f>
        <v>3.8216471538184447</v>
      </c>
      <c r="AA67" s="532">
        <f ca="1">INDEX(OFFSET('SK-ratios'!$AF$23,'SK-ranking'!AA$1-19,0,1,80),1,$B67)</f>
        <v>2.4629725486596645</v>
      </c>
      <c r="AB67" s="532">
        <f ca="1">INDEX(OFFSET('SK-ratios'!$AF$23,'SK-ranking'!AB$1-19,0,1,80),1,$B67)</f>
        <v>2.4186358751161996</v>
      </c>
      <c r="AC67" s="532">
        <f ca="1">INDEX(OFFSET('SK-ratios'!$AF$23,'SK-ranking'!AC$1-19,0,1,80),1,$B67)</f>
        <v>0.9310037066406821</v>
      </c>
      <c r="AD67" s="456"/>
      <c r="AE67" s="456">
        <f ca="1">INDEX(OFFSET('SK-ratios'!$AF$23,'SK-ranking'!AE$1-19,0,1,80),1,$B67)</f>
        <v>0.14978223757976528</v>
      </c>
      <c r="AF67" s="456">
        <f ca="1">INDEX(OFFSET('SK-ratios'!$AF$23,'SK-ranking'!AF$1-19,0,1,80),1,$B67)</f>
        <v>0.23004688631793455</v>
      </c>
      <c r="AG67" s="456">
        <f ca="1">INDEX(OFFSET('SK-ratios'!$AF$23,'SK-ranking'!AG$1-19,0,1,80),1,$B67)</f>
        <v>8.0568806410302896E-2</v>
      </c>
      <c r="AI67" s="456">
        <f ca="1">INDEX(OFFSET('SK-ratios'!$AF$23,'SK-ranking'!AI$1-19,0,1,80),1,$B67)</f>
        <v>0.34890560799523335</v>
      </c>
      <c r="AJ67" s="456">
        <f ca="1">INDEX(OFFSET('SK-ratios'!$AF$23,'SK-ranking'!AJ$1-19,0,1,80),1,$B67)</f>
        <v>1.358115672157415</v>
      </c>
      <c r="AL67" s="456">
        <f ca="1">INDEX(OFFSET('SK-ratios'!$AF$23,'SK-ranking'!AL$1-19,0,1,80),1,$B67)</f>
        <v>3.9613446766186509</v>
      </c>
      <c r="AM67" s="456">
        <f ca="1">INDEX(OFFSET('SK-ratios'!$AF$23,'SK-ranking'!AM$1-19,0,1,80),1,$B67)</f>
        <v>3.9917497227577545</v>
      </c>
    </row>
    <row r="68" spans="1:39" x14ac:dyDescent="0.25">
      <c r="A68" s="403">
        <v>4</v>
      </c>
      <c r="B68" s="525">
        <f>MATCH(C68,'SK-ratings-final'!I$2:CJ$2,0)</f>
        <v>57</v>
      </c>
      <c r="C68" s="307" t="str">
        <f>INDEX('SK-ratings-final'!$I$2:$CJ$2,MATCH('SK-ranking'!F68,'SK-ratings-final'!$I$35:$CJ$35,0))</f>
        <v>SLOVINTEGRA ENERGY, a.s.</v>
      </c>
      <c r="D68" s="307" t="str">
        <f>INDEX('SK-info'!C$2:C$81,MATCH('SK-ranking'!C68,'SK-info'!B$2:B$81,0))</f>
        <v>private</v>
      </c>
      <c r="E68" s="323" t="s">
        <v>400</v>
      </c>
      <c r="F68" s="523">
        <f t="array" ref="F68">LARGE(IF('SK-ratings-final'!I$3:CJ$3="private",'SK-ratings-final'!$I$35:$CJ$35),'SK-ranking'!A68)</f>
        <v>5.6550142052735151</v>
      </c>
      <c r="H68" s="456">
        <f ca="1">INDEX(OFFSET('SK-ratings-final'!$I$20,'SK-ranking'!H$1-19,0,1,80),1,$B68)</f>
        <v>4.346947085076283</v>
      </c>
      <c r="I68" s="456">
        <f ca="1">INDEX(OFFSET('SK-ratings-final'!$I$20,'SK-ranking'!I$1-19,0,1,80),1,$B68)</f>
        <v>4.4281166047239466</v>
      </c>
      <c r="J68" s="456">
        <f ca="1">INDEX(OFFSET('SK-ratings-final'!$I$20,'SK-ranking'!J$1-19,0,1,80),1,$B68)</f>
        <v>3.7933815402329794</v>
      </c>
      <c r="K68" s="523">
        <f ca="1">INDEX(OFFSET('SK-ratings-final'!$I$20,'SK-ranking'!K$1-19,0,1,80),1,$B68)</f>
        <v>4.1894817433444027</v>
      </c>
      <c r="M68" s="456">
        <f ca="1">INDEX(OFFSET('SK-ratings-final'!$I$20,'SK-ranking'!M$1-19,0,1,80),1,$B68)</f>
        <v>8.97568014045161</v>
      </c>
      <c r="N68" s="456">
        <f ca="1">INDEX(OFFSET('SK-ratings-final'!$I$20,'SK-ranking'!N$1-19,0,1,80),1,$B68)</f>
        <v>8.4176638371150805</v>
      </c>
      <c r="O68" s="456">
        <f ca="1">INDEX(OFFSET('SK-ratings-final'!$I$20,'SK-ranking'!O$1-19,0,1,80),1,$B68)</f>
        <v>9.030944124652688</v>
      </c>
      <c r="P68" s="523">
        <f ca="1">INDEX(OFFSET('SK-ratings-final'!$I$20,'SK-ranking'!P$1-19,0,1,80),1,$B68)</f>
        <v>8.8861824734647357</v>
      </c>
      <c r="R68" s="456">
        <f ca="1">INDEX(OFFSET('SK-ratings-final'!$I$20,'SK-ranking'!R$1-19,0,1,80),1,$B68)</f>
        <v>0.24261182902659378</v>
      </c>
      <c r="S68" s="456">
        <f ca="1">INDEX(OFFSET('SK-ratings-final'!$I$20,'SK-ranking'!S$1-19,0,1,80),1,$B68)</f>
        <v>7.0754644357076169</v>
      </c>
      <c r="T68" s="523">
        <f ca="1">INDEX(OFFSET('SK-ratings-final'!$I$20,'SK-ranking'!T$1-19,0,1,80),1,$B68)</f>
        <v>3.6590381323671051</v>
      </c>
      <c r="V68" s="456">
        <f ca="1">INDEX(OFFSET('SK-ratings-final'!$I$20,'SK-ranking'!V$1-19,0,1,80),1,$B68)</f>
        <v>9.1558306954469426</v>
      </c>
      <c r="W68" s="456">
        <f ca="1">INDEX(OFFSET('SK-ratings-final'!$I$20,'SK-ranking'!W$1-19,0,1,80),1,$B68)</f>
        <v>3.7280364181640451</v>
      </c>
      <c r="X68" s="523">
        <f ca="1">INDEX(OFFSET('SK-ratings-final'!$I$20,'SK-ranking'!X$1-19,0,1,80),1,$B68)</f>
        <v>6.441933556805493</v>
      </c>
      <c r="AA68" s="532">
        <f ca="1">INDEX(OFFSET('SK-ratios'!$AF$23,'SK-ranking'!AA$1-19,0,1,80),1,$B68)</f>
        <v>1.4492430947370025</v>
      </c>
      <c r="AB68" s="532">
        <f ca="1">INDEX(OFFSET('SK-ratios'!$AF$23,'SK-ranking'!AB$1-19,0,1,80),1,$B68)</f>
        <v>1.3588577245816578</v>
      </c>
      <c r="AC68" s="532">
        <f ca="1">INDEX(OFFSET('SK-ratios'!$AF$23,'SK-ranking'!AC$1-19,0,1,80),1,$B68)</f>
        <v>0.63762357899440736</v>
      </c>
      <c r="AD68" s="456"/>
      <c r="AE68" s="456">
        <f ca="1">INDEX(OFFSET('SK-ratios'!$AF$23,'SK-ranking'!AE$1-19,0,1,80),1,$B68)</f>
        <v>8.530906014570637E-2</v>
      </c>
      <c r="AF68" s="456">
        <f ca="1">INDEX(OFFSET('SK-ratios'!$AF$23,'SK-ranking'!AF$1-19,0,1,80),1,$B68)</f>
        <v>0.1336353521857426</v>
      </c>
      <c r="AG68" s="456">
        <f ca="1">INDEX(OFFSET('SK-ratios'!$AF$23,'SK-ranking'!AG$1-19,0,1,80),1,$B68)</f>
        <v>0.12663479516979917</v>
      </c>
      <c r="AI68" s="456">
        <f ca="1">INDEX(OFFSET('SK-ratios'!$AF$23,'SK-ranking'!AI$1-19,0,1,80),1,$B68)</f>
        <v>0.36162753836417555</v>
      </c>
      <c r="AJ68" s="456">
        <f ca="1">INDEX(OFFSET('SK-ratios'!$AF$23,'SK-ranking'!AJ$1-19,0,1,80),1,$B68)</f>
        <v>1.7887809043178453</v>
      </c>
      <c r="AL68" s="456">
        <f ca="1">INDEX(OFFSET('SK-ratios'!$AF$23,'SK-ranking'!AL$1-19,0,1,80),1,$B68)</f>
        <v>12.490452961299438</v>
      </c>
      <c r="AM68" s="456">
        <f ca="1">INDEX(OFFSET('SK-ratios'!$AF$23,'SK-ranking'!AM$1-19,0,1,80),1,$B68)</f>
        <v>7.7881857419523763</v>
      </c>
    </row>
    <row r="69" spans="1:39" x14ac:dyDescent="0.25">
      <c r="A69" s="403">
        <v>5</v>
      </c>
      <c r="B69" s="525">
        <f>MATCH(C69,'SK-ratings-final'!I$2:CJ$2,0)</f>
        <v>45</v>
      </c>
      <c r="C69" s="307" t="str">
        <f>INDEX('SK-ratings-final'!$I$2:$CJ$2,MATCH('SK-ranking'!F69,'SK-ratings-final'!$I$35:$CJ$35,0))</f>
        <v>Pow-en a. s.</v>
      </c>
      <c r="D69" s="307" t="str">
        <f>INDEX('SK-info'!C$2:C$81,MATCH('SK-ranking'!C69,'SK-info'!B$2:B$81,0))</f>
        <v>private</v>
      </c>
      <c r="E69" s="323" t="s">
        <v>400</v>
      </c>
      <c r="F69" s="523">
        <f t="array" ref="F69">LARGE(IF('SK-ratings-final'!I$3:CJ$3="private",'SK-ratings-final'!$I$35:$CJ$35),'SK-ranking'!A69)</f>
        <v>5.5894906458878078</v>
      </c>
      <c r="H69" s="456">
        <f ca="1">INDEX(OFFSET('SK-ratings-final'!$I$20,'SK-ranking'!H$1-19,0,1,80),1,$B69)</f>
        <v>5.043782728138992</v>
      </c>
      <c r="I69" s="456">
        <f ca="1">INDEX(OFFSET('SK-ratings-final'!$I$20,'SK-ranking'!I$1-19,0,1,80),1,$B69)</f>
        <v>5.3494148556747927</v>
      </c>
      <c r="J69" s="456">
        <f ca="1">INDEX(OFFSET('SK-ratings-final'!$I$20,'SK-ranking'!J$1-19,0,1,80),1,$B69)</f>
        <v>4.2032080781214214</v>
      </c>
      <c r="K69" s="523">
        <f ca="1">INDEX(OFFSET('SK-ratings-final'!$I$20,'SK-ranking'!K$1-19,0,1,80),1,$B69)</f>
        <v>4.8654685539784017</v>
      </c>
      <c r="M69" s="456">
        <f ca="1">INDEX(OFFSET('SK-ratings-final'!$I$20,'SK-ranking'!M$1-19,0,1,80),1,$B69)</f>
        <v>10</v>
      </c>
      <c r="N69" s="456">
        <f ca="1">INDEX(OFFSET('SK-ratings-final'!$I$20,'SK-ranking'!N$1-19,0,1,80),1,$B69)</f>
        <v>9.8002402544195775</v>
      </c>
      <c r="O69" s="456">
        <f ca="1">INDEX(OFFSET('SK-ratings-final'!$I$20,'SK-ranking'!O$1-19,0,1,80),1,$B69)</f>
        <v>9.1078132103877376</v>
      </c>
      <c r="P69" s="523">
        <f ca="1">INDEX(OFFSET('SK-ratings-final'!$I$20,'SK-ranking'!P$1-19,0,1,80),1,$B69)</f>
        <v>9.6031733350390098</v>
      </c>
      <c r="R69" s="456">
        <f ca="1">INDEX(OFFSET('SK-ratings-final'!$I$20,'SK-ranking'!R$1-19,0,1,80),1,$B69)</f>
        <v>0</v>
      </c>
      <c r="S69" s="456">
        <f ca="1">INDEX(OFFSET('SK-ratings-final'!$I$20,'SK-ranking'!S$1-19,0,1,80),1,$B69)</f>
        <v>6.7785429294897162</v>
      </c>
      <c r="T69" s="523">
        <f ca="1">INDEX(OFFSET('SK-ratings-final'!$I$20,'SK-ranking'!T$1-19,0,1,80),1,$B69)</f>
        <v>3.3892714647448581</v>
      </c>
      <c r="V69" s="456">
        <f ca="1">INDEX(OFFSET('SK-ratings-final'!$I$20,'SK-ranking'!V$1-19,0,1,80),1,$B69)</f>
        <v>6.5542071601267269</v>
      </c>
      <c r="W69" s="456">
        <f ca="1">INDEX(OFFSET('SK-ratings-final'!$I$20,'SK-ranking'!W$1-19,0,1,80),1,$B69)</f>
        <v>3.0012801819732409</v>
      </c>
      <c r="X69" s="523">
        <f ca="1">INDEX(OFFSET('SK-ratings-final'!$I$20,'SK-ranking'!X$1-19,0,1,80),1,$B69)</f>
        <v>4.7777436710499837</v>
      </c>
      <c r="AA69" s="532">
        <f ca="1">INDEX(OFFSET('SK-ratios'!$AF$23,'SK-ranking'!AA$1-19,0,1,80),1,$B69)</f>
        <v>1.8521338253782005</v>
      </c>
      <c r="AB69" s="532">
        <f ca="1">INDEX(OFFSET('SK-ratios'!$AF$23,'SK-ranking'!AB$1-19,0,1,80),1,$B69)</f>
        <v>1.8503383907125335</v>
      </c>
      <c r="AC69" s="532">
        <f ca="1">INDEX(OFFSET('SK-ratios'!$AF$23,'SK-ranking'!AC$1-19,0,1,80),1,$B69)</f>
        <v>0.45737942640336499</v>
      </c>
      <c r="AD69" s="456"/>
      <c r="AE69" s="456">
        <f ca="1">INDEX(OFFSET('SK-ratios'!$AF$23,'SK-ranking'!AE$1-19,0,1,80),1,$B69)</f>
        <v>0.19486573921254999</v>
      </c>
      <c r="AF69" s="456">
        <f ca="1">INDEX(OFFSET('SK-ratios'!$AF$23,'SK-ranking'!AF$1-19,0,1,80),1,$B69)</f>
        <v>0.35396614871175747</v>
      </c>
      <c r="AG69" s="456">
        <f ca="1">INDEX(OFFSET('SK-ratios'!$AF$23,'SK-ranking'!AG$1-19,0,1,80),1,$B69)</f>
        <v>9.3065844212345442E-2</v>
      </c>
      <c r="AI69" s="456">
        <f ca="1">INDEX(OFFSET('SK-ratios'!$AF$23,'SK-ranking'!AI$1-19,0,1,80),1,$B69)</f>
        <v>0.44936594239091987</v>
      </c>
      <c r="AJ69" s="456">
        <f ca="1">INDEX(OFFSET('SK-ratios'!$AF$23,'SK-ranking'!AJ$1-19,0,1,80),1,$B69)</f>
        <v>1.886915957470509</v>
      </c>
      <c r="AL69" s="456">
        <f ca="1">INDEX(OFFSET('SK-ratios'!$AF$23,'SK-ranking'!AL$1-19,0,1,80),1,$B69)</f>
        <v>8.5811333685488957</v>
      </c>
      <c r="AM69" s="456">
        <f ca="1">INDEX(OFFSET('SK-ratios'!$AF$23,'SK-ranking'!AM$1-19,0,1,80),1,$B69)</f>
        <v>5.9172480168948098</v>
      </c>
    </row>
    <row r="70" spans="1:39" x14ac:dyDescent="0.25">
      <c r="A70" s="403">
        <v>6</v>
      </c>
      <c r="B70" s="525">
        <f>MATCH(C70,'SK-ratings-final'!I$2:CJ$2,0)</f>
        <v>37</v>
      </c>
      <c r="C70" s="307" t="str">
        <f>INDEX('SK-ratings-final'!$I$2:$CJ$2,MATCH('SK-ranking'!F70,'SK-ratings-final'!$I$35:$CJ$35,0))</f>
        <v>Nemocnica Košice-Šaca a.s. 1. súkromná nemocnica</v>
      </c>
      <c r="D70" s="307" t="str">
        <f>INDEX('SK-info'!C$2:C$81,MATCH('SK-ranking'!C70,'SK-info'!B$2:B$81,0))</f>
        <v>private</v>
      </c>
      <c r="E70" s="323" t="s">
        <v>400</v>
      </c>
      <c r="F70" s="523">
        <f t="array" ref="F70">LARGE(IF('SK-ratings-final'!I$3:CJ$3="private",'SK-ratings-final'!$I$35:$CJ$35),'SK-ranking'!A70)</f>
        <v>5.5081726603894392</v>
      </c>
      <c r="H70" s="456">
        <f ca="1">INDEX(OFFSET('SK-ratings-final'!$I$20,'SK-ranking'!H$1-19,0,1,80),1,$B70)</f>
        <v>6.0013380744942042</v>
      </c>
      <c r="I70" s="456">
        <f ca="1">INDEX(OFFSET('SK-ratings-final'!$I$20,'SK-ranking'!I$1-19,0,1,80),1,$B70)</f>
        <v>6.2221488939780327</v>
      </c>
      <c r="J70" s="456">
        <f ca="1">INDEX(OFFSET('SK-ratings-final'!$I$20,'SK-ranking'!J$1-19,0,1,80),1,$B70)</f>
        <v>2.4605694934982787</v>
      </c>
      <c r="K70" s="523">
        <f ca="1">INDEX(OFFSET('SK-ratings-final'!$I$20,'SK-ranking'!K$1-19,0,1,80),1,$B70)</f>
        <v>4.8946854873235051</v>
      </c>
      <c r="M70" s="456">
        <f ca="1">INDEX(OFFSET('SK-ratings-final'!$I$20,'SK-ranking'!M$1-19,0,1,80),1,$B70)</f>
        <v>10</v>
      </c>
      <c r="N70" s="456">
        <f ca="1">INDEX(OFFSET('SK-ratings-final'!$I$20,'SK-ranking'!N$1-19,0,1,80),1,$B70)</f>
        <v>10</v>
      </c>
      <c r="O70" s="456">
        <f ca="1">INDEX(OFFSET('SK-ratings-final'!$I$20,'SK-ranking'!O$1-19,0,1,80),1,$B70)</f>
        <v>8.631688025858395</v>
      </c>
      <c r="P70" s="523">
        <f ca="1">INDEX(OFFSET('SK-ratings-final'!$I$20,'SK-ranking'!P$1-19,0,1,80),1,$B70)</f>
        <v>9.452675210343358</v>
      </c>
      <c r="R70" s="456">
        <f ca="1">INDEX(OFFSET('SK-ratings-final'!$I$20,'SK-ranking'!R$1-19,0,1,80),1,$B70)</f>
        <v>5.4373367194398066E-2</v>
      </c>
      <c r="S70" s="456">
        <f ca="1">INDEX(OFFSET('SK-ratings-final'!$I$20,'SK-ranking'!S$1-19,0,1,80),1,$B70)</f>
        <v>7.3228595956713445</v>
      </c>
      <c r="T70" s="523">
        <f ca="1">INDEX(OFFSET('SK-ratings-final'!$I$20,'SK-ranking'!T$1-19,0,1,80),1,$B70)</f>
        <v>3.6886164814328715</v>
      </c>
      <c r="V70" s="456">
        <f ca="1">INDEX(OFFSET('SK-ratings-final'!$I$20,'SK-ranking'!V$1-19,0,1,80),1,$B70)</f>
        <v>5.7454719022519418</v>
      </c>
      <c r="W70" s="456">
        <f ca="1">INDEX(OFFSET('SK-ratings-final'!$I$20,'SK-ranking'!W$1-19,0,1,80),1,$B70)</f>
        <v>2.4020035131766808</v>
      </c>
      <c r="X70" s="523">
        <f ca="1">INDEX(OFFSET('SK-ratings-final'!$I$20,'SK-ranking'!X$1-19,0,1,80),1,$B70)</f>
        <v>4.0737377077143107</v>
      </c>
      <c r="AA70" s="532">
        <f ca="1">INDEX(OFFSET('SK-ratios'!$AF$23,'SK-ranking'!AA$1-19,0,1,80),1,$B70)</f>
        <v>2.65402819569554</v>
      </c>
      <c r="AB70" s="532">
        <f ca="1">INDEX(OFFSET('SK-ratios'!$AF$23,'SK-ranking'!AB$1-19,0,1,80),1,$B70)</f>
        <v>2.4836909221086336</v>
      </c>
      <c r="AC70" s="532">
        <f ca="1">INDEX(OFFSET('SK-ratios'!$AF$23,'SK-ranking'!AC$1-19,0,1,80),1,$B70)</f>
        <v>0.54943814312161843</v>
      </c>
      <c r="AD70" s="456"/>
      <c r="AE70" s="456">
        <f ca="1">INDEX(OFFSET('SK-ratios'!$AF$23,'SK-ranking'!AE$1-19,0,1,80),1,$B70)</f>
        <v>0.14926701091189221</v>
      </c>
      <c r="AF70" s="456">
        <f ca="1">INDEX(OFFSET('SK-ratios'!$AF$23,'SK-ranking'!AF$1-19,0,1,80),1,$B70)</f>
        <v>0.30167835678683025</v>
      </c>
      <c r="AG70" s="456">
        <f ca="1">INDEX(OFFSET('SK-ratios'!$AF$23,'SK-ranking'!AG$1-19,0,1,80),1,$B70)</f>
        <v>5.4821243916858817E-2</v>
      </c>
      <c r="AI70" s="456">
        <f ca="1">INDEX(OFFSET('SK-ratios'!$AF$23,'SK-ranking'!AI$1-19,0,1,80),1,$B70)</f>
        <v>0.33500606968013741</v>
      </c>
      <c r="AJ70" s="456">
        <f ca="1">INDEX(OFFSET('SK-ratios'!$AF$23,'SK-ranking'!AJ$1-19,0,1,80),1,$B70)</f>
        <v>1.2536395852806397</v>
      </c>
      <c r="AL70" s="456">
        <f ca="1">INDEX(OFFSET('SK-ratios'!$AF$23,'SK-ranking'!AL$1-19,0,1,80),1,$B70)</f>
        <v>6.3184826205332625</v>
      </c>
      <c r="AM70" s="456">
        <f ca="1">INDEX(OFFSET('SK-ratios'!$AF$23,'SK-ranking'!AM$1-19,0,1,80),1,$B70)</f>
        <v>5.5735180495873546</v>
      </c>
    </row>
    <row r="71" spans="1:39" x14ac:dyDescent="0.25">
      <c r="A71" s="403">
        <v>7</v>
      </c>
      <c r="B71" s="525">
        <f>MATCH(C71,'SK-ratings-final'!I$2:CJ$2,0)</f>
        <v>8</v>
      </c>
      <c r="C71" s="307" t="str">
        <f>INDEX('SK-ratings-final'!$I$2:$CJ$2,MATCH('SK-ranking'!F71,'SK-ratings-final'!$I$35:$CJ$35,0))</f>
        <v>BUDAMAR LOGISTICS, a.s.</v>
      </c>
      <c r="D71" s="307" t="str">
        <f>INDEX('SK-info'!C$2:C$81,MATCH('SK-ranking'!C71,'SK-info'!B$2:B$81,0))</f>
        <v>private</v>
      </c>
      <c r="E71" s="323" t="s">
        <v>400</v>
      </c>
      <c r="F71" s="523">
        <f t="array" ref="F71">LARGE(IF('SK-ratings-final'!I$3:CJ$3="private",'SK-ratings-final'!$I$35:$CJ$35),'SK-ranking'!A71)</f>
        <v>5.4014668130403791</v>
      </c>
      <c r="H71" s="456">
        <f ca="1">INDEX(OFFSET('SK-ratings-final'!$I$20,'SK-ranking'!H$1-19,0,1,80),1,$B71)</f>
        <v>5.4528151145620933</v>
      </c>
      <c r="I71" s="456">
        <f ca="1">INDEX(OFFSET('SK-ratings-final'!$I$20,'SK-ranking'!I$1-19,0,1,80),1,$B71)</f>
        <v>5.7232482098588289</v>
      </c>
      <c r="J71" s="456">
        <f ca="1">INDEX(OFFSET('SK-ratings-final'!$I$20,'SK-ranking'!J$1-19,0,1,80),1,$B71)</f>
        <v>3.0409952277439913</v>
      </c>
      <c r="K71" s="523">
        <f ca="1">INDEX(OFFSET('SK-ratings-final'!$I$20,'SK-ranking'!K$1-19,0,1,80),1,$B71)</f>
        <v>4.7390195173883045</v>
      </c>
      <c r="M71" s="456">
        <f ca="1">INDEX(OFFSET('SK-ratings-final'!$I$20,'SK-ranking'!M$1-19,0,1,80),1,$B71)</f>
        <v>9.9020156716625145</v>
      </c>
      <c r="N71" s="456">
        <f ca="1">INDEX(OFFSET('SK-ratings-final'!$I$20,'SK-ranking'!N$1-19,0,1,80),1,$B71)</f>
        <v>9.4992627679564556</v>
      </c>
      <c r="O71" s="456">
        <f ca="1">INDEX(OFFSET('SK-ratings-final'!$I$20,'SK-ranking'!O$1-19,0,1,80),1,$B71)</f>
        <v>8.3361621550400269</v>
      </c>
      <c r="P71" s="523">
        <f ca="1">INDEX(OFFSET('SK-ratings-final'!$I$20,'SK-ranking'!P$1-19,0,1,80),1,$B71)</f>
        <v>9.1951236842723088</v>
      </c>
      <c r="R71" s="456">
        <f ca="1">INDEX(OFFSET('SK-ratings-final'!$I$20,'SK-ranking'!R$1-19,0,1,80),1,$B71)</f>
        <v>0.26088326828197111</v>
      </c>
      <c r="S71" s="456">
        <f ca="1">INDEX(OFFSET('SK-ratings-final'!$I$20,'SK-ranking'!S$1-19,0,1,80),1,$B71)</f>
        <v>6.710124976641465</v>
      </c>
      <c r="T71" s="523">
        <f ca="1">INDEX(OFFSET('SK-ratings-final'!$I$20,'SK-ranking'!T$1-19,0,1,80),1,$B71)</f>
        <v>3.4855041224617178</v>
      </c>
      <c r="V71" s="456">
        <f ca="1">INDEX(OFFSET('SK-ratings-final'!$I$20,'SK-ranking'!V$1-19,0,1,80),1,$B71)</f>
        <v>6.248414437818596</v>
      </c>
      <c r="W71" s="456">
        <f ca="1">INDEX(OFFSET('SK-ratings-final'!$I$20,'SK-ranking'!W$1-19,0,1,80),1,$B71)</f>
        <v>2.4743833210485096</v>
      </c>
      <c r="X71" s="523">
        <f ca="1">INDEX(OFFSET('SK-ratings-final'!$I$20,'SK-ranking'!X$1-19,0,1,80),1,$B71)</f>
        <v>4.361398879433553</v>
      </c>
      <c r="AA71" s="532">
        <f ca="1">INDEX(OFFSET('SK-ratios'!$AF$23,'SK-ranking'!AA$1-19,0,1,80),1,$B71)</f>
        <v>1.7917419040230795</v>
      </c>
      <c r="AB71" s="532">
        <f ca="1">INDEX(OFFSET('SK-ratios'!$AF$23,'SK-ranking'!AB$1-19,0,1,80),1,$B71)</f>
        <v>1.723205898263992</v>
      </c>
      <c r="AC71" s="532">
        <f ca="1">INDEX(OFFSET('SK-ratios'!$AF$23,'SK-ranking'!AC$1-19,0,1,80),1,$B71)</f>
        <v>0.12641635650030306</v>
      </c>
      <c r="AD71" s="456"/>
      <c r="AE71" s="456">
        <f ca="1">INDEX(OFFSET('SK-ratios'!$AF$23,'SK-ranking'!AE$1-19,0,1,80),1,$B71)</f>
        <v>0.11890774892873326</v>
      </c>
      <c r="AF71" s="456">
        <f ca="1">INDEX(OFFSET('SK-ratios'!$AF$23,'SK-ranking'!AF$1-19,0,1,80),1,$B71)</f>
        <v>0.20808346456297921</v>
      </c>
      <c r="AG71" s="456">
        <f ca="1">INDEX(OFFSET('SK-ratios'!$AF$23,'SK-ranking'!AG$1-19,0,1,80),1,$B71)</f>
        <v>4.8943414050461216E-2</v>
      </c>
      <c r="AI71" s="456">
        <f ca="1">INDEX(OFFSET('SK-ratios'!$AF$23,'SK-ranking'!AI$1-19,0,1,80),1,$B71)</f>
        <v>0.42855645334088666</v>
      </c>
      <c r="AJ71" s="456">
        <f ca="1">INDEX(OFFSET('SK-ratios'!$AF$23,'SK-ranking'!AJ$1-19,0,1,80),1,$B71)</f>
        <v>2.677753025577096</v>
      </c>
      <c r="AL71" s="456">
        <f ca="1">INDEX(OFFSET('SK-ratios'!$AF$23,'SK-ranking'!AL$1-19,0,1,80),1,$B71)</f>
        <v>7.8489622934102581</v>
      </c>
      <c r="AM71" s="456">
        <f ca="1">INDEX(OFFSET('SK-ratios'!$AF$23,'SK-ranking'!AM$1-19,0,1,80),1,$B71)</f>
        <v>3.8917792158922255</v>
      </c>
    </row>
    <row r="72" spans="1:39" x14ac:dyDescent="0.25">
      <c r="A72" s="403">
        <v>8</v>
      </c>
      <c r="B72" s="525">
        <f>MATCH(C72,'SK-ratings-final'!I$2:CJ$2,0)</f>
        <v>14</v>
      </c>
      <c r="C72" s="307" t="str">
        <f>INDEX('SK-ratings-final'!$I$2:$CJ$2,MATCH('SK-ranking'!F72,'SK-ratings-final'!$I$35:$CJ$35,0))</f>
        <v xml:space="preserve">ELGAS, k.s. </v>
      </c>
      <c r="D72" s="307" t="str">
        <f>INDEX('SK-info'!C$2:C$81,MATCH('SK-ranking'!C72,'SK-info'!B$2:B$81,0))</f>
        <v>private</v>
      </c>
      <c r="E72" s="323" t="s">
        <v>400</v>
      </c>
      <c r="F72" s="523">
        <f t="array" ref="F72">LARGE(IF('SK-ratings-final'!I$3:CJ$3="private",'SK-ratings-final'!$I$35:$CJ$35),'SK-ranking'!A72)</f>
        <v>5.2293323218687568</v>
      </c>
      <c r="H72" s="456">
        <f ca="1">INDEX(OFFSET('SK-ratings-final'!$I$20,'SK-ranking'!H$1-19,0,1,80),1,$B72)</f>
        <v>4.264986736071533</v>
      </c>
      <c r="I72" s="456">
        <f ca="1">INDEX(OFFSET('SK-ratings-final'!$I$20,'SK-ranking'!I$1-19,0,1,80),1,$B72)</f>
        <v>4.4163014772555291</v>
      </c>
      <c r="J72" s="456">
        <f ca="1">INDEX(OFFSET('SK-ratings-final'!$I$20,'SK-ranking'!J$1-19,0,1,80),1,$B72)</f>
        <v>0.9346949654999116</v>
      </c>
      <c r="K72" s="523">
        <f ca="1">INDEX(OFFSET('SK-ratings-final'!$I$20,'SK-ranking'!K$1-19,0,1,80),1,$B72)</f>
        <v>3.2053277262756579</v>
      </c>
      <c r="M72" s="456">
        <f ca="1">INDEX(OFFSET('SK-ratings-final'!$I$20,'SK-ranking'!M$1-19,0,1,80),1,$B72)</f>
        <v>9.7994696415167031</v>
      </c>
      <c r="N72" s="456">
        <f ca="1">INDEX(OFFSET('SK-ratings-final'!$I$20,'SK-ranking'!N$1-19,0,1,80),1,$B72)</f>
        <v>10</v>
      </c>
      <c r="O72" s="456">
        <f ca="1">INDEX(OFFSET('SK-ratings-final'!$I$20,'SK-ranking'!O$1-19,0,1,80),1,$B72)</f>
        <v>7.4042389825687769</v>
      </c>
      <c r="P72" s="523">
        <f ca="1">INDEX(OFFSET('SK-ratings-final'!$I$20,'SK-ranking'!P$1-19,0,1,80),1,$B72)</f>
        <v>8.8814834496341923</v>
      </c>
      <c r="R72" s="456">
        <f ca="1">INDEX(OFFSET('SK-ratings-final'!$I$20,'SK-ranking'!R$1-19,0,1,80),1,$B72)</f>
        <v>0</v>
      </c>
      <c r="S72" s="456">
        <f ca="1">INDEX(OFFSET('SK-ratings-final'!$I$20,'SK-ranking'!S$1-19,0,1,80),1,$B72)</f>
        <v>5.8970247868957317</v>
      </c>
      <c r="T72" s="523">
        <f ca="1">INDEX(OFFSET('SK-ratings-final'!$I$20,'SK-ranking'!T$1-19,0,1,80),1,$B72)</f>
        <v>2.9485123934478659</v>
      </c>
      <c r="V72" s="456">
        <f ca="1">INDEX(OFFSET('SK-ratings-final'!$I$20,'SK-ranking'!V$1-19,0,1,80),1,$B72)</f>
        <v>10</v>
      </c>
      <c r="W72" s="456">
        <f ca="1">INDEX(OFFSET('SK-ratings-final'!$I$20,'SK-ranking'!W$1-19,0,1,80),1,$B72)</f>
        <v>3.2307580985693392</v>
      </c>
      <c r="X72" s="523">
        <f ca="1">INDEX(OFFSET('SK-ratings-final'!$I$20,'SK-ranking'!X$1-19,0,1,80),1,$B72)</f>
        <v>6.6153790492846696</v>
      </c>
      <c r="AA72" s="532">
        <f ca="1">INDEX(OFFSET('SK-ratios'!$AF$23,'SK-ranking'!AA$1-19,0,1,80),1,$B72)</f>
        <v>1.2471046231092098</v>
      </c>
      <c r="AB72" s="532">
        <f ca="1">INDEX(OFFSET('SK-ratios'!$AF$23,'SK-ranking'!AB$1-19,0,1,80),1,$B72)</f>
        <v>1.1649798830050389</v>
      </c>
      <c r="AC72" s="532">
        <f ca="1">INDEX(OFFSET('SK-ratios'!$AF$23,'SK-ranking'!AC$1-19,0,1,80),1,$B72)</f>
        <v>0.12476433866102679</v>
      </c>
      <c r="AD72" s="456"/>
      <c r="AE72" s="456">
        <f ca="1">INDEX(OFFSET('SK-ratios'!$AF$23,'SK-ranking'!AE$1-19,0,1,80),1,$B72)</f>
        <v>0.20570200140321107</v>
      </c>
      <c r="AF72" s="456">
        <f ca="1">INDEX(OFFSET('SK-ratios'!$AF$23,'SK-ranking'!AF$1-19,0,1,80),1,$B72)</f>
        <v>0.80389042433594848</v>
      </c>
      <c r="AG72" s="456">
        <f ca="1">INDEX(OFFSET('SK-ratios'!$AF$23,'SK-ranking'!AG$1-19,0,1,80),1,$B72)</f>
        <v>4.6261602435350824E-2</v>
      </c>
      <c r="AI72" s="456">
        <f ca="1">INDEX(OFFSET('SK-ratios'!$AF$23,'SK-ranking'!AI$1-19,0,1,80),1,$B72)</f>
        <v>0.7226360248815934</v>
      </c>
      <c r="AJ72" s="456">
        <f ca="1">INDEX(OFFSET('SK-ratios'!$AF$23,'SK-ranking'!AJ$1-19,0,1,80),1,$B72)</f>
        <v>2.6817877109479498</v>
      </c>
      <c r="AL72" s="456">
        <f ca="1">INDEX(OFFSET('SK-ratios'!$AF$23,'SK-ranking'!AL$1-19,0,1,80),1,$B72)</f>
        <v>24.984697878300693</v>
      </c>
      <c r="AM72" s="456">
        <f ca="1">INDEX(OFFSET('SK-ratios'!$AF$23,'SK-ranking'!AM$1-19,0,1,80),1,$B72)</f>
        <v>5.9796111137938865</v>
      </c>
    </row>
    <row r="73" spans="1:39" x14ac:dyDescent="0.25">
      <c r="A73" s="403">
        <v>9</v>
      </c>
      <c r="B73" s="525">
        <f>MATCH(C73,'SK-ratings-final'!I$2:CJ$2,0)</f>
        <v>13</v>
      </c>
      <c r="C73" s="307" t="str">
        <f>INDEX('SK-ratings-final'!$I$2:$CJ$2,MATCH('SK-ranking'!F73,'SK-ratings-final'!$I$35:$CJ$35,0))</f>
        <v>EBA, s.r.o.</v>
      </c>
      <c r="D73" s="307" t="str">
        <f>INDEX('SK-info'!C$2:C$81,MATCH('SK-ranking'!C73,'SK-info'!B$2:B$81,0))</f>
        <v>private</v>
      </c>
      <c r="E73" s="323" t="s">
        <v>400</v>
      </c>
      <c r="F73" s="523">
        <f t="array" ref="F73">LARGE(IF('SK-ratings-final'!I$3:CJ$3="private",'SK-ratings-final'!$I$35:$CJ$35),'SK-ranking'!A73)</f>
        <v>5.2184654583776382</v>
      </c>
      <c r="H73" s="456">
        <f ca="1">INDEX(OFFSET('SK-ratings-final'!$I$20,'SK-ranking'!H$1-19,0,1,80),1,$B73)</f>
        <v>4.2221485863023824</v>
      </c>
      <c r="I73" s="456">
        <f ca="1">INDEX(OFFSET('SK-ratings-final'!$I$20,'SK-ranking'!I$1-19,0,1,80),1,$B73)</f>
        <v>4.4538916141876257</v>
      </c>
      <c r="J73" s="456">
        <f ca="1">INDEX(OFFSET('SK-ratings-final'!$I$20,'SK-ranking'!J$1-19,0,1,80),1,$B73)</f>
        <v>1.9905586388562158</v>
      </c>
      <c r="K73" s="523">
        <f ca="1">INDEX(OFFSET('SK-ratings-final'!$I$20,'SK-ranking'!K$1-19,0,1,80),1,$B73)</f>
        <v>3.5555329464487411</v>
      </c>
      <c r="M73" s="456">
        <f ca="1">INDEX(OFFSET('SK-ratings-final'!$I$20,'SK-ranking'!M$1-19,0,1,80),1,$B73)</f>
        <v>9.3307978995288181</v>
      </c>
      <c r="N73" s="456">
        <f ca="1">INDEX(OFFSET('SK-ratings-final'!$I$20,'SK-ranking'!N$1-19,0,1,80),1,$B73)</f>
        <v>9.1898910153269924</v>
      </c>
      <c r="O73" s="456">
        <f ca="1">INDEX(OFFSET('SK-ratings-final'!$I$20,'SK-ranking'!O$1-19,0,1,80),1,$B73)</f>
        <v>8.2690452133479138</v>
      </c>
      <c r="P73" s="523">
        <f ca="1">INDEX(OFFSET('SK-ratings-final'!$I$20,'SK-ranking'!P$1-19,0,1,80),1,$B73)</f>
        <v>8.8779154482160916</v>
      </c>
      <c r="R73" s="456">
        <f ca="1">INDEX(OFFSET('SK-ratings-final'!$I$20,'SK-ranking'!R$1-19,0,1,80),1,$B73)</f>
        <v>0</v>
      </c>
      <c r="S73" s="456">
        <f ca="1">INDEX(OFFSET('SK-ratings-final'!$I$20,'SK-ranking'!S$1-19,0,1,80),1,$B73)</f>
        <v>6.3669088878987292</v>
      </c>
      <c r="T73" s="523">
        <f ca="1">INDEX(OFFSET('SK-ratings-final'!$I$20,'SK-ranking'!T$1-19,0,1,80),1,$B73)</f>
        <v>3.1834544439493646</v>
      </c>
      <c r="V73" s="456">
        <f ca="1">INDEX(OFFSET('SK-ratings-final'!$I$20,'SK-ranking'!V$1-19,0,1,80),1,$B73)</f>
        <v>9.1595738074200064</v>
      </c>
      <c r="W73" s="456">
        <f ca="1">INDEX(OFFSET('SK-ratings-final'!$I$20,'SK-ranking'!W$1-19,0,1,80),1,$B73)</f>
        <v>2.3910964578461966</v>
      </c>
      <c r="X73" s="523">
        <f ca="1">INDEX(OFFSET('SK-ratings-final'!$I$20,'SK-ranking'!X$1-19,0,1,80),1,$B73)</f>
        <v>5.7753351326331011</v>
      </c>
      <c r="AA73" s="532">
        <f ca="1">INDEX(OFFSET('SK-ratios'!$AF$23,'SK-ranking'!AA$1-19,0,1,80),1,$B73)</f>
        <v>1.1227596303525036</v>
      </c>
      <c r="AB73" s="532">
        <f ca="1">INDEX(OFFSET('SK-ratios'!$AF$23,'SK-ranking'!AB$1-19,0,1,80),1,$B73)</f>
        <v>1.0962353015043633</v>
      </c>
      <c r="AC73" s="532">
        <f ca="1">INDEX(OFFSET('SK-ratios'!$AF$23,'SK-ranking'!AC$1-19,0,1,80),1,$B73)</f>
        <v>0.13321750902181545</v>
      </c>
      <c r="AD73" s="456"/>
      <c r="AE73" s="456">
        <f ca="1">INDEX(OFFSET('SK-ratios'!$AF$23,'SK-ranking'!AE$1-19,0,1,80),1,$B73)</f>
        <v>6.7325793032974826E-2</v>
      </c>
      <c r="AF73" s="456">
        <f ca="1">INDEX(OFFSET('SK-ratios'!$AF$23,'SK-ranking'!AF$1-19,0,1,80),1,$B73)</f>
        <v>0.14233741503287764</v>
      </c>
      <c r="AG73" s="456">
        <f ca="1">INDEX(OFFSET('SK-ratios'!$AF$23,'SK-ranking'!AG$1-19,0,1,80),1,$B73)</f>
        <v>5.1123100156807808E-2</v>
      </c>
      <c r="AI73" s="456">
        <f ca="1">INDEX(OFFSET('SK-ratios'!$AF$23,'SK-ranking'!AI$1-19,0,1,80),1,$B73)</f>
        <v>0.51549793599265914</v>
      </c>
      <c r="AJ73" s="456">
        <f ca="1">INDEX(OFFSET('SK-ratios'!$AF$23,'SK-ranking'!AJ$1-19,0,1,80),1,$B73)</f>
        <v>3.8101081470618938</v>
      </c>
      <c r="AL73" s="456">
        <f ca="1">INDEX(OFFSET('SK-ratios'!$AF$23,'SK-ranking'!AL$1-19,0,1,80),1,$B73)</f>
        <v>25.554894927484391</v>
      </c>
      <c r="AM73" s="456">
        <f ca="1">INDEX(OFFSET('SK-ratios'!$AF$23,'SK-ranking'!AM$1-19,0,1,80),1,$B73)</f>
        <v>3.6921668738434263</v>
      </c>
    </row>
    <row r="74" spans="1:39" x14ac:dyDescent="0.25">
      <c r="A74" s="403">
        <v>10</v>
      </c>
      <c r="B74" s="525">
        <f>MATCH(C74,'SK-ratings-final'!I$2:CJ$2,0)</f>
        <v>49</v>
      </c>
      <c r="C74" s="307" t="str">
        <f>INDEX('SK-ratings-final'!$I$2:$CJ$2,MATCH('SK-ranking'!F74,'SK-ratings-final'!$I$35:$CJ$35,0))</f>
        <v>Slovak Parcel Service s.r.o.</v>
      </c>
      <c r="D74" s="307" t="str">
        <f>INDEX('SK-info'!C$2:C$81,MATCH('SK-ranking'!C74,'SK-info'!B$2:B$81,0))</f>
        <v>private</v>
      </c>
      <c r="E74" s="323" t="s">
        <v>400</v>
      </c>
      <c r="F74" s="523">
        <f t="array" ref="F74">LARGE(IF('SK-ratings-final'!I$3:CJ$3="private",'SK-ratings-final'!$I$35:$CJ$35),'SK-ranking'!A74)</f>
        <v>5.1903963138816884</v>
      </c>
      <c r="H74" s="456">
        <f ca="1">INDEX(OFFSET('SK-ratings-final'!$I$20,'SK-ranking'!H$1-19,0,1,80),1,$B74)</f>
        <v>4.0464333111285669</v>
      </c>
      <c r="I74" s="456">
        <f ca="1">INDEX(OFFSET('SK-ratings-final'!$I$20,'SK-ranking'!I$1-19,0,1,80),1,$B74)</f>
        <v>4.3114115724295887</v>
      </c>
      <c r="J74" s="456">
        <f ca="1">INDEX(OFFSET('SK-ratings-final'!$I$20,'SK-ranking'!J$1-19,0,1,80),1,$B74)</f>
        <v>3.468324519521754</v>
      </c>
      <c r="K74" s="523">
        <f ca="1">INDEX(OFFSET('SK-ratings-final'!$I$20,'SK-ranking'!K$1-19,0,1,80),1,$B74)</f>
        <v>3.9420564676933032</v>
      </c>
      <c r="M74" s="456">
        <f ca="1">INDEX(OFFSET('SK-ratings-final'!$I$20,'SK-ranking'!M$1-19,0,1,80),1,$B74)</f>
        <v>8.957186256110365</v>
      </c>
      <c r="N74" s="456">
        <f ca="1">INDEX(OFFSET('SK-ratings-final'!$I$20,'SK-ranking'!N$1-19,0,1,80),1,$B74)</f>
        <v>8.5388463665312333</v>
      </c>
      <c r="O74" s="456">
        <f ca="1">INDEX(OFFSET('SK-ratings-final'!$I$20,'SK-ranking'!O$1-19,0,1,80),1,$B74)</f>
        <v>8.0972956223333341</v>
      </c>
      <c r="P74" s="523">
        <f ca="1">INDEX(OFFSET('SK-ratings-final'!$I$20,'SK-ranking'!P$1-19,0,1,80),1,$B74)</f>
        <v>8.5295620246837274</v>
      </c>
      <c r="R74" s="456">
        <f ca="1">INDEX(OFFSET('SK-ratings-final'!$I$20,'SK-ranking'!R$1-19,0,1,80),1,$B74)</f>
        <v>6.7946465075410759E-2</v>
      </c>
      <c r="S74" s="456">
        <f ca="1">INDEX(OFFSET('SK-ratings-final'!$I$20,'SK-ranking'!S$1-19,0,1,80),1,$B74)</f>
        <v>6.1091791969561688</v>
      </c>
      <c r="T74" s="523">
        <f ca="1">INDEX(OFFSET('SK-ratings-final'!$I$20,'SK-ranking'!T$1-19,0,1,80),1,$B74)</f>
        <v>3.08856283101579</v>
      </c>
      <c r="V74" s="456">
        <f ca="1">INDEX(OFFSET('SK-ratings-final'!$I$20,'SK-ranking'!V$1-19,0,1,80),1,$B74)</f>
        <v>8.3041568549962079</v>
      </c>
      <c r="W74" s="456">
        <f ca="1">INDEX(OFFSET('SK-ratings-final'!$I$20,'SK-ranking'!W$1-19,0,1,80),1,$B74)</f>
        <v>3.1550715598307346</v>
      </c>
      <c r="X74" s="523">
        <f ca="1">INDEX(OFFSET('SK-ratings-final'!$I$20,'SK-ranking'!X$1-19,0,1,80),1,$B74)</f>
        <v>5.729614207413471</v>
      </c>
      <c r="AA74" s="532">
        <f ca="1">INDEX(OFFSET('SK-ratios'!$AF$23,'SK-ranking'!AA$1-19,0,1,80),1,$B74)</f>
        <v>0.86560625102494237</v>
      </c>
      <c r="AB74" s="532">
        <f ca="1">INDEX(OFFSET('SK-ratios'!$AF$23,'SK-ranking'!AB$1-19,0,1,80),1,$B74)</f>
        <v>0.8556553598526897</v>
      </c>
      <c r="AC74" s="532">
        <f ca="1">INDEX(OFFSET('SK-ratios'!$AF$23,'SK-ranking'!AC$1-19,0,1,80),1,$B74)</f>
        <v>0.36420946541867644</v>
      </c>
      <c r="AD74" s="456"/>
      <c r="AE74" s="456">
        <f ca="1">INDEX(OFFSET('SK-ratios'!$AF$23,'SK-ranking'!AE$1-19,0,1,80),1,$B74)</f>
        <v>5.8073280470671292E-2</v>
      </c>
      <c r="AF74" s="456">
        <f ca="1">INDEX(OFFSET('SK-ratios'!$AF$23,'SK-ranking'!AF$1-19,0,1,80),1,$B74)</f>
        <v>0.10275530030224668</v>
      </c>
      <c r="AG74" s="456">
        <f ca="1">INDEX(OFFSET('SK-ratios'!$AF$23,'SK-ranking'!AG$1-19,0,1,80),1,$B74)</f>
        <v>4.2436097675465231E-2</v>
      </c>
      <c r="AI74" s="456">
        <f ca="1">INDEX(OFFSET('SK-ratios'!$AF$23,'SK-ranking'!AI$1-19,0,1,80),1,$B74)</f>
        <v>0.43462281131923652</v>
      </c>
      <c r="AJ74" s="456">
        <f ca="1">INDEX(OFFSET('SK-ratios'!$AF$23,'SK-ranking'!AJ$1-19,0,1,80),1,$B74)</f>
        <v>3.6555712871807602</v>
      </c>
      <c r="AL74" s="456">
        <f ca="1">INDEX(OFFSET('SK-ratios'!$AF$23,'SK-ranking'!AL$1-19,0,1,80),1,$B74)</f>
        <v>-30.633479970499618</v>
      </c>
      <c r="AM74" s="456">
        <f ca="1">INDEX(OFFSET('SK-ratios'!$AF$23,'SK-ranking'!AM$1-19,0,1,80),1,$B74)</f>
        <v>8.3772156080969467</v>
      </c>
    </row>
    <row r="75" spans="1:39" x14ac:dyDescent="0.25">
      <c r="A75" s="403">
        <v>11</v>
      </c>
      <c r="B75" s="525">
        <f>MATCH(C75,'SK-ratings-final'!I$2:CJ$2,0)</f>
        <v>4</v>
      </c>
      <c r="C75" s="307" t="str">
        <f>INDEX('SK-ratings-final'!$I$2:$CJ$2,MATCH('SK-ranking'!F75,'SK-ratings-final'!$I$35:$CJ$35,0))</f>
        <v>ARRIVA Nové Zámky, a.s.</v>
      </c>
      <c r="D75" s="307" t="str">
        <f>INDEX('SK-info'!C$2:C$81,MATCH('SK-ranking'!C75,'SK-info'!B$2:B$81,0))</f>
        <v>private</v>
      </c>
      <c r="E75" s="323" t="s">
        <v>400</v>
      </c>
      <c r="F75" s="523">
        <f t="array" ref="F75">LARGE(IF('SK-ratings-final'!I$3:CJ$3="private",'SK-ratings-final'!$I$35:$CJ$35),'SK-ranking'!A75)</f>
        <v>5.1359968538819603</v>
      </c>
      <c r="H75" s="456">
        <f ca="1">INDEX(OFFSET('SK-ratings-final'!$I$20,'SK-ranking'!H$1-19,0,1,80),1,$B75)</f>
        <v>3.5049983383084578</v>
      </c>
      <c r="I75" s="456">
        <f ca="1">INDEX(OFFSET('SK-ratings-final'!$I$20,'SK-ranking'!I$1-19,0,1,80),1,$B75)</f>
        <v>3.6219601994749118</v>
      </c>
      <c r="J75" s="456">
        <f ca="1">INDEX(OFFSET('SK-ratings-final'!$I$20,'SK-ranking'!J$1-19,0,1,80),1,$B75)</f>
        <v>3.9392048619983697</v>
      </c>
      <c r="K75" s="523">
        <f ca="1">INDEX(OFFSET('SK-ratings-final'!$I$20,'SK-ranking'!K$1-19,0,1,80),1,$B75)</f>
        <v>3.6887211332605796</v>
      </c>
      <c r="M75" s="456">
        <f ca="1">INDEX(OFFSET('SK-ratings-final'!$I$20,'SK-ranking'!M$1-19,0,1,80),1,$B75)</f>
        <v>8.2293076407934134</v>
      </c>
      <c r="N75" s="456">
        <f ca="1">INDEX(OFFSET('SK-ratings-final'!$I$20,'SK-ranking'!N$1-19,0,1,80),1,$B75)</f>
        <v>8.4860139810511672</v>
      </c>
      <c r="O75" s="456">
        <f ca="1">INDEX(OFFSET('SK-ratings-final'!$I$20,'SK-ranking'!O$1-19,0,1,80),1,$B75)</f>
        <v>8.087743766766831</v>
      </c>
      <c r="P75" s="523">
        <f ca="1">INDEX(OFFSET('SK-ratings-final'!$I$20,'SK-ranking'!P$1-19,0,1,80),1,$B75)</f>
        <v>8.2240233592343319</v>
      </c>
      <c r="R75" s="456">
        <f ca="1">INDEX(OFFSET('SK-ratings-final'!$I$20,'SK-ranking'!R$1-19,0,1,80),1,$B75)</f>
        <v>0</v>
      </c>
      <c r="S75" s="456">
        <f ca="1">INDEX(OFFSET('SK-ratings-final'!$I$20,'SK-ranking'!S$1-19,0,1,80),1,$B75)</f>
        <v>5.8981445113827533</v>
      </c>
      <c r="T75" s="523">
        <f ca="1">INDEX(OFFSET('SK-ratings-final'!$I$20,'SK-ranking'!T$1-19,0,1,80),1,$B75)</f>
        <v>2.9490722556913767</v>
      </c>
      <c r="V75" s="456">
        <f ca="1">INDEX(OFFSET('SK-ratings-final'!$I$20,'SK-ranking'!V$1-19,0,1,80),1,$B75)</f>
        <v>7.1107165361682529</v>
      </c>
      <c r="W75" s="456">
        <f ca="1">INDEX(OFFSET('SK-ratings-final'!$I$20,'SK-ranking'!W$1-19,0,1,80),1,$B75)</f>
        <v>5.6201740043399377</v>
      </c>
      <c r="X75" s="523">
        <f ca="1">INDEX(OFFSET('SK-ratings-final'!$I$20,'SK-ranking'!X$1-19,0,1,80),1,$B75)</f>
        <v>6.3654452702540949</v>
      </c>
      <c r="AA75" s="532">
        <f ca="1">INDEX(OFFSET('SK-ratios'!$AF$23,'SK-ranking'!AA$1-19,0,1,80),1,$B75)</f>
        <v>1.1693444652749621</v>
      </c>
      <c r="AB75" s="532">
        <f ca="1">INDEX(OFFSET('SK-ratios'!$AF$23,'SK-ranking'!AB$1-19,0,1,80),1,$B75)</f>
        <v>1.116554616239964</v>
      </c>
      <c r="AC75" s="532">
        <f ca="1">INDEX(OFFSET('SK-ratios'!$AF$23,'SK-ranking'!AC$1-19,0,1,80),1,$B75)</f>
        <v>1.0065268787081185</v>
      </c>
      <c r="AD75" s="456"/>
      <c r="AE75" s="456">
        <f ca="1">INDEX(OFFSET('SK-ratios'!$AF$23,'SK-ranking'!AE$1-19,0,1,80),1,$B75)</f>
        <v>4.7019760492720448E-2</v>
      </c>
      <c r="AF75" s="456">
        <f ca="1">INDEX(OFFSET('SK-ratios'!$AF$23,'SK-ranking'!AF$1-19,0,1,80),1,$B75)</f>
        <v>0.11909162006895045</v>
      </c>
      <c r="AG75" s="456">
        <f ca="1">INDEX(OFFSET('SK-ratios'!$AF$23,'SK-ranking'!AG$1-19,0,1,80),1,$B75)</f>
        <v>5.5029732539110164E-2</v>
      </c>
      <c r="AI75" s="456">
        <f ca="1">INDEX(OFFSET('SK-ratios'!$AF$23,'SK-ranking'!AI$1-19,0,1,80),1,$B75)</f>
        <v>0.60516937526411085</v>
      </c>
      <c r="AJ75" s="456">
        <f ca="1">INDEX(OFFSET('SK-ratios'!$AF$23,'SK-ranking'!AJ$1-19,0,1,80),1,$B75)</f>
        <v>3.0552513235042977</v>
      </c>
      <c r="AL75" s="456">
        <f ca="1">INDEX(OFFSET('SK-ratios'!$AF$23,'SK-ranking'!AL$1-19,0,1,80),1,$B75)</f>
        <v>27.429068596761933</v>
      </c>
      <c r="AM75" s="456">
        <f ca="1">INDEX(OFFSET('SK-ratios'!$AF$23,'SK-ranking'!AM$1-19,0,1,80),1,$B75)</f>
        <v>42.216272539135922</v>
      </c>
    </row>
    <row r="76" spans="1:39" x14ac:dyDescent="0.25">
      <c r="A76" s="403">
        <v>12</v>
      </c>
      <c r="B76" s="525">
        <f>MATCH(C76,'SK-ratings-final'!I$2:CJ$2,0)</f>
        <v>33</v>
      </c>
      <c r="C76" s="307" t="str">
        <f>INDEX('SK-ratings-final'!$I$2:$CJ$2,MATCH('SK-ranking'!F76,'SK-ratings-final'!$I$35:$CJ$35,0))</f>
        <v>MAGNA ENERGIA a.s.</v>
      </c>
      <c r="D76" s="307" t="str">
        <f>INDEX('SK-info'!C$2:C$81,MATCH('SK-ranking'!C76,'SK-info'!B$2:B$81,0))</f>
        <v>private</v>
      </c>
      <c r="E76" s="323" t="s">
        <v>400</v>
      </c>
      <c r="F76" s="523">
        <f t="array" ref="F76">LARGE(IF('SK-ratings-final'!I$3:CJ$3="private",'SK-ratings-final'!$I$35:$CJ$35),'SK-ranking'!A76)</f>
        <v>5.0449125306289648</v>
      </c>
      <c r="H76" s="456">
        <f ca="1">INDEX(OFFSET('SK-ratings-final'!$I$20,'SK-ranking'!H$1-19,0,1,80),1,$B76)</f>
        <v>5.036682328697994</v>
      </c>
      <c r="I76" s="456">
        <f ca="1">INDEX(OFFSET('SK-ratings-final'!$I$20,'SK-ranking'!I$1-19,0,1,80),1,$B76)</f>
        <v>5.3465420298183322</v>
      </c>
      <c r="J76" s="456">
        <f ca="1">INDEX(OFFSET('SK-ratings-final'!$I$20,'SK-ranking'!J$1-19,0,1,80),1,$B76)</f>
        <v>1.9927270557114372</v>
      </c>
      <c r="K76" s="523">
        <f ca="1">INDEX(OFFSET('SK-ratings-final'!$I$20,'SK-ranking'!K$1-19,0,1,80),1,$B76)</f>
        <v>4.1253171380759213</v>
      </c>
      <c r="M76" s="456">
        <f ca="1">INDEX(OFFSET('SK-ratings-final'!$I$20,'SK-ranking'!M$1-19,0,1,80),1,$B76)</f>
        <v>9.2614919399851772</v>
      </c>
      <c r="N76" s="456">
        <f ca="1">INDEX(OFFSET('SK-ratings-final'!$I$20,'SK-ranking'!N$1-19,0,1,80),1,$B76)</f>
        <v>10</v>
      </c>
      <c r="O76" s="456">
        <f ca="1">INDEX(OFFSET('SK-ratings-final'!$I$20,'SK-ranking'!O$1-19,0,1,80),1,$B76)</f>
        <v>6.5128289707626639</v>
      </c>
      <c r="P76" s="523">
        <f ca="1">INDEX(OFFSET('SK-ratings-final'!$I$20,'SK-ranking'!P$1-19,0,1,80),1,$B76)</f>
        <v>8.3097283642991364</v>
      </c>
      <c r="R76" s="456">
        <f ca="1">INDEX(OFFSET('SK-ratings-final'!$I$20,'SK-ranking'!R$1-19,0,1,80),1,$B76)</f>
        <v>0</v>
      </c>
      <c r="S76" s="456">
        <f ca="1">INDEX(OFFSET('SK-ratings-final'!$I$20,'SK-ranking'!S$1-19,0,1,80),1,$B76)</f>
        <v>4.8214981029647666</v>
      </c>
      <c r="T76" s="523">
        <f ca="1">INDEX(OFFSET('SK-ratings-final'!$I$20,'SK-ranking'!T$1-19,0,1,80),1,$B76)</f>
        <v>2.4107490514823833</v>
      </c>
      <c r="V76" s="456">
        <f ca="1">INDEX(OFFSET('SK-ratings-final'!$I$20,'SK-ranking'!V$1-19,0,1,80),1,$B76)</f>
        <v>8.6389682578697613</v>
      </c>
      <c r="W76" s="456">
        <f ca="1">INDEX(OFFSET('SK-ratings-final'!$I$20,'SK-ranking'!W$1-19,0,1,80),1,$B76)</f>
        <v>3.4902961380350916</v>
      </c>
      <c r="X76" s="523">
        <f ca="1">INDEX(OFFSET('SK-ratings-final'!$I$20,'SK-ranking'!X$1-19,0,1,80),1,$B76)</f>
        <v>6.0646321979524265</v>
      </c>
      <c r="AA76" s="532">
        <f ca="1">INDEX(OFFSET('SK-ratios'!$AF$23,'SK-ranking'!AA$1-19,0,1,80),1,$B76)</f>
        <v>1.7374330424283839</v>
      </c>
      <c r="AB76" s="532">
        <f ca="1">INDEX(OFFSET('SK-ratios'!$AF$23,'SK-ranking'!AB$1-19,0,1,80),1,$B76)</f>
        <v>1.7338684000088036</v>
      </c>
      <c r="AC76" s="532">
        <f ca="1">INDEX(OFFSET('SK-ratios'!$AF$23,'SK-ranking'!AC$1-19,0,1,80),1,$B76)</f>
        <v>0.16034602562073638</v>
      </c>
      <c r="AD76" s="456"/>
      <c r="AE76" s="456">
        <f ca="1">INDEX(OFFSET('SK-ratios'!$AF$23,'SK-ranking'!AE$1-19,0,1,80),1,$B76)</f>
        <v>7.0917342806044226E-2</v>
      </c>
      <c r="AF76" s="456">
        <f ca="1">INDEX(OFFSET('SK-ratios'!$AF$23,'SK-ranking'!AF$1-19,0,1,80),1,$B76)</f>
        <v>0.49587515269946375</v>
      </c>
      <c r="AG76" s="456">
        <f ca="1">INDEX(OFFSET('SK-ratios'!$AF$23,'SK-ranking'!AG$1-19,0,1,80),1,$B76)</f>
        <v>1.180696053863311E-2</v>
      </c>
      <c r="AI76" s="456">
        <f ca="1">INDEX(OFFSET('SK-ratios'!$AF$23,'SK-ranking'!AI$1-19,0,1,80),1,$B76)</f>
        <v>0.85698548834322164</v>
      </c>
      <c r="AJ76" s="456">
        <f ca="1">INDEX(OFFSET('SK-ratios'!$AF$23,'SK-ranking'!AJ$1-19,0,1,80),1,$B76)</f>
        <v>8.1659942930726537</v>
      </c>
      <c r="AL76" s="456">
        <f ca="1">INDEX(OFFSET('SK-ratios'!$AF$23,'SK-ranking'!AL$1-19,0,1,80),1,$B76)</f>
        <v>16.174728113811973</v>
      </c>
      <c r="AM76" s="456">
        <f ca="1">INDEX(OFFSET('SK-ratios'!$AF$23,'SK-ranking'!AM$1-19,0,1,80),1,$B76)</f>
        <v>7.6643146667973916</v>
      </c>
    </row>
    <row r="77" spans="1:39" x14ac:dyDescent="0.25">
      <c r="A77" s="403">
        <v>13</v>
      </c>
      <c r="B77" s="525">
        <f>MATCH(C77,'SK-ratings-final'!I$2:CJ$2,0)</f>
        <v>20</v>
      </c>
      <c r="C77" s="307" t="str">
        <f>INDEX('SK-ratings-final'!$I$2:$CJ$2,MATCH('SK-ranking'!F77,'SK-ratings-final'!$I$35:$CJ$35,0))</f>
        <v>innogy Slovensko s. r. o.</v>
      </c>
      <c r="D77" s="307" t="str">
        <f>INDEX('SK-info'!C$2:C$81,MATCH('SK-ranking'!C77,'SK-info'!B$2:B$81,0))</f>
        <v>private</v>
      </c>
      <c r="E77" s="323" t="s">
        <v>400</v>
      </c>
      <c r="F77" s="523">
        <f t="array" ref="F77">LARGE(IF('SK-ratings-final'!I$3:CJ$3="private",'SK-ratings-final'!$I$35:$CJ$35),'SK-ranking'!A77)</f>
        <v>4.9430372663043345</v>
      </c>
      <c r="H77" s="456">
        <f ca="1">INDEX(OFFSET('SK-ratings-final'!$I$20,'SK-ranking'!H$1-19,0,1,80),1,$B77)</f>
        <v>4.0724817749745821</v>
      </c>
      <c r="I77" s="456">
        <f ca="1">INDEX(OFFSET('SK-ratings-final'!$I$20,'SK-ranking'!I$1-19,0,1,80),1,$B77)</f>
        <v>4.3354148605019684</v>
      </c>
      <c r="J77" s="456">
        <f ca="1">INDEX(OFFSET('SK-ratings-final'!$I$20,'SK-ranking'!J$1-19,0,1,80),1,$B77)</f>
        <v>1.324984281229298</v>
      </c>
      <c r="K77" s="523">
        <f ca="1">INDEX(OFFSET('SK-ratings-final'!$I$20,'SK-ranking'!K$1-19,0,1,80),1,$B77)</f>
        <v>3.2442936389019494</v>
      </c>
      <c r="M77" s="456">
        <f ca="1">INDEX(OFFSET('SK-ratings-final'!$I$20,'SK-ranking'!M$1-19,0,1,80),1,$B77)</f>
        <v>9.451798083414527</v>
      </c>
      <c r="N77" s="456">
        <f ca="1">INDEX(OFFSET('SK-ratings-final'!$I$20,'SK-ranking'!N$1-19,0,1,80),1,$B77)</f>
        <v>10</v>
      </c>
      <c r="O77" s="456">
        <f ca="1">INDEX(OFFSET('SK-ratings-final'!$I$20,'SK-ranking'!O$1-19,0,1,80),1,$B77)</f>
        <v>6.7595068720223779</v>
      </c>
      <c r="P77" s="523">
        <f ca="1">INDEX(OFFSET('SK-ratings-final'!$I$20,'SK-ranking'!P$1-19,0,1,80),1,$B77)</f>
        <v>8.4845219821747619</v>
      </c>
      <c r="R77" s="456">
        <f ca="1">INDEX(OFFSET('SK-ratings-final'!$I$20,'SK-ranking'!R$1-19,0,1,80),1,$B77)</f>
        <v>0</v>
      </c>
      <c r="S77" s="456">
        <f ca="1">INDEX(OFFSET('SK-ratings-final'!$I$20,'SK-ranking'!S$1-19,0,1,80),1,$B77)</f>
        <v>4.7331770566716882</v>
      </c>
      <c r="T77" s="523">
        <f ca="1">INDEX(OFFSET('SK-ratings-final'!$I$20,'SK-ranking'!T$1-19,0,1,80),1,$B77)</f>
        <v>2.3665885283358441</v>
      </c>
      <c r="V77" s="456">
        <f ca="1">INDEX(OFFSET('SK-ratings-final'!$I$20,'SK-ranking'!V$1-19,0,1,80),1,$B77)</f>
        <v>10</v>
      </c>
      <c r="W77" s="456">
        <f ca="1">INDEX(OFFSET('SK-ratings-final'!$I$20,'SK-ranking'!W$1-19,0,1,80),1,$B77)</f>
        <v>3.0085680253440308</v>
      </c>
      <c r="X77" s="523">
        <f ca="1">INDEX(OFFSET('SK-ratings-final'!$I$20,'SK-ranking'!X$1-19,0,1,80),1,$B77)</f>
        <v>6.5042840126720156</v>
      </c>
      <c r="AA77" s="532">
        <f ca="1">INDEX(OFFSET('SK-ratios'!$AF$23,'SK-ranking'!AA$1-19,0,1,80),1,$B77)</f>
        <v>1.0815229851915362</v>
      </c>
      <c r="AB77" s="532">
        <f ca="1">INDEX(OFFSET('SK-ratios'!$AF$23,'SK-ranking'!AB$1-19,0,1,80),1,$B77)</f>
        <v>1.077792761997123</v>
      </c>
      <c r="AC77" s="532">
        <f ca="1">INDEX(OFFSET('SK-ratios'!$AF$23,'SK-ranking'!AC$1-19,0,1,80),1,$B77)</f>
        <v>7.5662027600781528E-2</v>
      </c>
      <c r="AD77" s="456"/>
      <c r="AE77" s="456">
        <f ca="1">INDEX(OFFSET('SK-ratios'!$AF$23,'SK-ranking'!AE$1-19,0,1,80),1,$B77)</f>
        <v>7.7540170131900871E-2</v>
      </c>
      <c r="AF77" s="456">
        <f ca="1">INDEX(OFFSET('SK-ratios'!$AF$23,'SK-ranking'!AF$1-19,0,1,80),1,$B77)</f>
        <v>0.92922978737047268</v>
      </c>
      <c r="AG77" s="456">
        <f ca="1">INDEX(OFFSET('SK-ratios'!$AF$23,'SK-ranking'!AG$1-19,0,1,80),1,$B77)</f>
        <v>1.5052067427114211E-2</v>
      </c>
      <c r="AI77" s="456">
        <f ca="1">INDEX(OFFSET('SK-ratios'!$AF$23,'SK-ranking'!AI$1-19,0,1,80),1,$B77)</f>
        <v>0.91655436450081584</v>
      </c>
      <c r="AJ77" s="456">
        <f ca="1">INDEX(OFFSET('SK-ratios'!$AF$23,'SK-ranking'!AJ$1-19,0,1,80),1,$B77)</f>
        <v>9.0343172668942202</v>
      </c>
      <c r="AL77" s="456">
        <f ca="1">INDEX(OFFSET('SK-ratios'!$AF$23,'SK-ranking'!AL$1-19,0,1,80),1,$B77)</f>
        <v>63.776385288058869</v>
      </c>
      <c r="AM77" s="456">
        <f ca="1">INDEX(OFFSET('SK-ratios'!$AF$23,'SK-ranking'!AM$1-19,0,1,80),1,$B77)</f>
        <v>5.6203347200730178</v>
      </c>
    </row>
    <row r="78" spans="1:39" x14ac:dyDescent="0.25">
      <c r="A78" s="403">
        <v>14</v>
      </c>
      <c r="B78" s="525">
        <f>MATCH(C78,'SK-ratings-final'!I$2:CJ$2,0)</f>
        <v>46</v>
      </c>
      <c r="C78" s="307" t="str">
        <f>INDEX('SK-ratings-final'!$I$2:$CJ$2,MATCH('SK-ranking'!F78,'SK-ratings-final'!$I$35:$CJ$35,0))</f>
        <v>Railtrans International, a.s.</v>
      </c>
      <c r="D78" s="307" t="str">
        <f>INDEX('SK-info'!C$2:C$81,MATCH('SK-ranking'!C78,'SK-info'!B$2:B$81,0))</f>
        <v>private</v>
      </c>
      <c r="E78" s="323" t="s">
        <v>400</v>
      </c>
      <c r="F78" s="523">
        <f t="array" ref="F78">LARGE(IF('SK-ratings-final'!I$3:CJ$3="private",'SK-ratings-final'!$I$35:$CJ$35),'SK-ranking'!A78)</f>
        <v>4.9079764743851424</v>
      </c>
      <c r="H78" s="456">
        <f ca="1">INDEX(OFFSET('SK-ratings-final'!$I$20,'SK-ranking'!H$1-19,0,1,80),1,$B78)</f>
        <v>3.3053315967686094</v>
      </c>
      <c r="I78" s="456">
        <f ca="1">INDEX(OFFSET('SK-ratings-final'!$I$20,'SK-ranking'!I$1-19,0,1,80),1,$B78)</f>
        <v>3.5499650578493376</v>
      </c>
      <c r="J78" s="456">
        <f ca="1">INDEX(OFFSET('SK-ratings-final'!$I$20,'SK-ranking'!J$1-19,0,1,80),1,$B78)</f>
        <v>0.42605396223184894</v>
      </c>
      <c r="K78" s="523">
        <f ca="1">INDEX(OFFSET('SK-ratings-final'!$I$20,'SK-ranking'!K$1-19,0,1,80),1,$B78)</f>
        <v>2.427116872283265</v>
      </c>
      <c r="M78" s="456">
        <f ca="1">INDEX(OFFSET('SK-ratings-final'!$I$20,'SK-ranking'!M$1-19,0,1,80),1,$B78)</f>
        <v>9.9427468963163079</v>
      </c>
      <c r="N78" s="456">
        <f ca="1">INDEX(OFFSET('SK-ratings-final'!$I$20,'SK-ranking'!N$1-19,0,1,80),1,$B78)</f>
        <v>10</v>
      </c>
      <c r="O78" s="456">
        <f ca="1">INDEX(OFFSET('SK-ratings-final'!$I$20,'SK-ranking'!O$1-19,0,1,80),1,$B78)</f>
        <v>8.2079279218297678</v>
      </c>
      <c r="P78" s="523">
        <f ca="1">INDEX(OFFSET('SK-ratings-final'!$I$20,'SK-ranking'!P$1-19,0,1,80),1,$B78)</f>
        <v>9.260269927258431</v>
      </c>
      <c r="R78" s="456">
        <f ca="1">INDEX(OFFSET('SK-ratings-final'!$I$20,'SK-ranking'!R$1-19,0,1,80),1,$B78)</f>
        <v>0</v>
      </c>
      <c r="S78" s="456">
        <f ca="1">INDEX(OFFSET('SK-ratings-final'!$I$20,'SK-ranking'!S$1-19,0,1,80),1,$B78)</f>
        <v>5.5220660333748697</v>
      </c>
      <c r="T78" s="523">
        <f ca="1">INDEX(OFFSET('SK-ratings-final'!$I$20,'SK-ranking'!T$1-19,0,1,80),1,$B78)</f>
        <v>2.7610330166874348</v>
      </c>
      <c r="V78" s="456">
        <f ca="1">INDEX(OFFSET('SK-ratings-final'!$I$20,'SK-ranking'!V$1-19,0,1,80),1,$B78)</f>
        <v>8.655652239901297</v>
      </c>
      <c r="W78" s="456">
        <f ca="1">INDEX(OFFSET('SK-ratings-final'!$I$20,'SK-ranking'!W$1-19,0,1,80),1,$B78)</f>
        <v>2.9225464550335838</v>
      </c>
      <c r="X78" s="523">
        <f ca="1">INDEX(OFFSET('SK-ratings-final'!$I$20,'SK-ranking'!X$1-19,0,1,80),1,$B78)</f>
        <v>5.7890993474674399</v>
      </c>
      <c r="AA78" s="532">
        <f ca="1">INDEX(OFFSET('SK-ratios'!$AF$23,'SK-ranking'!AA$1-19,0,1,80),1,$B78)</f>
        <v>0.57776707958892903</v>
      </c>
      <c r="AB78" s="532">
        <f ca="1">INDEX(OFFSET('SK-ratios'!$AF$23,'SK-ranking'!AB$1-19,0,1,80),1,$B78)</f>
        <v>0.57776707958892903</v>
      </c>
      <c r="AC78" s="532">
        <f ca="1">INDEX(OFFSET('SK-ratios'!$AF$23,'SK-ranking'!AC$1-19,0,1,80),1,$B78)</f>
        <v>3.1975008896300103E-2</v>
      </c>
      <c r="AD78" s="456"/>
      <c r="AE78" s="456">
        <f ca="1">INDEX(OFFSET('SK-ratios'!$AF$23,'SK-ranking'!AE$1-19,0,1,80),1,$B78)</f>
        <v>0.12458791751701036</v>
      </c>
      <c r="AF78" s="456">
        <f ca="1">INDEX(OFFSET('SK-ratios'!$AF$23,'SK-ranking'!AF$1-19,0,1,80),1,$B78)</f>
        <v>1.1859177334245694</v>
      </c>
      <c r="AG78" s="456">
        <f ca="1">INDEX(OFFSET('SK-ratios'!$AF$23,'SK-ranking'!AG$1-19,0,1,80),1,$B78)</f>
        <v>5.0510648083834674E-2</v>
      </c>
      <c r="AI78" s="456">
        <f ca="1">INDEX(OFFSET('SK-ratios'!$AF$23,'SK-ranking'!AI$1-19,0,1,80),1,$B78)</f>
        <v>0.89491839722942568</v>
      </c>
      <c r="AJ78" s="456">
        <f ca="1">INDEX(OFFSET('SK-ratios'!$AF$23,'SK-ranking'!AJ$1-19,0,1,80),1,$B78)</f>
        <v>5.2003592618271881</v>
      </c>
      <c r="AL78" s="456">
        <f ca="1">INDEX(OFFSET('SK-ratios'!$AF$23,'SK-ranking'!AL$1-19,0,1,80),1,$B78)</f>
        <v>-8.9367898362633778</v>
      </c>
      <c r="AM78" s="456">
        <f ca="1">INDEX(OFFSET('SK-ratios'!$AF$23,'SK-ranking'!AM$1-19,0,1,80),1,$B78)</f>
        <v>6.6870798200946115</v>
      </c>
    </row>
    <row r="79" spans="1:39" x14ac:dyDescent="0.25">
      <c r="A79" s="403">
        <v>15</v>
      </c>
      <c r="B79" s="525">
        <f>MATCH(C79,'SK-ratings-final'!I$2:CJ$2,0)</f>
        <v>48</v>
      </c>
      <c r="C79" s="307" t="str">
        <f>INDEX('SK-ratings-final'!$I$2:$CJ$2,MATCH('SK-ranking'!F79,'SK-ratings-final'!$I$35:$CJ$35,0))</f>
        <v>Slovak Lines, a.s.</v>
      </c>
      <c r="D79" s="307" t="str">
        <f>INDEX('SK-info'!C$2:C$81,MATCH('SK-ranking'!C79,'SK-info'!B$2:B$81,0))</f>
        <v>private</v>
      </c>
      <c r="E79" s="323" t="s">
        <v>400</v>
      </c>
      <c r="F79" s="523">
        <f t="array" ref="F79">LARGE(IF('SK-ratings-final'!I$3:CJ$3="private",'SK-ratings-final'!$I$35:$CJ$35),'SK-ranking'!A79)</f>
        <v>4.8694470355468198</v>
      </c>
      <c r="H79" s="456">
        <f ca="1">INDEX(OFFSET('SK-ratings-final'!$I$20,'SK-ranking'!H$1-19,0,1,80),1,$B79)</f>
        <v>7.7477610644634263</v>
      </c>
      <c r="I79" s="456">
        <f ca="1">INDEX(OFFSET('SK-ratings-final'!$I$20,'SK-ranking'!I$1-19,0,1,80),1,$B79)</f>
        <v>7.9439214457545457</v>
      </c>
      <c r="J79" s="456">
        <f ca="1">INDEX(OFFSET('SK-ratings-final'!$I$20,'SK-ranking'!J$1-19,0,1,80),1,$B79)</f>
        <v>4.6595943503083914</v>
      </c>
      <c r="K79" s="523">
        <f ca="1">INDEX(OFFSET('SK-ratings-final'!$I$20,'SK-ranking'!K$1-19,0,1,80),1,$B79)</f>
        <v>6.7837589535087872</v>
      </c>
      <c r="M79" s="456">
        <f ca="1">INDEX(OFFSET('SK-ratings-final'!$I$20,'SK-ranking'!M$1-19,0,1,80),1,$B79)</f>
        <v>6.7205642639093517</v>
      </c>
      <c r="N79" s="456">
        <f ca="1">INDEX(OFFSET('SK-ratings-final'!$I$20,'SK-ranking'!N$1-19,0,1,80),1,$B79)</f>
        <v>6.3243353202889683</v>
      </c>
      <c r="O79" s="456">
        <f ca="1">INDEX(OFFSET('SK-ratings-final'!$I$20,'SK-ranking'!O$1-19,0,1,80),1,$B79)</f>
        <v>7.7317528398831721</v>
      </c>
      <c r="P79" s="523">
        <f ca="1">INDEX(OFFSET('SK-ratings-final'!$I$20,'SK-ranking'!P$1-19,0,1,80),1,$B79)</f>
        <v>7.0457939055748033</v>
      </c>
      <c r="R79" s="456">
        <f ca="1">INDEX(OFFSET('SK-ratings-final'!$I$20,'SK-ranking'!R$1-19,0,1,80),1,$B79)</f>
        <v>0.47743586166032009</v>
      </c>
      <c r="S79" s="456">
        <f ca="1">INDEX(OFFSET('SK-ratings-final'!$I$20,'SK-ranking'!S$1-19,0,1,80),1,$B79)</f>
        <v>5.4871148186973722</v>
      </c>
      <c r="T79" s="523">
        <f ca="1">INDEX(OFFSET('SK-ratings-final'!$I$20,'SK-ranking'!T$1-19,0,1,80),1,$B79)</f>
        <v>2.982275340178846</v>
      </c>
      <c r="V79" s="456">
        <f ca="1">INDEX(OFFSET('SK-ratings-final'!$I$20,'SK-ranking'!V$1-19,0,1,80),1,$B79)</f>
        <v>2.0189734518828191</v>
      </c>
      <c r="W79" s="456">
        <f ca="1">INDEX(OFFSET('SK-ratings-final'!$I$20,'SK-ranking'!W$1-19,0,1,80),1,$B79)</f>
        <v>3.15478873533986</v>
      </c>
      <c r="X79" s="523">
        <f ca="1">INDEX(OFFSET('SK-ratings-final'!$I$20,'SK-ranking'!X$1-19,0,1,80),1,$B79)</f>
        <v>2.5868810936113396</v>
      </c>
      <c r="AA79" s="532">
        <f ca="1">INDEX(OFFSET('SK-ratios'!$AF$23,'SK-ranking'!AA$1-19,0,1,80),1,$B79)</f>
        <v>15.245526200259494</v>
      </c>
      <c r="AB79" s="532">
        <f ca="1">INDEX(OFFSET('SK-ratios'!$AF$23,'SK-ranking'!AB$1-19,0,1,80),1,$B79)</f>
        <v>15.245526200259494</v>
      </c>
      <c r="AC79" s="532">
        <f ca="1">INDEX(OFFSET('SK-ratios'!$AF$23,'SK-ranking'!AC$1-19,0,1,80),1,$B79)</f>
        <v>0.6672815905741819</v>
      </c>
      <c r="AD79" s="456"/>
      <c r="AE79" s="456">
        <f ca="1">INDEX(OFFSET('SK-ratios'!$AF$23,'SK-ranking'!AE$1-19,0,1,80),1,$B79)</f>
        <v>1.0194709364582399E-2</v>
      </c>
      <c r="AF79" s="456">
        <f ca="1">INDEX(OFFSET('SK-ratios'!$AF$23,'SK-ranking'!AF$1-19,0,1,80),1,$B79)</f>
        <v>1.4720085817567983E-2</v>
      </c>
      <c r="AG79" s="456">
        <f ca="1">INDEX(OFFSET('SK-ratios'!$AF$23,'SK-ranking'!AG$1-19,0,1,80),1,$B79)</f>
        <v>3.2569391738782497E-2</v>
      </c>
      <c r="AI79" s="456">
        <f ca="1">INDEX(OFFSET('SK-ratios'!$AF$23,'SK-ranking'!AI$1-19,0,1,80),1,$B79)</f>
        <v>0.29863281658197632</v>
      </c>
      <c r="AJ79" s="456">
        <f ca="1">INDEX(OFFSET('SK-ratios'!$AF$23,'SK-ranking'!AJ$1-19,0,1,80),1,$B79)</f>
        <v>4.8077274664840051</v>
      </c>
      <c r="AL79" s="456">
        <f ca="1">INDEX(OFFSET('SK-ratios'!$AF$23,'SK-ranking'!AL$1-19,0,1,80),1,$B79)</f>
        <v>0.84287150895445628</v>
      </c>
      <c r="AM79" s="456">
        <f ca="1">INDEX(OFFSET('SK-ratios'!$AF$23,'SK-ranking'!AM$1-19,0,1,80),1,$B79)</f>
        <v>0.82363470265040017</v>
      </c>
    </row>
    <row r="80" spans="1:39" x14ac:dyDescent="0.25">
      <c r="A80" s="403">
        <v>16</v>
      </c>
      <c r="B80" s="525">
        <f>MATCH(C80,'SK-ratings-final'!I$2:CJ$2,0)</f>
        <v>40</v>
      </c>
      <c r="C80" s="307" t="str">
        <f>INDEX('SK-ratings-final'!$I$2:$CJ$2,MATCH('SK-ranking'!F80,'SK-ratings-final'!$I$35:$CJ$35,0))</f>
        <v>Nemocnica s poliklinikou Štefana Kukuru Michalovce, a.s.</v>
      </c>
      <c r="D80" s="307" t="str">
        <f>INDEX('SK-info'!C$2:C$81,MATCH('SK-ranking'!C80,'SK-info'!B$2:B$81,0))</f>
        <v>private</v>
      </c>
      <c r="E80" s="323" t="s">
        <v>400</v>
      </c>
      <c r="F80" s="523">
        <f t="array" ref="F80">LARGE(IF('SK-ratings-final'!I$3:CJ$3="private",'SK-ratings-final'!$I$35:$CJ$35),'SK-ranking'!A80)</f>
        <v>4.7390866871399044</v>
      </c>
      <c r="H80" s="456">
        <f ca="1">INDEX(OFFSET('SK-ratings-final'!$I$20,'SK-ranking'!H$1-19,0,1,80),1,$B80)</f>
        <v>4.4828787668255661</v>
      </c>
      <c r="I80" s="456">
        <f ca="1">INDEX(OFFSET('SK-ratings-final'!$I$20,'SK-ranking'!I$1-19,0,1,80),1,$B80)</f>
        <v>4.5574725777372285</v>
      </c>
      <c r="J80" s="456">
        <f ca="1">INDEX(OFFSET('SK-ratings-final'!$I$20,'SK-ranking'!J$1-19,0,1,80),1,$B80)</f>
        <v>7.7445507699041682E-2</v>
      </c>
      <c r="K80" s="523">
        <f ca="1">INDEX(OFFSET('SK-ratings-final'!$I$20,'SK-ranking'!K$1-19,0,1,80),1,$B80)</f>
        <v>3.0392656174206119</v>
      </c>
      <c r="M80" s="456">
        <f ca="1">INDEX(OFFSET('SK-ratings-final'!$I$20,'SK-ranking'!M$1-19,0,1,80),1,$B80)</f>
        <v>9.1331793175233233</v>
      </c>
      <c r="N80" s="456">
        <f ca="1">INDEX(OFFSET('SK-ratings-final'!$I$20,'SK-ranking'!N$1-19,0,1,80),1,$B80)</f>
        <v>10</v>
      </c>
      <c r="O80" s="456">
        <f ca="1">INDEX(OFFSET('SK-ratings-final'!$I$20,'SK-ranking'!O$1-19,0,1,80),1,$B80)</f>
        <v>6.7276602577147875</v>
      </c>
      <c r="P80" s="523">
        <f ca="1">INDEX(OFFSET('SK-ratings-final'!$I$20,'SK-ranking'!P$1-19,0,1,80),1,$B80)</f>
        <v>8.344335830095245</v>
      </c>
      <c r="R80" s="456">
        <f ca="1">INDEX(OFFSET('SK-ratings-final'!$I$20,'SK-ranking'!R$1-19,0,1,80),1,$B80)</f>
        <v>0</v>
      </c>
      <c r="S80" s="456">
        <f ca="1">INDEX(OFFSET('SK-ratings-final'!$I$20,'SK-ranking'!S$1-19,0,1,80),1,$B80)</f>
        <v>4.9533303443745993</v>
      </c>
      <c r="T80" s="523">
        <f ca="1">INDEX(OFFSET('SK-ratings-final'!$I$20,'SK-ranking'!T$1-19,0,1,80),1,$B80)</f>
        <v>2.4766651721872996</v>
      </c>
      <c r="V80" s="456">
        <f ca="1">INDEX(OFFSET('SK-ratings-final'!$I$20,'SK-ranking'!V$1-19,0,1,80),1,$B80)</f>
        <v>8.7074253661709946</v>
      </c>
      <c r="W80" s="456">
        <f ca="1">INDEX(OFFSET('SK-ratings-final'!$I$20,'SK-ranking'!W$1-19,0,1,80),1,$B80)</f>
        <v>2.7944423698765113</v>
      </c>
      <c r="X80" s="523">
        <f ca="1">INDEX(OFFSET('SK-ratings-final'!$I$20,'SK-ranking'!X$1-19,0,1,80),1,$B80)</f>
        <v>5.7509338680237532</v>
      </c>
      <c r="AA80" s="532">
        <f ca="1">INDEX(OFFSET('SK-ratios'!$AF$23,'SK-ranking'!AA$1-19,0,1,80),1,$B80)</f>
        <v>1.3211539426242829</v>
      </c>
      <c r="AB80" s="532">
        <f ca="1">INDEX(OFFSET('SK-ratios'!$AF$23,'SK-ranking'!AB$1-19,0,1,80),1,$B80)</f>
        <v>1.2080315069904557</v>
      </c>
      <c r="AC80" s="532">
        <f ca="1">INDEX(OFFSET('SK-ratios'!$AF$23,'SK-ranking'!AC$1-19,0,1,80),1,$B80)</f>
        <v>1.9128643431332586E-3</v>
      </c>
      <c r="AD80" s="456"/>
      <c r="AE80" s="456">
        <f ca="1">INDEX(OFFSET('SK-ratios'!$AF$23,'SK-ranking'!AE$1-19,0,1,80),1,$B80)</f>
        <v>6.6004610950517684E-2</v>
      </c>
      <c r="AF80" s="456">
        <f ca="1">INDEX(OFFSET('SK-ratios'!$AF$23,'SK-ranking'!AF$1-19,0,1,80),1,$B80)</f>
        <v>0.58848335140246189</v>
      </c>
      <c r="AG80" s="456">
        <f ca="1">INDEX(OFFSET('SK-ratios'!$AF$23,'SK-ranking'!AG$1-19,0,1,80),1,$B80)</f>
        <v>1.5028863391262155E-2</v>
      </c>
      <c r="AI80" s="456">
        <f ca="1">INDEX(OFFSET('SK-ratios'!$AF$23,'SK-ranking'!AI$1-19,0,1,80),1,$B80)</f>
        <v>0.87021021862617864</v>
      </c>
      <c r="AJ80" s="456">
        <f ca="1">INDEX(OFFSET('SK-ratios'!$AF$23,'SK-ranking'!AJ$1-19,0,1,80),1,$B80)</f>
        <v>7.7600420825547305</v>
      </c>
      <c r="AL80" s="456">
        <f ca="1">INDEX(OFFSET('SK-ratios'!$AF$23,'SK-ranking'!AL$1-19,0,1,80),1,$B80)</f>
        <v>16.884775508900802</v>
      </c>
      <c r="AM80" s="456">
        <f ca="1">INDEX(OFFSET('SK-ratios'!$AF$23,'SK-ranking'!AM$1-19,0,1,80),1,$B80)</f>
        <v>5.1362574267486485</v>
      </c>
    </row>
    <row r="81" spans="1:39" x14ac:dyDescent="0.25">
      <c r="A81" s="403">
        <v>17</v>
      </c>
      <c r="B81" s="525">
        <f>MATCH(C81,'SK-ratings-final'!I$2:CJ$2,0)</f>
        <v>72</v>
      </c>
      <c r="C81" s="307" t="str">
        <f>INDEX('SK-ratings-final'!$I$2:$CJ$2,MATCH('SK-ranking'!F81,'SK-ratings-final'!$I$35:$CJ$35,0))</f>
        <v>Všeobecná nemocnica s poliklinikou Levoča, a.s.</v>
      </c>
      <c r="D81" s="307" t="str">
        <f>INDEX('SK-info'!C$2:C$81,MATCH('SK-ranking'!C81,'SK-info'!B$2:B$81,0))</f>
        <v>private</v>
      </c>
      <c r="E81" s="323" t="s">
        <v>400</v>
      </c>
      <c r="F81" s="523">
        <f t="array" ref="F81">LARGE(IF('SK-ratings-final'!I$3:CJ$3="private",'SK-ratings-final'!$I$35:$CJ$35),'SK-ranking'!A81)</f>
        <v>4.705935738920374</v>
      </c>
      <c r="H81" s="456">
        <f ca="1">INDEX(OFFSET('SK-ratings-final'!$I$20,'SK-ranking'!H$1-19,0,1,80),1,$B81)</f>
        <v>3.8896732817783137</v>
      </c>
      <c r="I81" s="456">
        <f ca="1">INDEX(OFFSET('SK-ratings-final'!$I$20,'SK-ranking'!I$1-19,0,1,80),1,$B81)</f>
        <v>3.8406567472391453</v>
      </c>
      <c r="J81" s="456">
        <f ca="1">INDEX(OFFSET('SK-ratings-final'!$I$20,'SK-ranking'!J$1-19,0,1,80),1,$B81)</f>
        <v>0.78826718073023139</v>
      </c>
      <c r="K81" s="523">
        <f ca="1">INDEX(OFFSET('SK-ratings-final'!$I$20,'SK-ranking'!K$1-19,0,1,80),1,$B81)</f>
        <v>2.8395324032492297</v>
      </c>
      <c r="M81" s="456">
        <f ca="1">INDEX(OFFSET('SK-ratings-final'!$I$20,'SK-ranking'!M$1-19,0,1,80),1,$B81)</f>
        <v>8.3138410370747646</v>
      </c>
      <c r="N81" s="456">
        <f ca="1">INDEX(OFFSET('SK-ratings-final'!$I$20,'SK-ranking'!N$1-19,0,1,80),1,$B81)</f>
        <v>8.7539130258006157</v>
      </c>
      <c r="O81" s="456">
        <f ca="1">INDEX(OFFSET('SK-ratings-final'!$I$20,'SK-ranking'!O$1-19,0,1,80),1,$B81)</f>
        <v>6.7417249774726669</v>
      </c>
      <c r="P81" s="523">
        <f ca="1">INDEX(OFFSET('SK-ratings-final'!$I$20,'SK-ranking'!P$1-19,0,1,80),1,$B81)</f>
        <v>7.7730090109790959</v>
      </c>
      <c r="R81" s="456">
        <f ca="1">INDEX(OFFSET('SK-ratings-final'!$I$20,'SK-ranking'!R$1-19,0,1,80),1,$B81)</f>
        <v>0</v>
      </c>
      <c r="S81" s="456">
        <f ca="1">INDEX(OFFSET('SK-ratings-final'!$I$20,'SK-ranking'!S$1-19,0,1,80),1,$B81)</f>
        <v>5.1219190463932458</v>
      </c>
      <c r="T81" s="523">
        <f ca="1">INDEX(OFFSET('SK-ratings-final'!$I$20,'SK-ranking'!T$1-19,0,1,80),1,$B81)</f>
        <v>2.5609595231966229</v>
      </c>
      <c r="V81" s="456">
        <f ca="1">INDEX(OFFSET('SK-ratings-final'!$I$20,'SK-ranking'!V$1-19,0,1,80),1,$B81)</f>
        <v>10</v>
      </c>
      <c r="W81" s="456">
        <f ca="1">INDEX(OFFSET('SK-ratings-final'!$I$20,'SK-ranking'!W$1-19,0,1,80),1,$B81)</f>
        <v>2.8451252840430592</v>
      </c>
      <c r="X81" s="523">
        <f ca="1">INDEX(OFFSET('SK-ratings-final'!$I$20,'SK-ranking'!X$1-19,0,1,80),1,$B81)</f>
        <v>6.4225626420215294</v>
      </c>
      <c r="AA81" s="532">
        <f ca="1">INDEX(OFFSET('SK-ratios'!$AF$23,'SK-ranking'!AA$1-19,0,1,80),1,$B81)</f>
        <v>0.94357434211403601</v>
      </c>
      <c r="AB81" s="532">
        <f ca="1">INDEX(OFFSET('SK-ratios'!$AF$23,'SK-ranking'!AB$1-19,0,1,80),1,$B81)</f>
        <v>0.80300091713622357</v>
      </c>
      <c r="AC81" s="532">
        <f ca="1">INDEX(OFFSET('SK-ratios'!$AF$23,'SK-ranking'!AC$1-19,0,1,80),1,$B81)</f>
        <v>2.8555088179906863E-2</v>
      </c>
      <c r="AD81" s="456"/>
      <c r="AE81" s="456">
        <f ca="1">INDEX(OFFSET('SK-ratios'!$AF$23,'SK-ranking'!AE$1-19,0,1,80),1,$B81)</f>
        <v>2.4640835857746811E-2</v>
      </c>
      <c r="AF81" s="456">
        <f ca="1">INDEX(OFFSET('SK-ratios'!$AF$23,'SK-ranking'!AF$1-19,0,1,80),1,$B81)</f>
        <v>8.1670679307445079E-2</v>
      </c>
      <c r="AG81" s="456">
        <f ca="1">INDEX(OFFSET('SK-ratios'!$AF$23,'SK-ranking'!AG$1-19,0,1,80),1,$B81)</f>
        <v>9.7404624767050141E-3</v>
      </c>
      <c r="AI81" s="456">
        <f ca="1">INDEX(OFFSET('SK-ratios'!$AF$23,'SK-ranking'!AI$1-19,0,1,80),1,$B81)</f>
        <v>0.69216567566928822</v>
      </c>
      <c r="AJ81" s="456">
        <f ca="1">INDEX(OFFSET('SK-ratios'!$AF$23,'SK-ranking'!AJ$1-19,0,1,80),1,$B81)</f>
        <v>8.2358361040808568</v>
      </c>
      <c r="AL81" s="456">
        <f ca="1">INDEX(OFFSET('SK-ratios'!$AF$23,'SK-ranking'!AL$1-19,0,1,80),1,$B81)</f>
        <v>-88.190887281451054</v>
      </c>
      <c r="AM81" s="456">
        <f ca="1">INDEX(OFFSET('SK-ratios'!$AF$23,'SK-ranking'!AM$1-19,0,1,80),1,$B81)</f>
        <v>5.5701063566014861</v>
      </c>
    </row>
    <row r="82" spans="1:39" x14ac:dyDescent="0.25">
      <c r="A82" s="403">
        <v>18</v>
      </c>
      <c r="B82" s="525">
        <f>MATCH(C82,'SK-ratings-final'!I$2:CJ$2,0)</f>
        <v>68</v>
      </c>
      <c r="C82" s="307" t="str">
        <f>INDEX('SK-ratings-final'!$I$2:$CJ$2,MATCH('SK-ranking'!F82,'SK-ratings-final'!$I$35:$CJ$35,0))</f>
        <v>VEMEX ENERGO s.r.o.</v>
      </c>
      <c r="D82" s="307" t="str">
        <f>INDEX('SK-info'!C$2:C$81,MATCH('SK-ranking'!C82,'SK-info'!B$2:B$81,0))</f>
        <v>private</v>
      </c>
      <c r="E82" s="323" t="s">
        <v>400</v>
      </c>
      <c r="F82" s="523">
        <f t="array" ref="F82">LARGE(IF('SK-ratings-final'!I$3:CJ$3="private",'SK-ratings-final'!$I$35:$CJ$35),'SK-ranking'!A82)</f>
        <v>4.7039466456496992</v>
      </c>
      <c r="H82" s="456">
        <f ca="1">INDEX(OFFSET('SK-ratings-final'!$I$20,'SK-ranking'!H$1-19,0,1,80),1,$B82)</f>
        <v>4.7494139478361364</v>
      </c>
      <c r="I82" s="456">
        <f ca="1">INDEX(OFFSET('SK-ratings-final'!$I$20,'SK-ranking'!I$1-19,0,1,80),1,$B82)</f>
        <v>4.7509821408307706</v>
      </c>
      <c r="J82" s="456">
        <f ca="1">INDEX(OFFSET('SK-ratings-final'!$I$20,'SK-ranking'!J$1-19,0,1,80),1,$B82)</f>
        <v>1.1569397072189509</v>
      </c>
      <c r="K82" s="523">
        <f ca="1">INDEX(OFFSET('SK-ratings-final'!$I$20,'SK-ranking'!K$1-19,0,1,80),1,$B82)</f>
        <v>3.5524452652952858</v>
      </c>
      <c r="M82" s="456">
        <f ca="1">INDEX(OFFSET('SK-ratings-final'!$I$20,'SK-ranking'!M$1-19,0,1,80),1,$B82)</f>
        <v>9.0235860396721161</v>
      </c>
      <c r="N82" s="456">
        <f ca="1">INDEX(OFFSET('SK-ratings-final'!$I$20,'SK-ranking'!N$1-19,0,1,80),1,$B82)</f>
        <v>10</v>
      </c>
      <c r="O82" s="456">
        <f ca="1">INDEX(OFFSET('SK-ratings-final'!$I$20,'SK-ranking'!O$1-19,0,1,80),1,$B82)</f>
        <v>6.5815358964130422</v>
      </c>
      <c r="P82" s="523">
        <f ca="1">INDEX(OFFSET('SK-ratings-final'!$I$20,'SK-ranking'!P$1-19,0,1,80),1,$B82)</f>
        <v>8.242048774434064</v>
      </c>
      <c r="R82" s="456">
        <f ca="1">INDEX(OFFSET('SK-ratings-final'!$I$20,'SK-ranking'!R$1-19,0,1,80),1,$B82)</f>
        <v>0</v>
      </c>
      <c r="S82" s="456">
        <f ca="1">INDEX(OFFSET('SK-ratings-final'!$I$20,'SK-ranking'!S$1-19,0,1,80),1,$B82)</f>
        <v>4.0897363758535832</v>
      </c>
      <c r="T82" s="523">
        <f ca="1">INDEX(OFFSET('SK-ratings-final'!$I$20,'SK-ranking'!T$1-19,0,1,80),1,$B82)</f>
        <v>2.0448681879267916</v>
      </c>
      <c r="V82" s="456">
        <f ca="1">INDEX(OFFSET('SK-ratings-final'!$I$20,'SK-ranking'!V$1-19,0,1,80),1,$B82)</f>
        <v>8.3813283336560076</v>
      </c>
      <c r="W82" s="456">
        <f ca="1">INDEX(OFFSET('SK-ratings-final'!$I$20,'SK-ranking'!W$1-19,0,1,80),1,$B82)</f>
        <v>3.0372984597372374</v>
      </c>
      <c r="X82" s="523">
        <f ca="1">INDEX(OFFSET('SK-ratings-final'!$I$20,'SK-ranking'!X$1-19,0,1,80),1,$B82)</f>
        <v>5.7093133966966221</v>
      </c>
      <c r="AA82" s="532">
        <f ca="1">INDEX(OFFSET('SK-ratios'!$AF$23,'SK-ranking'!AA$1-19,0,1,80),1,$B82)</f>
        <v>1.3584008931756211</v>
      </c>
      <c r="AB82" s="532">
        <f ca="1">INDEX(OFFSET('SK-ratios'!$AF$23,'SK-ranking'!AB$1-19,0,1,80),1,$B82)</f>
        <v>1.3022844617393183</v>
      </c>
      <c r="AC82" s="532">
        <f ca="1">INDEX(OFFSET('SK-ratios'!$AF$23,'SK-ranking'!AC$1-19,0,1,80),1,$B82)</f>
        <v>9.7095626704585616E-3</v>
      </c>
      <c r="AD82" s="456"/>
      <c r="AE82" s="456">
        <f ca="1">INDEX(OFFSET('SK-ratios'!$AF$23,'SK-ranking'!AE$1-19,0,1,80),1,$B82)</f>
        <v>5.5689638664956055E-2</v>
      </c>
      <c r="AF82" s="456">
        <f ca="1">INDEX(OFFSET('SK-ratios'!$AF$23,'SK-ranking'!AF$1-19,0,1,80),1,$B82)</f>
        <v>0.316918581520714</v>
      </c>
      <c r="AG82" s="456">
        <f ca="1">INDEX(OFFSET('SK-ratios'!$AF$23,'SK-ranking'!AG$1-19,0,1,80),1,$B82)</f>
        <v>1.1170271864553974E-2</v>
      </c>
      <c r="AI82" s="456">
        <f ca="1">INDEX(OFFSET('SK-ratios'!$AF$23,'SK-ranking'!AI$1-19,0,1,80),1,$B82)</f>
        <v>0.8242777738126531</v>
      </c>
      <c r="AJ82" s="456">
        <f ca="1">INDEX(OFFSET('SK-ratios'!$AF$23,'SK-ranking'!AJ$1-19,0,1,80),1,$B82)</f>
        <v>13.660369454887869</v>
      </c>
      <c r="AL82" s="456">
        <f ca="1">INDEX(OFFSET('SK-ratios'!$AF$23,'SK-ranking'!AL$1-19,0,1,80),1,$B82)</f>
        <v>19.149747852635212</v>
      </c>
      <c r="AM82" s="456">
        <f ca="1">INDEX(OFFSET('SK-ratios'!$AF$23,'SK-ranking'!AM$1-19,0,1,80),1,$B82)</f>
        <v>5.3414944040865855</v>
      </c>
    </row>
    <row r="83" spans="1:39" x14ac:dyDescent="0.25">
      <c r="A83" s="403">
        <v>19</v>
      </c>
      <c r="B83" s="525">
        <f>MATCH(C83,'SK-ratings-final'!I$2:CJ$2,0)</f>
        <v>10</v>
      </c>
      <c r="C83" s="307" t="str">
        <f>INDEX('SK-ratings-final'!$I$2:$CJ$2,MATCH('SK-ranking'!F83,'SK-ratings-final'!$I$35:$CJ$35,0))</f>
        <v>DHL Express (Slovakia), spol. s r. o.</v>
      </c>
      <c r="D83" s="307" t="str">
        <f>INDEX('SK-info'!C$2:C$81,MATCH('SK-ranking'!C83,'SK-info'!B$2:B$81,0))</f>
        <v>private</v>
      </c>
      <c r="E83" s="323" t="s">
        <v>400</v>
      </c>
      <c r="F83" s="523">
        <f t="array" ref="F83">LARGE(IF('SK-ratings-final'!I$3:CJ$3="private",'SK-ratings-final'!$I$35:$CJ$35),'SK-ranking'!A83)</f>
        <v>4.6235687164895447</v>
      </c>
      <c r="H83" s="456">
        <f ca="1">INDEX(OFFSET('SK-ratings-final'!$I$20,'SK-ranking'!H$1-19,0,1,80),1,$B83)</f>
        <v>4.2282189949124058</v>
      </c>
      <c r="I83" s="456">
        <f ca="1">INDEX(OFFSET('SK-ratings-final'!$I$20,'SK-ranking'!I$1-19,0,1,80),1,$B83)</f>
        <v>4.502562889600001</v>
      </c>
      <c r="J83" s="456">
        <f ca="1">INDEX(OFFSET('SK-ratings-final'!$I$20,'SK-ranking'!J$1-19,0,1,80),1,$B83)</f>
        <v>3.6519497037655291</v>
      </c>
      <c r="K83" s="523">
        <f ca="1">INDEX(OFFSET('SK-ratings-final'!$I$20,'SK-ranking'!K$1-19,0,1,80),1,$B83)</f>
        <v>4.1275771960926448</v>
      </c>
      <c r="M83" s="456">
        <f ca="1">INDEX(OFFSET('SK-ratings-final'!$I$20,'SK-ranking'!M$1-19,0,1,80),1,$B83)</f>
        <v>6.6667868194576654</v>
      </c>
      <c r="N83" s="456">
        <f ca="1">INDEX(OFFSET('SK-ratings-final'!$I$20,'SK-ranking'!N$1-19,0,1,80),1,$B83)</f>
        <v>6.2968776860053506</v>
      </c>
      <c r="O83" s="456">
        <f ca="1">INDEX(OFFSET('SK-ratings-final'!$I$20,'SK-ranking'!O$1-19,0,1,80),1,$B83)</f>
        <v>5.8306682302070545</v>
      </c>
      <c r="P83" s="523">
        <f ca="1">INDEX(OFFSET('SK-ratings-final'!$I$20,'SK-ranking'!P$1-19,0,1,80),1,$B83)</f>
        <v>6.2583575570669581</v>
      </c>
      <c r="R83" s="456">
        <f ca="1">INDEX(OFFSET('SK-ratings-final'!$I$20,'SK-ranking'!R$1-19,0,1,80),1,$B83)</f>
        <v>0</v>
      </c>
      <c r="S83" s="456">
        <f ca="1">INDEX(OFFSET('SK-ratings-final'!$I$20,'SK-ranking'!S$1-19,0,1,80),1,$B83)</f>
        <v>4.2201525705935756</v>
      </c>
      <c r="T83" s="523">
        <f ca="1">INDEX(OFFSET('SK-ratings-final'!$I$20,'SK-ranking'!T$1-19,0,1,80),1,$B83)</f>
        <v>2.1100762852967878</v>
      </c>
      <c r="V83" s="456">
        <f ca="1">INDEX(OFFSET('SK-ratings-final'!$I$20,'SK-ranking'!V$1-19,0,1,80),1,$B83)</f>
        <v>10</v>
      </c>
      <c r="W83" s="456">
        <f ca="1">INDEX(OFFSET('SK-ratings-final'!$I$20,'SK-ranking'!W$1-19,0,1,80),1,$B83)</f>
        <v>3.9406214261060737</v>
      </c>
      <c r="X83" s="523">
        <f ca="1">INDEX(OFFSET('SK-ratings-final'!$I$20,'SK-ranking'!X$1-19,0,1,80),1,$B83)</f>
        <v>6.9703107130530366</v>
      </c>
      <c r="AA83" s="532">
        <f ca="1">INDEX(OFFSET('SK-ratios'!$AF$23,'SK-ranking'!AA$1-19,0,1,80),1,$B83)</f>
        <v>1.1793946793761099</v>
      </c>
      <c r="AB83" s="532">
        <f ca="1">INDEX(OFFSET('SK-ratios'!$AF$23,'SK-ranking'!AB$1-19,0,1,80),1,$B83)</f>
        <v>1.1786380469984674</v>
      </c>
      <c r="AC83" s="532">
        <f ca="1">INDEX(OFFSET('SK-ratios'!$AF$23,'SK-ranking'!AC$1-19,0,1,80),1,$B83)</f>
        <v>0.46501640909246339</v>
      </c>
      <c r="AD83" s="456"/>
      <c r="AE83" s="456">
        <f ca="1">INDEX(OFFSET('SK-ratios'!$AF$23,'SK-ranking'!AE$1-19,0,1,80),1,$B83)</f>
        <v>7.6421069277078937E-2</v>
      </c>
      <c r="AF83" s="456">
        <f ca="1">INDEX(OFFSET('SK-ratios'!$AF$23,'SK-ranking'!AF$1-19,0,1,80),1,$B83)</f>
        <v>0.48455259470982537</v>
      </c>
      <c r="AG83" s="456">
        <f ca="1">INDEX(OFFSET('SK-ratios'!$AF$23,'SK-ranking'!AG$1-19,0,1,80),1,$B83)</f>
        <v>1.446783694058998E-2</v>
      </c>
      <c r="AI83" s="456">
        <f ca="1">INDEX(OFFSET('SK-ratios'!$AF$23,'SK-ranking'!AI$1-19,0,1,80),1,$B83)</f>
        <v>0.84228529552536247</v>
      </c>
      <c r="AJ83" s="456">
        <f ca="1">INDEX(OFFSET('SK-ratios'!$AF$23,'SK-ranking'!AJ$1-19,0,1,80),1,$B83)</f>
        <v>8.0405467042118239</v>
      </c>
      <c r="AL83" s="456">
        <f ca="1">INDEX(OFFSET('SK-ratios'!$AF$23,'SK-ranking'!AL$1-19,0,1,80),1,$B83)</f>
        <v>38.22719051105863</v>
      </c>
      <c r="AM83" s="456">
        <f ca="1">INDEX(OFFSET('SK-ratios'!$AF$23,'SK-ranking'!AM$1-19,0,1,80),1,$B83)</f>
        <v>9.6097907082858303</v>
      </c>
    </row>
    <row r="84" spans="1:39" x14ac:dyDescent="0.25">
      <c r="A84" s="403">
        <v>20</v>
      </c>
      <c r="B84" s="525">
        <f>MATCH(C84,'SK-ratings-final'!I$2:CJ$2,0)</f>
        <v>15</v>
      </c>
      <c r="C84" s="307" t="str">
        <f>INDEX('SK-ratings-final'!$I$2:$CJ$2,MATCH('SK-ranking'!F84,'SK-ratings-final'!$I$35:$CJ$35,0))</f>
        <v>eurobus, a.s.</v>
      </c>
      <c r="D84" s="307" t="str">
        <f>INDEX('SK-info'!C$2:C$81,MATCH('SK-ranking'!C84,'SK-info'!B$2:B$81,0))</f>
        <v>private</v>
      </c>
      <c r="E84" s="323" t="s">
        <v>400</v>
      </c>
      <c r="F84" s="523">
        <f t="array" ref="F84">LARGE(IF('SK-ratings-final'!I$3:CJ$3="private",'SK-ratings-final'!$I$35:$CJ$35),'SK-ranking'!A84)</f>
        <v>4.5549011613034294</v>
      </c>
      <c r="H84" s="456">
        <f ca="1">INDEX(OFFSET('SK-ratings-final'!$I$20,'SK-ranking'!H$1-19,0,1,80),1,$B84)</f>
        <v>4.690589341343105</v>
      </c>
      <c r="I84" s="456">
        <f ca="1">INDEX(OFFSET('SK-ratings-final'!$I$20,'SK-ranking'!I$1-19,0,1,80),1,$B84)</f>
        <v>4.9471478902245591</v>
      </c>
      <c r="J84" s="456">
        <f ca="1">INDEX(OFFSET('SK-ratings-final'!$I$20,'SK-ranking'!J$1-19,0,1,80),1,$B84)</f>
        <v>4.3178207081563214</v>
      </c>
      <c r="K84" s="523">
        <f ca="1">INDEX(OFFSET('SK-ratings-final'!$I$20,'SK-ranking'!K$1-19,0,1,80),1,$B84)</f>
        <v>4.6518526465746612</v>
      </c>
      <c r="M84" s="456">
        <f ca="1">INDEX(OFFSET('SK-ratings-final'!$I$20,'SK-ranking'!M$1-19,0,1,80),1,$B84)</f>
        <v>6.5616896974827439</v>
      </c>
      <c r="N84" s="456">
        <f ca="1">INDEX(OFFSET('SK-ratings-final'!$I$20,'SK-ranking'!N$1-19,0,1,80),1,$B84)</f>
        <v>6.4797135638990753</v>
      </c>
      <c r="O84" s="456">
        <f ca="1">INDEX(OFFSET('SK-ratings-final'!$I$20,'SK-ranking'!O$1-19,0,1,80),1,$B84)</f>
        <v>7.5404942805073887</v>
      </c>
      <c r="P84" s="523">
        <f ca="1">INDEX(OFFSET('SK-ratings-final'!$I$20,'SK-ranking'!P$1-19,0,1,80),1,$B84)</f>
        <v>6.9368163039758688</v>
      </c>
      <c r="R84" s="456">
        <f ca="1">INDEX(OFFSET('SK-ratings-final'!$I$20,'SK-ranking'!R$1-19,0,1,80),1,$B84)</f>
        <v>0</v>
      </c>
      <c r="S84" s="456">
        <f ca="1">INDEX(OFFSET('SK-ratings-final'!$I$20,'SK-ranking'!S$1-19,0,1,80),1,$B84)</f>
        <v>5.7232635137181216</v>
      </c>
      <c r="T84" s="523">
        <f ca="1">INDEX(OFFSET('SK-ratings-final'!$I$20,'SK-ranking'!T$1-19,0,1,80),1,$B84)</f>
        <v>2.8616317568590608</v>
      </c>
      <c r="V84" s="456">
        <f ca="1">INDEX(OFFSET('SK-ratings-final'!$I$20,'SK-ranking'!V$1-19,0,1,80),1,$B84)</f>
        <v>5.860153023873508</v>
      </c>
      <c r="W84" s="456">
        <f ca="1">INDEX(OFFSET('SK-ratings-final'!$I$20,'SK-ranking'!W$1-19,0,1,80),1,$B84)</f>
        <v>2.1322909422072818</v>
      </c>
      <c r="X84" s="523">
        <f ca="1">INDEX(OFFSET('SK-ratings-final'!$I$20,'SK-ranking'!X$1-19,0,1,80),1,$B84)</f>
        <v>3.9962219830403947</v>
      </c>
      <c r="AA84" s="532">
        <f ca="1">INDEX(OFFSET('SK-ratios'!$AF$23,'SK-ranking'!AA$1-19,0,1,80),1,$B84)</f>
        <v>1.4126102554067779</v>
      </c>
      <c r="AB84" s="532">
        <f ca="1">INDEX(OFFSET('SK-ratios'!$AF$23,'SK-ranking'!AB$1-19,0,1,80),1,$B84)</f>
        <v>1.3853205862894735</v>
      </c>
      <c r="AC84" s="532">
        <f ca="1">INDEX(OFFSET('SK-ratios'!$AF$23,'SK-ranking'!AC$1-19,0,1,80),1,$B84)</f>
        <v>0.77555512071487809</v>
      </c>
      <c r="AD84" s="456"/>
      <c r="AE84" s="456">
        <f ca="1">INDEX(OFFSET('SK-ratios'!$AF$23,'SK-ranking'!AE$1-19,0,1,80),1,$B84)</f>
        <v>7.3153987805953408E-3</v>
      </c>
      <c r="AF84" s="456">
        <f ca="1">INDEX(OFFSET('SK-ratios'!$AF$23,'SK-ranking'!AF$1-19,0,1,80),1,$B84)</f>
        <v>1.4888453045236781E-2</v>
      </c>
      <c r="AG84" s="456">
        <f ca="1">INDEX(OFFSET('SK-ratios'!$AF$23,'SK-ranking'!AG$1-19,0,1,80),1,$B84)</f>
        <v>2.5000634414450117E-2</v>
      </c>
      <c r="AI84" s="456">
        <f ca="1">INDEX(OFFSET('SK-ratios'!$AF$23,'SK-ranking'!AI$1-19,0,1,80),1,$B84)</f>
        <v>0.49940627244336544</v>
      </c>
      <c r="AJ84" s="456">
        <f ca="1">INDEX(OFFSET('SK-ratios'!$AF$23,'SK-ranking'!AJ$1-19,0,1,80),1,$B84)</f>
        <v>4.498757561168409</v>
      </c>
      <c r="AL84" s="456">
        <f ca="1">INDEX(OFFSET('SK-ratios'!$AF$23,'SK-ranking'!AL$1-19,0,1,80),1,$B84)</f>
        <v>5.8556646971201136</v>
      </c>
      <c r="AM84" s="456">
        <f ca="1">INDEX(OFFSET('SK-ratios'!$AF$23,'SK-ranking'!AM$1-19,0,1,80),1,$B84)</f>
        <v>3.9623551064480704</v>
      </c>
    </row>
    <row r="85" spans="1:39" x14ac:dyDescent="0.25">
      <c r="A85" s="403">
        <v>21</v>
      </c>
      <c r="B85" s="525">
        <f>MATCH(C85,'SK-ratings-final'!I$2:CJ$2,0)</f>
        <v>3</v>
      </c>
      <c r="C85" s="307" t="str">
        <f>INDEX('SK-ratings-final'!$I$2:$CJ$2,MATCH('SK-ranking'!F85,'SK-ratings-final'!$I$35:$CJ$35,0))</f>
        <v>ARRIVA NITRA a.s.</v>
      </c>
      <c r="D85" s="307" t="str">
        <f>INDEX('SK-info'!C$2:C$81,MATCH('SK-ranking'!C85,'SK-info'!B$2:B$81,0))</f>
        <v>private</v>
      </c>
      <c r="E85" s="323" t="s">
        <v>400</v>
      </c>
      <c r="F85" s="523">
        <f t="array" ref="F85">LARGE(IF('SK-ratings-final'!I$3:CJ$3="private",'SK-ratings-final'!$I$35:$CJ$35),'SK-ranking'!A85)</f>
        <v>4.5528763808686428</v>
      </c>
      <c r="H85" s="456">
        <f ca="1">INDEX(OFFSET('SK-ratings-final'!$I$20,'SK-ranking'!H$1-19,0,1,80),1,$B85)</f>
        <v>4.2762989923770611</v>
      </c>
      <c r="I85" s="456">
        <f ca="1">INDEX(OFFSET('SK-ratings-final'!$I$20,'SK-ranking'!I$1-19,0,1,80),1,$B85)</f>
        <v>4.500927893517912</v>
      </c>
      <c r="J85" s="456">
        <f ca="1">INDEX(OFFSET('SK-ratings-final'!$I$20,'SK-ranking'!J$1-19,0,1,80),1,$B85)</f>
        <v>3.981914267457062</v>
      </c>
      <c r="K85" s="523">
        <f ca="1">INDEX(OFFSET('SK-ratings-final'!$I$20,'SK-ranking'!K$1-19,0,1,80),1,$B85)</f>
        <v>4.2530470511173446</v>
      </c>
      <c r="M85" s="456">
        <f ca="1">INDEX(OFFSET('SK-ratings-final'!$I$20,'SK-ranking'!M$1-19,0,1,80),1,$B85)</f>
        <v>6.7218474746481229</v>
      </c>
      <c r="N85" s="456">
        <f ca="1">INDEX(OFFSET('SK-ratings-final'!$I$20,'SK-ranking'!N$1-19,0,1,80),1,$B85)</f>
        <v>6.5143921820950421</v>
      </c>
      <c r="O85" s="456">
        <f ca="1">INDEX(OFFSET('SK-ratings-final'!$I$20,'SK-ranking'!O$1-19,0,1,80),1,$B85)</f>
        <v>6.5347190741175085</v>
      </c>
      <c r="P85" s="523">
        <f ca="1">INDEX(OFFSET('SK-ratings-final'!$I$20,'SK-ranking'!P$1-19,0,1,80),1,$B85)</f>
        <v>6.6055050559252617</v>
      </c>
      <c r="R85" s="456">
        <f ca="1">INDEX(OFFSET('SK-ratings-final'!$I$20,'SK-ranking'!R$1-19,0,1,80),1,$B85)</f>
        <v>0</v>
      </c>
      <c r="S85" s="456">
        <f ca="1">INDEX(OFFSET('SK-ratings-final'!$I$20,'SK-ranking'!S$1-19,0,1,80),1,$B85)</f>
        <v>5.4774960894147382</v>
      </c>
      <c r="T85" s="523">
        <f ca="1">INDEX(OFFSET('SK-ratings-final'!$I$20,'SK-ranking'!T$1-19,0,1,80),1,$B85)</f>
        <v>2.7387480447073691</v>
      </c>
      <c r="V85" s="456">
        <f ca="1">INDEX(OFFSET('SK-ratings-final'!$I$20,'SK-ranking'!V$1-19,0,1,80),1,$B85)</f>
        <v>6.9828106518851554</v>
      </c>
      <c r="W85" s="456">
        <f ca="1">INDEX(OFFSET('SK-ratings-final'!$I$20,'SK-ranking'!W$1-19,0,1,80),1,$B85)</f>
        <v>3.1833287550726568</v>
      </c>
      <c r="X85" s="523">
        <f ca="1">INDEX(OFFSET('SK-ratings-final'!$I$20,'SK-ranking'!X$1-19,0,1,80),1,$B85)</f>
        <v>5.0830697034789063</v>
      </c>
      <c r="AA85" s="532">
        <f ca="1">INDEX(OFFSET('SK-ratios'!$AF$23,'SK-ranking'!AA$1-19,0,1,80),1,$B85)</f>
        <v>1.5893397495375605</v>
      </c>
      <c r="AB85" s="532">
        <f ca="1">INDEX(OFFSET('SK-ratios'!$AF$23,'SK-ranking'!AB$1-19,0,1,80),1,$B85)</f>
        <v>1.5708031745905597</v>
      </c>
      <c r="AC85" s="532">
        <f ca="1">INDEX(OFFSET('SK-ratios'!$AF$23,'SK-ranking'!AC$1-19,0,1,80),1,$B85)</f>
        <v>0.97901140253800345</v>
      </c>
      <c r="AD85" s="456"/>
      <c r="AE85" s="456">
        <f ca="1">INDEX(OFFSET('SK-ratios'!$AF$23,'SK-ranking'!AE$1-19,0,1,80),1,$B85)</f>
        <v>1.7175764085973898E-2</v>
      </c>
      <c r="AF85" s="456">
        <f ca="1">INDEX(OFFSET('SK-ratios'!$AF$23,'SK-ranking'!AF$1-19,0,1,80),1,$B85)</f>
        <v>2.9238419693615184E-2</v>
      </c>
      <c r="AG85" s="456">
        <f ca="1">INDEX(OFFSET('SK-ratios'!$AF$23,'SK-ranking'!AG$1-19,0,1,80),1,$B85)</f>
        <v>1.9300523320861965E-2</v>
      </c>
      <c r="AI85" s="456">
        <f ca="1">INDEX(OFFSET('SK-ratios'!$AF$23,'SK-ranking'!AI$1-19,0,1,80),1,$B85)</f>
        <v>0.41153764287378697</v>
      </c>
      <c r="AJ85" s="456">
        <f ca="1">INDEX(OFFSET('SK-ratios'!$AF$23,'SK-ranking'!AJ$1-19,0,1,80),1,$B85)</f>
        <v>4.3492819533822633</v>
      </c>
      <c r="AL85" s="456">
        <f ca="1">INDEX(OFFSET('SK-ratios'!$AF$23,'SK-ranking'!AL$1-19,0,1,80),1,$B85)</f>
        <v>9.336220163845999</v>
      </c>
      <c r="AM85" s="456">
        <f ca="1">INDEX(OFFSET('SK-ratios'!$AF$23,'SK-ranking'!AM$1-19,0,1,80),1,$B85)</f>
        <v>9.2975365877507983</v>
      </c>
    </row>
    <row r="86" spans="1:39" x14ac:dyDescent="0.25">
      <c r="A86" s="403">
        <v>22</v>
      </c>
      <c r="B86" s="525">
        <f>MATCH(C86,'SK-ratings-final'!I$2:CJ$2,0)</f>
        <v>9</v>
      </c>
      <c r="C86" s="307" t="str">
        <f>INDEX('SK-ratings-final'!$I$2:$CJ$2,MATCH('SK-ranking'!F86,'SK-ratings-final'!$I$35:$CJ$35,0))</f>
        <v>ČEZ Slovensko, s.r.o.</v>
      </c>
      <c r="D86" s="307" t="str">
        <f>INDEX('SK-info'!C$2:C$81,MATCH('SK-ranking'!C86,'SK-info'!B$2:B$81,0))</f>
        <v>private</v>
      </c>
      <c r="E86" s="323" t="s">
        <v>400</v>
      </c>
      <c r="F86" s="523">
        <f t="array" ref="F86">LARGE(IF('SK-ratings-final'!I$3:CJ$3="private",'SK-ratings-final'!$I$35:$CJ$35),'SK-ranking'!A86)</f>
        <v>4.4593399123851745</v>
      </c>
      <c r="H86" s="456">
        <f ca="1">INDEX(OFFSET('SK-ratings-final'!$I$20,'SK-ranking'!H$1-19,0,1,80),1,$B86)</f>
        <v>5.030402518405749</v>
      </c>
      <c r="I86" s="456">
        <f ca="1">INDEX(OFFSET('SK-ratings-final'!$I$20,'SK-ranking'!I$1-19,0,1,80),1,$B86)</f>
        <v>5.2262240588980564</v>
      </c>
      <c r="J86" s="456">
        <f ca="1">INDEX(OFFSET('SK-ratings-final'!$I$20,'SK-ranking'!J$1-19,0,1,80),1,$B86)</f>
        <v>0.10154608036943065</v>
      </c>
      <c r="K86" s="523">
        <f ca="1">INDEX(OFFSET('SK-ratings-final'!$I$20,'SK-ranking'!K$1-19,0,1,80),1,$B86)</f>
        <v>3.4527242192244119</v>
      </c>
      <c r="M86" s="456">
        <f ca="1">INDEX(OFFSET('SK-ratings-final'!$I$20,'SK-ranking'!M$1-19,0,1,80),1,$B86)</f>
        <v>8.6070685411267096</v>
      </c>
      <c r="N86" s="456">
        <f ca="1">INDEX(OFFSET('SK-ratings-final'!$I$20,'SK-ranking'!N$1-19,0,1,80),1,$B86)</f>
        <v>8.7677491313045959</v>
      </c>
      <c r="O86" s="456">
        <f ca="1">INDEX(OFFSET('SK-ratings-final'!$I$20,'SK-ranking'!O$1-19,0,1,80),1,$B86)</f>
        <v>6.3778919621441217</v>
      </c>
      <c r="P86" s="523">
        <f ca="1">INDEX(OFFSET('SK-ratings-final'!$I$20,'SK-ranking'!P$1-19,0,1,80),1,$B86)</f>
        <v>7.7475340275692526</v>
      </c>
      <c r="R86" s="456">
        <f ca="1">INDEX(OFFSET('SK-ratings-final'!$I$20,'SK-ranking'!R$1-19,0,1,80),1,$B86)</f>
        <v>0</v>
      </c>
      <c r="S86" s="456">
        <f ca="1">INDEX(OFFSET('SK-ratings-final'!$I$20,'SK-ranking'!S$1-19,0,1,80),1,$B86)</f>
        <v>4.2652997939438322</v>
      </c>
      <c r="T86" s="523">
        <f ca="1">INDEX(OFFSET('SK-ratings-final'!$I$20,'SK-ranking'!T$1-19,0,1,80),1,$B86)</f>
        <v>2.1326498969719161</v>
      </c>
      <c r="V86" s="456">
        <f ca="1">INDEX(OFFSET('SK-ratings-final'!$I$20,'SK-ranking'!V$1-19,0,1,80),1,$B86)</f>
        <v>7.5798055877357031</v>
      </c>
      <c r="W86" s="456">
        <f ca="1">INDEX(OFFSET('SK-ratings-final'!$I$20,'SK-ranking'!W$1-19,0,1,80),1,$B86)</f>
        <v>2.6149982282161317</v>
      </c>
      <c r="X86" s="523">
        <f ca="1">INDEX(OFFSET('SK-ratings-final'!$I$20,'SK-ranking'!X$1-19,0,1,80),1,$B86)</f>
        <v>5.0974019079759181</v>
      </c>
      <c r="AA86" s="532">
        <f ca="1">INDEX(OFFSET('SK-ratios'!$AF$23,'SK-ranking'!AA$1-19,0,1,80),1,$B86)</f>
        <v>1.8321308138696248</v>
      </c>
      <c r="AB86" s="532">
        <f ca="1">INDEX(OFFSET('SK-ratios'!$AF$23,'SK-ranking'!AB$1-19,0,1,80),1,$B86)</f>
        <v>1.7530867745581886</v>
      </c>
      <c r="AC86" s="532">
        <f ca="1">INDEX(OFFSET('SK-ratios'!$AF$23,'SK-ranking'!AC$1-19,0,1,80),1,$B86)</f>
        <v>6.0316469626715326E-3</v>
      </c>
      <c r="AD86" s="456"/>
      <c r="AE86" s="456">
        <f ca="1">INDEX(OFFSET('SK-ratios'!$AF$23,'SK-ranking'!AE$1-19,0,1,80),1,$B86)</f>
        <v>7.2049872270430124E-2</v>
      </c>
      <c r="AF86" s="456">
        <f ca="1">INDEX(OFFSET('SK-ratios'!$AF$23,'SK-ranking'!AF$1-19,0,1,80),1,$B86)</f>
        <v>0.16424387027491272</v>
      </c>
      <c r="AG86" s="456">
        <f ca="1">INDEX(OFFSET('SK-ratios'!$AF$23,'SK-ranking'!AG$1-19,0,1,80),1,$B86)</f>
        <v>1.5581793784339175E-2</v>
      </c>
      <c r="AI86" s="456">
        <f ca="1">INDEX(OFFSET('SK-ratios'!$AF$23,'SK-ranking'!AI$1-19,0,1,80),1,$B86)</f>
        <v>0.56132382809883585</v>
      </c>
      <c r="AJ86" s="456">
        <f ca="1">INDEX(OFFSET('SK-ratios'!$AF$23,'SK-ranking'!AJ$1-19,0,1,80),1,$B86)</f>
        <v>5.6355819798319224</v>
      </c>
      <c r="AL86" s="456">
        <f ca="1">INDEX(OFFSET('SK-ratios'!$AF$23,'SK-ranking'!AL$1-19,0,1,80),1,$B86)</f>
        <v>10.130252542493917</v>
      </c>
      <c r="AM86" s="456">
        <f ca="1">INDEX(OFFSET('SK-ratios'!$AF$23,'SK-ranking'!AM$1-19,0,1,80),1,$B86)</f>
        <v>4.8752561001280279</v>
      </c>
    </row>
    <row r="87" spans="1:39" x14ac:dyDescent="0.25">
      <c r="A87" s="403">
        <v>23</v>
      </c>
      <c r="B87" s="525">
        <f>MATCH(C87,'SK-ratings-final'!I$2:CJ$2,0)</f>
        <v>39</v>
      </c>
      <c r="C87" s="307" t="str">
        <f>INDEX('SK-ratings-final'!$I$2:$CJ$2,MATCH('SK-ranking'!F87,'SK-ratings-final'!$I$35:$CJ$35,0))</f>
        <v>Nemocnica s poliklinikou Sv. Lukáša Galanta, a.s.</v>
      </c>
      <c r="D87" s="307" t="str">
        <f>INDEX('SK-info'!C$2:C$81,MATCH('SK-ranking'!C87,'SK-info'!B$2:B$81,0))</f>
        <v>private</v>
      </c>
      <c r="E87" s="323" t="s">
        <v>400</v>
      </c>
      <c r="F87" s="523">
        <f t="array" ref="F87">LARGE(IF('SK-ratings-final'!I$3:CJ$3="private",'SK-ratings-final'!$I$35:$CJ$35),'SK-ranking'!A87)</f>
        <v>4.3261680012940937</v>
      </c>
      <c r="H87" s="456">
        <f ca="1">INDEX(OFFSET('SK-ratings-final'!$I$20,'SK-ranking'!H$1-19,0,1,80),1,$B87)</f>
        <v>3.4227617632714029</v>
      </c>
      <c r="I87" s="456">
        <f ca="1">INDEX(OFFSET('SK-ratings-final'!$I$20,'SK-ranking'!I$1-19,0,1,80),1,$B87)</f>
        <v>3.3087094665988022</v>
      </c>
      <c r="J87" s="456">
        <f ca="1">INDEX(OFFSET('SK-ratings-final'!$I$20,'SK-ranking'!J$1-19,0,1,80),1,$B87)</f>
        <v>0.15043803700408173</v>
      </c>
      <c r="K87" s="523">
        <f ca="1">INDEX(OFFSET('SK-ratings-final'!$I$20,'SK-ranking'!K$1-19,0,1,80),1,$B87)</f>
        <v>2.2939697556247625</v>
      </c>
      <c r="M87" s="456">
        <f ca="1">INDEX(OFFSET('SK-ratings-final'!$I$20,'SK-ranking'!M$1-19,0,1,80),1,$B87)</f>
        <v>7.2142133282538774</v>
      </c>
      <c r="N87" s="456">
        <f ca="1">INDEX(OFFSET('SK-ratings-final'!$I$20,'SK-ranking'!N$1-19,0,1,80),1,$B87)</f>
        <v>7.2323503556097153</v>
      </c>
      <c r="O87" s="456">
        <f ca="1">INDEX(OFFSET('SK-ratings-final'!$I$20,'SK-ranking'!O$1-19,0,1,80),1,$B87)</f>
        <v>7.048356199412753</v>
      </c>
      <c r="P87" s="523">
        <f ca="1">INDEX(OFFSET('SK-ratings-final'!$I$20,'SK-ranking'!P$1-19,0,1,80),1,$B87)</f>
        <v>7.1514978821885951</v>
      </c>
      <c r="R87" s="456">
        <f ca="1">INDEX(OFFSET('SK-ratings-final'!$I$20,'SK-ranking'!R$1-19,0,1,80),1,$B87)</f>
        <v>0</v>
      </c>
      <c r="S87" s="456">
        <f ca="1">INDEX(OFFSET('SK-ratings-final'!$I$20,'SK-ranking'!S$1-19,0,1,80),1,$B87)</f>
        <v>4.8712833355129259</v>
      </c>
      <c r="T87" s="523">
        <f ca="1">INDEX(OFFSET('SK-ratings-final'!$I$20,'SK-ranking'!T$1-19,0,1,80),1,$B87)</f>
        <v>2.435641667756463</v>
      </c>
      <c r="V87" s="456">
        <f ca="1">INDEX(OFFSET('SK-ratings-final'!$I$20,'SK-ranking'!V$1-19,0,1,80),1,$B87)</f>
        <v>9.5320809115405361</v>
      </c>
      <c r="W87" s="456">
        <f ca="1">INDEX(OFFSET('SK-ratings-final'!$I$20,'SK-ranking'!W$1-19,0,1,80),1,$B87)</f>
        <v>2.8090050035976168</v>
      </c>
      <c r="X87" s="523">
        <f ca="1">INDEX(OFFSET('SK-ratings-final'!$I$20,'SK-ranking'!X$1-19,0,1,80),1,$B87)</f>
        <v>6.1705429575690767</v>
      </c>
      <c r="AA87" s="532">
        <f ca="1">INDEX(OFFSET('SK-ratios'!$AF$23,'SK-ranking'!AA$1-19,0,1,80),1,$B87)</f>
        <v>0.73473311303636335</v>
      </c>
      <c r="AB87" s="532">
        <f ca="1">INDEX(OFFSET('SK-ratios'!$AF$23,'SK-ranking'!AB$1-19,0,1,80),1,$B87)</f>
        <v>0.61728102695519904</v>
      </c>
      <c r="AC87" s="532">
        <f ca="1">INDEX(OFFSET('SK-ratios'!$AF$23,'SK-ranking'!AC$1-19,0,1,80),1,$B87)</f>
        <v>2.5326160575117138E-3</v>
      </c>
      <c r="AD87" s="456"/>
      <c r="AE87" s="456">
        <f ca="1">INDEX(OFFSET('SK-ratios'!$AF$23,'SK-ranking'!AE$1-19,0,1,80),1,$B87)</f>
        <v>0.11050739000841324</v>
      </c>
      <c r="AF87" s="456">
        <f ca="1">INDEX(OFFSET('SK-ratios'!$AF$23,'SK-ranking'!AF$1-19,0,1,80),1,$B87)</f>
        <v>0.23967433941084268</v>
      </c>
      <c r="AG87" s="456">
        <f ca="1">INDEX(OFFSET('SK-ratios'!$AF$23,'SK-ranking'!AG$1-19,0,1,80),1,$B87)</f>
        <v>8.0955223579411997E-2</v>
      </c>
      <c r="AI87" s="456">
        <f ca="1">INDEX(OFFSET('SK-ratios'!$AF$23,'SK-ranking'!AI$1-19,0,1,80),1,$B87)</f>
        <v>0.52914444620129153</v>
      </c>
      <c r="AJ87" s="456">
        <f ca="1">INDEX(OFFSET('SK-ratios'!$AF$23,'SK-ranking'!AJ$1-19,0,1,80),1,$B87)</f>
        <v>3.3428104002738479</v>
      </c>
      <c r="AL87" s="456">
        <f ca="1">INDEX(OFFSET('SK-ratios'!$AF$23,'SK-ranking'!AL$1-19,0,1,80),1,$B87)</f>
        <v>-16.012234876466117</v>
      </c>
      <c r="AM87" s="456">
        <f ca="1">INDEX(OFFSET('SK-ratios'!$AF$23,'SK-ranking'!AM$1-19,0,1,80),1,$B87)</f>
        <v>5.4904154711137529</v>
      </c>
    </row>
    <row r="88" spans="1:39" x14ac:dyDescent="0.25">
      <c r="A88" s="403">
        <v>24</v>
      </c>
      <c r="B88" s="525">
        <f>MATCH(C88,'SK-ratings-final'!I$2:CJ$2,0)</f>
        <v>5</v>
      </c>
      <c r="C88" s="307" t="str">
        <f>INDEX('SK-ratings-final'!$I$2:$CJ$2,MATCH('SK-ranking'!F88,'SK-ratings-final'!$I$35:$CJ$35,0))</f>
        <v>ARRIVA Slovakia a.s.</v>
      </c>
      <c r="D88" s="307" t="str">
        <f>INDEX('SK-info'!C$2:C$81,MATCH('SK-ranking'!C88,'SK-info'!B$2:B$81,0))</f>
        <v>private</v>
      </c>
      <c r="E88" s="323" t="s">
        <v>400</v>
      </c>
      <c r="F88" s="523">
        <f t="array" ref="F88">LARGE(IF('SK-ratings-final'!I$3:CJ$3="private",'SK-ratings-final'!$I$35:$CJ$35),'SK-ranking'!A88)</f>
        <v>4.3046137998856349</v>
      </c>
      <c r="H88" s="456">
        <f ca="1">INDEX(OFFSET('SK-ratings-final'!$I$20,'SK-ranking'!H$1-19,0,1,80),1,$B88)</f>
        <v>2.9121183374071764</v>
      </c>
      <c r="I88" s="456">
        <f ca="1">INDEX(OFFSET('SK-ratings-final'!$I$20,'SK-ranking'!I$1-19,0,1,80),1,$B88)</f>
        <v>2.9995100005972861</v>
      </c>
      <c r="J88" s="456">
        <f ca="1">INDEX(OFFSET('SK-ratings-final'!$I$20,'SK-ranking'!J$1-19,0,1,80),1,$B88)</f>
        <v>2.0260313325901551</v>
      </c>
      <c r="K88" s="523">
        <f ca="1">INDEX(OFFSET('SK-ratings-final'!$I$20,'SK-ranking'!K$1-19,0,1,80),1,$B88)</f>
        <v>2.6458865568648724</v>
      </c>
      <c r="M88" s="456">
        <f ca="1">INDEX(OFFSET('SK-ratings-final'!$I$20,'SK-ranking'!M$1-19,0,1,80),1,$B88)</f>
        <v>8.1294433924060456</v>
      </c>
      <c r="N88" s="456">
        <f ca="1">INDEX(OFFSET('SK-ratings-final'!$I$20,'SK-ranking'!N$1-19,0,1,80),1,$B88)</f>
        <v>7.7159450666681932</v>
      </c>
      <c r="O88" s="456">
        <f ca="1">INDEX(OFFSET('SK-ratings-final'!$I$20,'SK-ranking'!O$1-19,0,1,80),1,$B88)</f>
        <v>8.9524553940175444</v>
      </c>
      <c r="P88" s="523">
        <f ca="1">INDEX(OFFSET('SK-ratings-final'!$I$20,'SK-ranking'!P$1-19,0,1,80),1,$B88)</f>
        <v>8.3759485279030752</v>
      </c>
      <c r="R88" s="456">
        <f ca="1">INDEX(OFFSET('SK-ratings-final'!$I$20,'SK-ranking'!R$1-19,0,1,80),1,$B88)</f>
        <v>3.689913487037038E-2</v>
      </c>
      <c r="S88" s="456">
        <f ca="1">INDEX(OFFSET('SK-ratings-final'!$I$20,'SK-ranking'!S$1-19,0,1,80),1,$B88)</f>
        <v>5.3766242978923584</v>
      </c>
      <c r="T88" s="523">
        <f ca="1">INDEX(OFFSET('SK-ratings-final'!$I$20,'SK-ranking'!T$1-19,0,1,80),1,$B88)</f>
        <v>2.7067617163813646</v>
      </c>
      <c r="V88" s="456">
        <f ca="1">INDEX(OFFSET('SK-ratings-final'!$I$20,'SK-ranking'!V$1-19,0,1,80),1,$B88)</f>
        <v>5.0534775286360469</v>
      </c>
      <c r="W88" s="456">
        <f ca="1">INDEX(OFFSET('SK-ratings-final'!$I$20,'SK-ranking'!W$1-19,0,1,80),1,$B88)</f>
        <v>2.3177876091563383</v>
      </c>
      <c r="X88" s="523">
        <f ca="1">INDEX(OFFSET('SK-ratings-final'!$I$20,'SK-ranking'!X$1-19,0,1,80),1,$B88)</f>
        <v>3.6856325688961924</v>
      </c>
      <c r="AA88" s="532">
        <f ca="1">INDEX(OFFSET('SK-ratios'!$AF$23,'SK-ranking'!AA$1-19,0,1,80),1,$B88)</f>
        <v>0.64121537497416947</v>
      </c>
      <c r="AB88" s="532">
        <f ca="1">INDEX(OFFSET('SK-ratios'!$AF$23,'SK-ranking'!AB$1-19,0,1,80),1,$B88)</f>
        <v>0.59882313868808457</v>
      </c>
      <c r="AC88" s="532">
        <f ca="1">INDEX(OFFSET('SK-ratios'!$AF$23,'SK-ranking'!AC$1-19,0,1,80),1,$B88)</f>
        <v>0.1790934763549544</v>
      </c>
      <c r="AD88" s="456"/>
      <c r="AE88" s="456">
        <f ca="1">INDEX(OFFSET('SK-ratios'!$AF$23,'SK-ranking'!AE$1-19,0,1,80),1,$B88)</f>
        <v>2.3835558069446504E-2</v>
      </c>
      <c r="AF88" s="456">
        <f ca="1">INDEX(OFFSET('SK-ratios'!$AF$23,'SK-ranking'!AF$1-19,0,1,80),1,$B88)</f>
        <v>3.6115229828644853E-2</v>
      </c>
      <c r="AG88" s="456">
        <f ca="1">INDEX(OFFSET('SK-ratios'!$AF$23,'SK-ranking'!AG$1-19,0,1,80),1,$B88)</f>
        <v>4.8056730141413949E-2</v>
      </c>
      <c r="AI88" s="456">
        <f ca="1">INDEX(OFFSET('SK-ratios'!$AF$23,'SK-ranking'!AI$1-19,0,1,80),1,$B88)</f>
        <v>0.33916472993480179</v>
      </c>
      <c r="AJ88" s="456">
        <f ca="1">INDEX(OFFSET('SK-ratios'!$AF$23,'SK-ranking'!AJ$1-19,0,1,80),1,$B88)</f>
        <v>5.0881775245520657</v>
      </c>
      <c r="AL88" s="456">
        <f ca="1">INDEX(OFFSET('SK-ratios'!$AF$23,'SK-ranking'!AL$1-19,0,1,80),1,$B88)</f>
        <v>-5.6601320048574344</v>
      </c>
      <c r="AM88" s="456">
        <f ca="1">INDEX(OFFSET('SK-ratios'!$AF$23,'SK-ranking'!AM$1-19,0,1,80),1,$B88)</f>
        <v>4.7854960560235371</v>
      </c>
    </row>
    <row r="89" spans="1:39" x14ac:dyDescent="0.25">
      <c r="A89" s="403">
        <v>25</v>
      </c>
      <c r="B89" s="525">
        <f>MATCH(C89,'SK-ratings-final'!I$2:CJ$2,0)</f>
        <v>50</v>
      </c>
      <c r="C89" s="307" t="str">
        <f>INDEX('SK-ratings-final'!$I$2:$CJ$2,MATCH('SK-ranking'!F89,'SK-ratings-final'!$I$35:$CJ$35,0))</f>
        <v>Slovenská autobusová doprava Trenčín, a.s.</v>
      </c>
      <c r="D89" s="307" t="str">
        <f>INDEX('SK-info'!C$2:C$81,MATCH('SK-ranking'!C89,'SK-info'!B$2:B$81,0))</f>
        <v>private</v>
      </c>
      <c r="E89" s="323" t="s">
        <v>400</v>
      </c>
      <c r="F89" s="523">
        <f t="array" ref="F89">LARGE(IF('SK-ratings-final'!I$3:CJ$3="private",'SK-ratings-final'!$I$35:$CJ$35),'SK-ranking'!A89)</f>
        <v>4.1221345468393871</v>
      </c>
      <c r="H89" s="456">
        <f ca="1">INDEX(OFFSET('SK-ratings-final'!$I$20,'SK-ranking'!H$1-19,0,1,80),1,$B89)</f>
        <v>2.7460009895290809</v>
      </c>
      <c r="I89" s="456">
        <f ca="1">INDEX(OFFSET('SK-ratings-final'!$I$20,'SK-ranking'!I$1-19,0,1,80),1,$B89)</f>
        <v>2.8740420135271387</v>
      </c>
      <c r="J89" s="456">
        <f ca="1">INDEX(OFFSET('SK-ratings-final'!$I$20,'SK-ranking'!J$1-19,0,1,80),1,$B89)</f>
        <v>0.98988165304203135</v>
      </c>
      <c r="K89" s="523">
        <f ca="1">INDEX(OFFSET('SK-ratings-final'!$I$20,'SK-ranking'!K$1-19,0,1,80),1,$B89)</f>
        <v>2.2033082186994166</v>
      </c>
      <c r="M89" s="456">
        <f ca="1">INDEX(OFFSET('SK-ratings-final'!$I$20,'SK-ranking'!M$1-19,0,1,80),1,$B89)</f>
        <v>7.808075122519031</v>
      </c>
      <c r="N89" s="456">
        <f ca="1">INDEX(OFFSET('SK-ratings-final'!$I$20,'SK-ranking'!N$1-19,0,1,80),1,$B89)</f>
        <v>8.0190105119874939</v>
      </c>
      <c r="O89" s="456">
        <f ca="1">INDEX(OFFSET('SK-ratings-final'!$I$20,'SK-ranking'!O$1-19,0,1,80),1,$B89)</f>
        <v>7.7216529932262716</v>
      </c>
      <c r="P89" s="523">
        <f ca="1">INDEX(OFFSET('SK-ratings-final'!$I$20,'SK-ranking'!P$1-19,0,1,80),1,$B89)</f>
        <v>7.8156933486956213</v>
      </c>
      <c r="R89" s="456">
        <f ca="1">INDEX(OFFSET('SK-ratings-final'!$I$20,'SK-ranking'!R$1-19,0,1,80),1,$B89)</f>
        <v>0</v>
      </c>
      <c r="S89" s="456">
        <f ca="1">INDEX(OFFSET('SK-ratings-final'!$I$20,'SK-ranking'!S$1-19,0,1,80),1,$B89)</f>
        <v>5.5867511070795572</v>
      </c>
      <c r="T89" s="523">
        <f ca="1">INDEX(OFFSET('SK-ratings-final'!$I$20,'SK-ranking'!T$1-19,0,1,80),1,$B89)</f>
        <v>2.7933755535397786</v>
      </c>
      <c r="V89" s="456">
        <f ca="1">INDEX(OFFSET('SK-ratings-final'!$I$20,'SK-ranking'!V$1-19,0,1,80),1,$B89)</f>
        <v>4.6140477475452792</v>
      </c>
      <c r="W89" s="456">
        <f ca="1">INDEX(OFFSET('SK-ratings-final'!$I$20,'SK-ranking'!W$1-19,0,1,80),1,$B89)</f>
        <v>3.1796671417416613</v>
      </c>
      <c r="X89" s="523">
        <f ca="1">INDEX(OFFSET('SK-ratings-final'!$I$20,'SK-ranking'!X$1-19,0,1,80),1,$B89)</f>
        <v>3.8968574446434703</v>
      </c>
      <c r="AA89" s="532">
        <f ca="1">INDEX(OFFSET('SK-ratios'!$AF$23,'SK-ranking'!AA$1-19,0,1,80),1,$B89)</f>
        <v>0.58545046801579692</v>
      </c>
      <c r="AB89" s="532">
        <f ca="1">INDEX(OFFSET('SK-ratios'!$AF$23,'SK-ranking'!AB$1-19,0,1,80),1,$B89)</f>
        <v>0.56556932627800538</v>
      </c>
      <c r="AC89" s="532">
        <f ca="1">INDEX(OFFSET('SK-ratios'!$AF$23,'SK-ranking'!AC$1-19,0,1,80),1,$B89)</f>
        <v>2.0296350991144855E-2</v>
      </c>
      <c r="AD89" s="456"/>
      <c r="AE89" s="456">
        <f ca="1">INDEX(OFFSET('SK-ratios'!$AF$23,'SK-ranking'!AE$1-19,0,1,80),1,$B89)</f>
        <v>2.5641897782889077E-2</v>
      </c>
      <c r="AF89" s="456">
        <f ca="1">INDEX(OFFSET('SK-ratios'!$AF$23,'SK-ranking'!AF$1-19,0,1,80),1,$B89)</f>
        <v>6.974939601449491E-2</v>
      </c>
      <c r="AG89" s="456">
        <f ca="1">INDEX(OFFSET('SK-ratios'!$AF$23,'SK-ranking'!AG$1-19,0,1,80),1,$B89)</f>
        <v>3.34953852025014E-2</v>
      </c>
      <c r="AI89" s="456">
        <f ca="1">INDEX(OFFSET('SK-ratios'!$AF$23,'SK-ranking'!AI$1-19,0,1,80),1,$B89)</f>
        <v>0.63237104192901794</v>
      </c>
      <c r="AJ89" s="456">
        <f ca="1">INDEX(OFFSET('SK-ratios'!$AF$23,'SK-ranking'!AJ$1-19,0,1,80),1,$B89)</f>
        <v>5.3507061297973646</v>
      </c>
      <c r="AL89" s="456">
        <f ca="1">INDEX(OFFSET('SK-ratios'!$AF$23,'SK-ranking'!AL$1-19,0,1,80),1,$B89)</f>
        <v>3.3630100693337392</v>
      </c>
      <c r="AM89" s="456">
        <f ca="1">INDEX(OFFSET('SK-ratios'!$AF$23,'SK-ranking'!AM$1-19,0,1,80),1,$B89)</f>
        <v>5.9793453257877252</v>
      </c>
    </row>
    <row r="90" spans="1:39" x14ac:dyDescent="0.25">
      <c r="A90" s="403">
        <v>26</v>
      </c>
      <c r="B90" s="525">
        <f>MATCH(C90,'SK-ratings-final'!I$2:CJ$2,0)</f>
        <v>54</v>
      </c>
      <c r="C90" s="307" t="str">
        <f>INDEX('SK-ratings-final'!$I$2:$CJ$2,MATCH('SK-ranking'!F90,'SK-ratings-final'!$I$35:$CJ$35,0))</f>
        <v>Slovenské elektrárne, a.s.</v>
      </c>
      <c r="D90" s="307" t="str">
        <f>INDEX('SK-info'!C$2:C$81,MATCH('SK-ranking'!C90,'SK-info'!B$2:B$81,0))</f>
        <v>private</v>
      </c>
      <c r="E90" s="323" t="s">
        <v>400</v>
      </c>
      <c r="F90" s="523">
        <f t="array" ref="F90">LARGE(IF('SK-ratings-final'!I$3:CJ$3="private",'SK-ratings-final'!$I$35:$CJ$35),'SK-ranking'!A90)</f>
        <v>3.6793071619719893</v>
      </c>
      <c r="H90" s="456">
        <f ca="1">INDEX(OFFSET('SK-ratings-final'!$I$20,'SK-ranking'!H$1-19,0,1,80),1,$B90)</f>
        <v>4.2168919801662792</v>
      </c>
      <c r="I90" s="456">
        <f ca="1">INDEX(OFFSET('SK-ratings-final'!$I$20,'SK-ranking'!I$1-19,0,1,80),1,$B90)</f>
        <v>2.928763096619202</v>
      </c>
      <c r="J90" s="456">
        <f ca="1">INDEX(OFFSET('SK-ratings-final'!$I$20,'SK-ranking'!J$1-19,0,1,80),1,$B90)</f>
        <v>0.91086244317050313</v>
      </c>
      <c r="K90" s="523">
        <f ca="1">INDEX(OFFSET('SK-ratings-final'!$I$20,'SK-ranking'!K$1-19,0,1,80),1,$B90)</f>
        <v>2.685505839985328</v>
      </c>
      <c r="M90" s="456">
        <f ca="1">INDEX(OFFSET('SK-ratings-final'!$I$20,'SK-ranking'!M$1-19,0,1,80),1,$B90)</f>
        <v>6.3114240923323637</v>
      </c>
      <c r="N90" s="456">
        <f ca="1">INDEX(OFFSET('SK-ratings-final'!$I$20,'SK-ranking'!N$1-19,0,1,80),1,$B90)</f>
        <v>6.3922891180209502</v>
      </c>
      <c r="O90" s="456">
        <f ca="1">INDEX(OFFSET('SK-ratings-final'!$I$20,'SK-ranking'!O$1-19,0,1,80),1,$B90)</f>
        <v>7.4987570350607324</v>
      </c>
      <c r="P90" s="523">
        <f ca="1">INDEX(OFFSET('SK-ratings-final'!$I$20,'SK-ranking'!P$1-19,0,1,80),1,$B90)</f>
        <v>6.8025302745614287</v>
      </c>
      <c r="R90" s="456">
        <f ca="1">INDEX(OFFSET('SK-ratings-final'!$I$20,'SK-ranking'!R$1-19,0,1,80),1,$B90)</f>
        <v>0</v>
      </c>
      <c r="S90" s="456">
        <f ca="1">INDEX(OFFSET('SK-ratings-final'!$I$20,'SK-ranking'!S$1-19,0,1,80),1,$B90)</f>
        <v>4.2151057701873471</v>
      </c>
      <c r="T90" s="523">
        <f ca="1">INDEX(OFFSET('SK-ratings-final'!$I$20,'SK-ranking'!T$1-19,0,1,80),1,$B90)</f>
        <v>2.1075528850936736</v>
      </c>
      <c r="V90" s="456">
        <f ca="1">INDEX(OFFSET('SK-ratings-final'!$I$20,'SK-ranking'!V$1-19,0,1,80),1,$B90)</f>
        <v>3.2647529751140518</v>
      </c>
      <c r="W90" s="456">
        <f ca="1">INDEX(OFFSET('SK-ratings-final'!$I$20,'SK-ranking'!W$1-19,0,1,80),1,$B90)</f>
        <v>3.4855697029579278</v>
      </c>
      <c r="X90" s="523">
        <f ca="1">INDEX(OFFSET('SK-ratings-final'!$I$20,'SK-ranking'!X$1-19,0,1,80),1,$B90)</f>
        <v>3.3751613390359902</v>
      </c>
      <c r="AA90" s="532">
        <f ca="1">INDEX(OFFSET('SK-ratios'!$AF$23,'SK-ranking'!AA$1-19,0,1,80),1,$B90)</f>
        <v>1.1754610850833851</v>
      </c>
      <c r="AB90" s="532">
        <f ca="1">INDEX(OFFSET('SK-ratios'!$AF$23,'SK-ranking'!AB$1-19,0,1,80),1,$B90)</f>
        <v>0.60017469456810091</v>
      </c>
      <c r="AC90" s="532">
        <f ca="1">INDEX(OFFSET('SK-ratios'!$AF$23,'SK-ranking'!AC$1-19,0,1,80),1,$B90)</f>
        <v>5.0436169230096084E-2</v>
      </c>
      <c r="AD90" s="456"/>
      <c r="AE90" s="456">
        <f ca="1">INDEX(OFFSET('SK-ratios'!$AF$23,'SK-ranking'!AE$1-19,0,1,80),1,$B90)</f>
        <v>1.2051878850984519E-2</v>
      </c>
      <c r="AF90" s="456">
        <f ca="1">INDEX(OFFSET('SK-ratios'!$AF$23,'SK-ranking'!AF$1-19,0,1,80),1,$B90)</f>
        <v>2.9051234187151772E-2</v>
      </c>
      <c r="AG90" s="456">
        <f ca="1">INDEX(OFFSET('SK-ratios'!$AF$23,'SK-ranking'!AG$1-19,0,1,80),1,$B90)</f>
        <v>5.3787884132818764E-2</v>
      </c>
      <c r="AI90" s="456">
        <f ca="1">INDEX(OFFSET('SK-ratios'!$AF$23,'SK-ranking'!AI$1-19,0,1,80),1,$B90)</f>
        <v>0.5851508829764418</v>
      </c>
      <c r="AJ90" s="456">
        <f ca="1">INDEX(OFFSET('SK-ratios'!$AF$23,'SK-ranking'!AJ$1-19,0,1,80),1,$B90)</f>
        <v>16.144739711608079</v>
      </c>
      <c r="AL90" s="456">
        <f ca="1">INDEX(OFFSET('SK-ratios'!$AF$23,'SK-ranking'!AL$1-19,0,1,80),1,$B90)</f>
        <v>1.6966255103311128</v>
      </c>
      <c r="AM90" s="456">
        <f ca="1">INDEX(OFFSET('SK-ratios'!$AF$23,'SK-ranking'!AM$1-19,0,1,80),1,$B90)</f>
        <v>6.2672780494707148</v>
      </c>
    </row>
    <row r="91" spans="1:39" x14ac:dyDescent="0.25">
      <c r="A91" s="403">
        <v>27</v>
      </c>
      <c r="B91" s="525">
        <f>MATCH(C91,'SK-ratings-final'!I$2:CJ$2,0)</f>
        <v>42</v>
      </c>
      <c r="C91" s="307" t="str">
        <f>INDEX('SK-ratings-final'!$I$2:$CJ$2,MATCH('SK-ranking'!F91,'SK-ratings-final'!$I$35:$CJ$35,0))</f>
        <v>Nemocnica Zvolen a. s.</v>
      </c>
      <c r="D91" s="307" t="str">
        <f>INDEX('SK-info'!C$2:C$81,MATCH('SK-ranking'!C91,'SK-info'!B$2:B$81,0))</f>
        <v>private</v>
      </c>
      <c r="E91" s="323" t="s">
        <v>400</v>
      </c>
      <c r="F91" s="523">
        <f t="array" ref="F91">LARGE(IF('SK-ratings-final'!I$3:CJ$3="private",'SK-ratings-final'!$I$35:$CJ$35),'SK-ranking'!A91)</f>
        <v>3.6348806754338234</v>
      </c>
      <c r="H91" s="456">
        <f ca="1">INDEX(OFFSET('SK-ratings-final'!$I$20,'SK-ranking'!H$1-19,0,1,80),1,$B91)</f>
        <v>3.3358490637908278</v>
      </c>
      <c r="I91" s="456">
        <f ca="1">INDEX(OFFSET('SK-ratings-final'!$I$20,'SK-ranking'!I$1-19,0,1,80),1,$B91)</f>
        <v>3.2430827329240453</v>
      </c>
      <c r="J91" s="456">
        <f ca="1">INDEX(OFFSET('SK-ratings-final'!$I$20,'SK-ranking'!J$1-19,0,1,80),1,$B91)</f>
        <v>0.1275550952836487</v>
      </c>
      <c r="K91" s="523">
        <f ca="1">INDEX(OFFSET('SK-ratings-final'!$I$20,'SK-ranking'!K$1-19,0,1,80),1,$B91)</f>
        <v>2.2354956306661737</v>
      </c>
      <c r="M91" s="456">
        <f ca="1">INDEX(OFFSET('SK-ratings-final'!$I$20,'SK-ranking'!M$1-19,0,1,80),1,$B91)</f>
        <v>6.5149733851830991</v>
      </c>
      <c r="N91" s="456">
        <f ca="1">INDEX(OFFSET('SK-ratings-final'!$I$20,'SK-ranking'!N$1-19,0,1,80),1,$B91)</f>
        <v>6.933922743334187</v>
      </c>
      <c r="O91" s="456">
        <f ca="1">INDEX(OFFSET('SK-ratings-final'!$I$20,'SK-ranking'!O$1-19,0,1,80),1,$B91)</f>
        <v>5.3615348188658061</v>
      </c>
      <c r="P91" s="523">
        <f ca="1">INDEX(OFFSET('SK-ratings-final'!$I$20,'SK-ranking'!P$1-19,0,1,80),1,$B91)</f>
        <v>6.1373878302864</v>
      </c>
      <c r="R91" s="456">
        <f ca="1">INDEX(OFFSET('SK-ratings-final'!$I$20,'SK-ranking'!R$1-19,0,1,80),1,$B91)</f>
        <v>0</v>
      </c>
      <c r="S91" s="456">
        <f ca="1">INDEX(OFFSET('SK-ratings-final'!$I$20,'SK-ranking'!S$1-19,0,1,80),1,$B91)</f>
        <v>2.5683836023425277</v>
      </c>
      <c r="T91" s="523">
        <f ca="1">INDEX(OFFSET('SK-ratings-final'!$I$20,'SK-ranking'!T$1-19,0,1,80),1,$B91)</f>
        <v>1.2841918011712639</v>
      </c>
      <c r="V91" s="456">
        <f ca="1">INDEX(OFFSET('SK-ratings-final'!$I$20,'SK-ranking'!V$1-19,0,1,80),1,$B91)</f>
        <v>8.3779615365425038</v>
      </c>
      <c r="W91" s="456">
        <f ca="1">INDEX(OFFSET('SK-ratings-final'!$I$20,'SK-ranking'!W$1-19,0,1,80),1,$B91)</f>
        <v>3.186061161900501</v>
      </c>
      <c r="X91" s="523">
        <f ca="1">INDEX(OFFSET('SK-ratings-final'!$I$20,'SK-ranking'!X$1-19,0,1,80),1,$B91)</f>
        <v>5.7820113492215031</v>
      </c>
      <c r="AA91" s="532">
        <f ca="1">INDEX(OFFSET('SK-ratios'!$AF$23,'SK-ranking'!AA$1-19,0,1,80),1,$B91)</f>
        <v>0.85648055442719806</v>
      </c>
      <c r="AB91" s="532">
        <f ca="1">INDEX(OFFSET('SK-ratios'!$AF$23,'SK-ranking'!AB$1-19,0,1,80),1,$B91)</f>
        <v>0.71972280819620726</v>
      </c>
      <c r="AC91" s="532">
        <f ca="1">INDEX(OFFSET('SK-ratios'!$AF$23,'SK-ranking'!AC$1-19,0,1,80),1,$B91)</f>
        <v>5.807885352702759E-3</v>
      </c>
      <c r="AD91" s="456"/>
      <c r="AE91" s="456">
        <f ca="1">INDEX(OFFSET('SK-ratios'!$AF$23,'SK-ranking'!AE$1-19,0,1,80),1,$B91)</f>
        <v>5.2476878186240679E-3</v>
      </c>
      <c r="AF91" s="456">
        <f ca="1">INDEX(OFFSET('SK-ratios'!$AF$23,'SK-ranking'!AF$1-19,0,1,80),1,$B91)</f>
        <v>0.30349621472814864</v>
      </c>
      <c r="AG91" s="456">
        <f ca="1">INDEX(OFFSET('SK-ratios'!$AF$23,'SK-ranking'!AG$1-19,0,1,80),1,$B91)</f>
        <v>1.24729041445239E-3</v>
      </c>
      <c r="AI91" s="456">
        <f ca="1">INDEX(OFFSET('SK-ratios'!$AF$23,'SK-ranking'!AI$1-19,0,1,80),1,$B91)</f>
        <v>0.97852325033439169</v>
      </c>
      <c r="AJ91" s="456">
        <f ca="1">INDEX(OFFSET('SK-ratios'!$AF$23,'SK-ranking'!AJ$1-19,0,1,80),1,$B91)</f>
        <v>31.392089791555318</v>
      </c>
      <c r="AL91" s="456">
        <f ca="1">INDEX(OFFSET('SK-ratios'!$AF$23,'SK-ranking'!AL$1-19,0,1,80),1,$B91)</f>
        <v>-33.929978886756238</v>
      </c>
      <c r="AM91" s="456">
        <f ca="1">INDEX(OFFSET('SK-ratios'!$AF$23,'SK-ranking'!AM$1-19,0,1,80),1,$B91)</f>
        <v>6.746001440977178</v>
      </c>
    </row>
    <row r="92" spans="1:39" x14ac:dyDescent="0.25">
      <c r="A92" s="403">
        <v>28</v>
      </c>
      <c r="B92" s="525">
        <f>MATCH(C92,'SK-ratings-final'!I$2:CJ$2,0)</f>
        <v>28</v>
      </c>
      <c r="C92" s="403" t="str">
        <f>INDEX('SK-ratings-final'!$I$2:$CJ$2,MATCH('SK-ranking'!F92,'SK-ratings-final'!$I$35:$CJ$35,0))</f>
        <v>Letisko Piešťany, a.s.</v>
      </c>
      <c r="D92" s="403" t="str">
        <f>INDEX('SK-info'!C$2:C$81,MATCH('SK-ranking'!C92,'SK-info'!B$2:B$81,0))</f>
        <v>private</v>
      </c>
      <c r="F92" s="523">
        <f t="array" ref="F92">LARGE(IF('SK-ratings-final'!I$3:CJ$3="private",'SK-ratings-final'!$I$35:$CJ$35),'SK-ranking'!A92)</f>
        <v>2.4049043755779258</v>
      </c>
      <c r="H92" s="456">
        <f ca="1">INDEX(OFFSET('SK-ratings-final'!$I$20,'SK-ranking'!H$1-19,0,1,80),1,$B92)</f>
        <v>2.293674507460576</v>
      </c>
      <c r="I92" s="456">
        <f ca="1">INDEX(OFFSET('SK-ratings-final'!$I$20,'SK-ranking'!I$1-19,0,1,80),1,$B92)</f>
        <v>2.263153844149731</v>
      </c>
      <c r="J92" s="456">
        <f ca="1">INDEX(OFFSET('SK-ratings-final'!$I$20,'SK-ranking'!J$1-19,0,1,80),1,$B92)</f>
        <v>2.2550272412466015</v>
      </c>
      <c r="K92" s="523">
        <f ca="1">INDEX(OFFSET('SK-ratings-final'!$I$20,'SK-ranking'!K$1-19,0,1,80),1,$B92)</f>
        <v>2.2706185309523024</v>
      </c>
      <c r="L92" s="403"/>
      <c r="M92" s="456">
        <f ca="1">INDEX(OFFSET('SK-ratings-final'!$I$20,'SK-ranking'!M$1-19,0,1,80),1,$B92)</f>
        <v>2.2186110680405058</v>
      </c>
      <c r="N92" s="456">
        <f ca="1">INDEX(OFFSET('SK-ratings-final'!$I$20,'SK-ranking'!N$1-19,0,1,80),1,$B92)</f>
        <v>3.056504298934049</v>
      </c>
      <c r="O92" s="456">
        <f ca="1">INDEX(OFFSET('SK-ratings-final'!$I$20,'SK-ranking'!O$1-19,0,1,80),1,$B92)</f>
        <v>0</v>
      </c>
      <c r="P92" s="523">
        <f ca="1">INDEX(OFFSET('SK-ratings-final'!$I$20,'SK-ranking'!P$1-19,0,1,80),1,$B92)</f>
        <v>1.498745287003012</v>
      </c>
      <c r="Q92" s="403"/>
      <c r="R92" s="456">
        <f ca="1">INDEX(OFFSET('SK-ratings-final'!$I$20,'SK-ranking'!R$1-19,0,1,80),1,$B92)</f>
        <v>3.6720219209400327</v>
      </c>
      <c r="S92" s="456">
        <f ca="1">INDEX(OFFSET('SK-ratings-final'!$I$20,'SK-ranking'!S$1-19,0,1,80),1,$B92)</f>
        <v>2.6783608534221943</v>
      </c>
      <c r="T92" s="523">
        <f ca="1">INDEX(OFFSET('SK-ratings-final'!$I$20,'SK-ranking'!T$1-19,0,1,80),1,$B92)</f>
        <v>3.1751913871811133</v>
      </c>
      <c r="U92" s="403"/>
      <c r="V92" s="456">
        <f ca="1">INDEX(OFFSET('SK-ratings-final'!$I$20,'SK-ranking'!V$1-19,0,1,80),1,$B92)</f>
        <v>2.5703909609233544</v>
      </c>
      <c r="W92" s="456">
        <f ca="1">INDEX(OFFSET('SK-ratings-final'!$I$20,'SK-ranking'!W$1-19,0,1,80),1,$B92)</f>
        <v>2.5296690884242783</v>
      </c>
      <c r="X92" s="523">
        <f ca="1">INDEX(OFFSET('SK-ratings-final'!$I$20,'SK-ranking'!X$1-19,0,1,80),1,$B92)</f>
        <v>2.5500300246738159</v>
      </c>
      <c r="Y92" s="403"/>
      <c r="AA92" s="532">
        <f ca="1">INDEX(OFFSET('SK-ratios'!$AF$23,'SK-ranking'!AA$1-19,0,1,80),1,$B92)</f>
        <v>0.24518551255459053</v>
      </c>
      <c r="AB92" s="532">
        <f ca="1">INDEX(OFFSET('SK-ratios'!$AF$23,'SK-ranking'!AB$1-19,0,1,80),1,$B92)</f>
        <v>0.20796580757299565</v>
      </c>
      <c r="AC92" s="532">
        <f ca="1">INDEX(OFFSET('SK-ratios'!$AF$23,'SK-ranking'!AC$1-19,0,1,80),1,$B92)</f>
        <v>0.13910370545037115</v>
      </c>
      <c r="AD92" s="456"/>
      <c r="AE92" s="456">
        <f ca="1">INDEX(OFFSET('SK-ratios'!$AF$23,'SK-ranking'!AE$1-19,0,1,80),1,$B92)</f>
        <v>-3.0383311816958018E-2</v>
      </c>
      <c r="AF92" s="456">
        <f ca="1">INDEX(OFFSET('SK-ratios'!$AF$23,'SK-ranking'!AF$1-19,0,1,80),1,$B92)</f>
        <v>-3.4316152576352128E-2</v>
      </c>
      <c r="AG92" s="456">
        <f ca="1">INDEX(OFFSET('SK-ratios'!$AF$23,'SK-ranking'!AG$1-19,0,1,80),1,$B92)</f>
        <v>-2.5336168061393116</v>
      </c>
      <c r="AH92" s="403"/>
      <c r="AI92" s="456">
        <f ca="1">INDEX(OFFSET('SK-ratios'!$AF$23,'SK-ranking'!AI$1-19,0,1,80),1,$B92)</f>
        <v>9.21448783448168E-2</v>
      </c>
      <c r="AJ92" s="456">
        <f ca="1">INDEX(OFFSET('SK-ratios'!$AF$23,'SK-ranking'!AJ$1-19,0,1,80),1,$B92)</f>
        <v>-4.5907975086729831</v>
      </c>
      <c r="AK92" s="403"/>
      <c r="AL92" s="456">
        <f ca="1">INDEX(OFFSET('SK-ratios'!$AF$23,'SK-ranking'!AL$1-19,0,1,80),1,$B92)</f>
        <v>-0.49580231209547682</v>
      </c>
      <c r="AM92" s="456">
        <f ca="1">INDEX(OFFSET('SK-ratios'!$AF$23,'SK-ranking'!AM$1-19,0,1,80),1,$B92)</f>
        <v>5.4346114414599143</v>
      </c>
    </row>
    <row r="93" spans="1:39" x14ac:dyDescent="0.25">
      <c r="F93" s="523"/>
    </row>
    <row r="94" spans="1:39" x14ac:dyDescent="0.25">
      <c r="F94" s="523"/>
    </row>
    <row r="95" spans="1:39" x14ac:dyDescent="0.25">
      <c r="F95" s="523"/>
    </row>
    <row r="96" spans="1:39" x14ac:dyDescent="0.25">
      <c r="F96" s="523"/>
    </row>
  </sheetData>
  <mergeCells count="2">
    <mergeCell ref="F2:X2"/>
    <mergeCell ref="AA2:AM2"/>
  </mergeCells>
  <conditionalFormatting sqref="F12:F96">
    <cfRule type="colorScale" priority="1">
      <colorScale>
        <cfvo type="num" val="0"/>
        <cfvo type="num" val="5"/>
        <cfvo type="num" val="10"/>
        <color rgb="FFC00000"/>
        <color rgb="FFFFEB84"/>
        <color rgb="FF00B050"/>
      </colorScale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15</vt:i4>
      </vt:variant>
    </vt:vector>
  </HeadingPairs>
  <TitlesOfParts>
    <vt:vector size="15" baseType="lpstr">
      <vt:lpstr>MD-info</vt:lpstr>
      <vt:lpstr>MD-data</vt:lpstr>
      <vt:lpstr>MD-ratios</vt:lpstr>
      <vt:lpstr>MD-ratings-year</vt:lpstr>
      <vt:lpstr>MD-ratings-final</vt:lpstr>
      <vt:lpstr>MD-ranking</vt:lpstr>
      <vt:lpstr>MD-correl</vt:lpstr>
      <vt:lpstr>Texts</vt:lpstr>
      <vt:lpstr>SK-NACE</vt:lpstr>
      <vt:lpstr>SK-info</vt:lpstr>
      <vt:lpstr>SK-data</vt:lpstr>
      <vt:lpstr>SK-ratios</vt:lpstr>
      <vt:lpstr>SK-ratings-year</vt:lpstr>
      <vt:lpstr>SK-ratings-final</vt:lpstr>
      <vt:lpstr>SK-ranking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Klátik</dc:creator>
  <cp:lastModifiedBy>Peter Klátik</cp:lastModifiedBy>
  <dcterms:created xsi:type="dcterms:W3CDTF">2018-04-25T14:09:03Z</dcterms:created>
  <dcterms:modified xsi:type="dcterms:W3CDTF">2018-05-21T10:21:24Z</dcterms:modified>
</cp:coreProperties>
</file>